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13_ncr:1_{FED89507-9292-4A56-A42C-FE9DAFC3CBCC}" xr6:coauthVersionLast="47" xr6:coauthVersionMax="47" xr10:uidLastSave="{00000000-0000-0000-0000-000000000000}"/>
  <bookViews>
    <workbookView xWindow="-120" yWindow="-120" windowWidth="29040" windowHeight="15720" firstSheet="1" activeTab="6" xr2:uid="{86C44CE1-1010-4E30-92B1-BDE677C7682C}"/>
  </bookViews>
  <sheets>
    <sheet name="2024b_250205_2227" sheetId="21" r:id="rId1"/>
    <sheet name="2024b_250206_2041" sheetId="22" r:id="rId2"/>
    <sheet name="2024b_250207_0944" sheetId="23" r:id="rId3"/>
    <sheet name="2024b_250419_1657" sheetId="24" r:id="rId4"/>
    <sheet name="2024b_250504_0030" sheetId="25" r:id="rId5"/>
    <sheet name="2024b_250702_1901" sheetId="26" r:id="rId6"/>
    <sheet name="2024b_250703_0822" sheetId="27" r:id="rId7"/>
  </sheets>
  <definedNames>
    <definedName name="_xlnm._FilterDatabase" localSheetId="0" hidden="1">'2024b_250205_2227'!$A$1:$P$269</definedName>
    <definedName name="_xlnm._FilterDatabase" localSheetId="3" hidden="1">'2024b_250419_1657'!$A$1:$P$287</definedName>
    <definedName name="_xlnm._FilterDatabase" localSheetId="5" hidden="1">'2024b_250702_1901'!$A$1:$Q$272</definedName>
    <definedName name="_xlnm._FilterDatabase" localSheetId="6" hidden="1">'2024b_250703_0822'!$A$1:$Q$272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72" i="27" l="1"/>
  <c r="X272" i="27" s="1"/>
  <c r="U272" i="27"/>
  <c r="V272" i="27" s="1"/>
  <c r="W271" i="27"/>
  <c r="X271" i="27" s="1"/>
  <c r="U271" i="27"/>
  <c r="V271" i="27" s="1"/>
  <c r="W270" i="27"/>
  <c r="X270" i="27" s="1"/>
  <c r="U270" i="27"/>
  <c r="V270" i="27" s="1"/>
  <c r="W269" i="27"/>
  <c r="X269" i="27" s="1"/>
  <c r="U269" i="27"/>
  <c r="V269" i="27" s="1"/>
  <c r="W268" i="27"/>
  <c r="X268" i="27" s="1"/>
  <c r="U268" i="27"/>
  <c r="V268" i="27" s="1"/>
  <c r="X267" i="27"/>
  <c r="W267" i="27"/>
  <c r="U267" i="27"/>
  <c r="V267" i="27" s="1"/>
  <c r="W266" i="27"/>
  <c r="X266" i="27" s="1"/>
  <c r="U266" i="27"/>
  <c r="V266" i="27" s="1"/>
  <c r="W265" i="27"/>
  <c r="X265" i="27" s="1"/>
  <c r="U265" i="27"/>
  <c r="V265" i="27" s="1"/>
  <c r="W264" i="27"/>
  <c r="X264" i="27" s="1"/>
  <c r="U264" i="27"/>
  <c r="V264" i="27" s="1"/>
  <c r="W263" i="27"/>
  <c r="X263" i="27" s="1"/>
  <c r="U263" i="27"/>
  <c r="V263" i="27" s="1"/>
  <c r="W262" i="27"/>
  <c r="X262" i="27" s="1"/>
  <c r="U262" i="27"/>
  <c r="V262" i="27" s="1"/>
  <c r="W261" i="27"/>
  <c r="X261" i="27" s="1"/>
  <c r="U261" i="27"/>
  <c r="V261" i="27" s="1"/>
  <c r="W260" i="27"/>
  <c r="X260" i="27" s="1"/>
  <c r="U260" i="27"/>
  <c r="V260" i="27" s="1"/>
  <c r="W259" i="27"/>
  <c r="X259" i="27" s="1"/>
  <c r="U259" i="27"/>
  <c r="V259" i="27" s="1"/>
  <c r="X258" i="27"/>
  <c r="W258" i="27"/>
  <c r="U258" i="27"/>
  <c r="V258" i="27" s="1"/>
  <c r="W257" i="27"/>
  <c r="X257" i="27" s="1"/>
  <c r="U257" i="27"/>
  <c r="V257" i="27" s="1"/>
  <c r="W256" i="27"/>
  <c r="X256" i="27" s="1"/>
  <c r="V256" i="27"/>
  <c r="U256" i="27"/>
  <c r="X255" i="27"/>
  <c r="W255" i="27"/>
  <c r="U255" i="27"/>
  <c r="V255" i="27" s="1"/>
  <c r="W254" i="27"/>
  <c r="X254" i="27" s="1"/>
  <c r="U254" i="27"/>
  <c r="V254" i="27" s="1"/>
  <c r="W253" i="27"/>
  <c r="X253" i="27" s="1"/>
  <c r="U253" i="27"/>
  <c r="V253" i="27" s="1"/>
  <c r="W252" i="27"/>
  <c r="X252" i="27" s="1"/>
  <c r="U252" i="27"/>
  <c r="V252" i="27" s="1"/>
  <c r="W251" i="27"/>
  <c r="X251" i="27" s="1"/>
  <c r="U251" i="27"/>
  <c r="V251" i="27" s="1"/>
  <c r="W250" i="27"/>
  <c r="X250" i="27" s="1"/>
  <c r="U250" i="27"/>
  <c r="V250" i="27" s="1"/>
  <c r="X249" i="27"/>
  <c r="W249" i="27"/>
  <c r="U249" i="27"/>
  <c r="V249" i="27" s="1"/>
  <c r="W248" i="27"/>
  <c r="X248" i="27" s="1"/>
  <c r="U248" i="27"/>
  <c r="V248" i="27" s="1"/>
  <c r="W247" i="27"/>
  <c r="X247" i="27" s="1"/>
  <c r="U247" i="27"/>
  <c r="V247" i="27" s="1"/>
  <c r="X246" i="27"/>
  <c r="W246" i="27"/>
  <c r="V246" i="27"/>
  <c r="U246" i="27"/>
  <c r="W245" i="27"/>
  <c r="X245" i="27" s="1"/>
  <c r="U245" i="27"/>
  <c r="V245" i="27" s="1"/>
  <c r="W244" i="27"/>
  <c r="X244" i="27" s="1"/>
  <c r="U244" i="27"/>
  <c r="V244" i="27" s="1"/>
  <c r="W243" i="27"/>
  <c r="X243" i="27" s="1"/>
  <c r="U243" i="27"/>
  <c r="V243" i="27" s="1"/>
  <c r="W242" i="27"/>
  <c r="X242" i="27" s="1"/>
  <c r="U242" i="27"/>
  <c r="V242" i="27" s="1"/>
  <c r="W241" i="27"/>
  <c r="X241" i="27" s="1"/>
  <c r="U241" i="27"/>
  <c r="V241" i="27" s="1"/>
  <c r="X240" i="27"/>
  <c r="W240" i="27"/>
  <c r="U240" i="27"/>
  <c r="V240" i="27" s="1"/>
  <c r="W239" i="27"/>
  <c r="X239" i="27" s="1"/>
  <c r="U239" i="27"/>
  <c r="V239" i="27" s="1"/>
  <c r="W238" i="27"/>
  <c r="X238" i="27" s="1"/>
  <c r="U238" i="27"/>
  <c r="V238" i="27" s="1"/>
  <c r="X237" i="27"/>
  <c r="W237" i="27"/>
  <c r="U237" i="27"/>
  <c r="V237" i="27" s="1"/>
  <c r="W236" i="27"/>
  <c r="X236" i="27" s="1"/>
  <c r="U236" i="27"/>
  <c r="V236" i="27" s="1"/>
  <c r="W235" i="27"/>
  <c r="X235" i="27" s="1"/>
  <c r="U235" i="27"/>
  <c r="V235" i="27" s="1"/>
  <c r="W234" i="27"/>
  <c r="X234" i="27" s="1"/>
  <c r="V234" i="27"/>
  <c r="U234" i="27"/>
  <c r="X233" i="27"/>
  <c r="W233" i="27"/>
  <c r="U233" i="27"/>
  <c r="V233" i="27" s="1"/>
  <c r="W232" i="27"/>
  <c r="X232" i="27" s="1"/>
  <c r="U232" i="27"/>
  <c r="V232" i="27" s="1"/>
  <c r="W231" i="27"/>
  <c r="X231" i="27" s="1"/>
  <c r="U231" i="27"/>
  <c r="V231" i="27" s="1"/>
  <c r="W230" i="27"/>
  <c r="X230" i="27" s="1"/>
  <c r="U230" i="27"/>
  <c r="V230" i="27" s="1"/>
  <c r="W229" i="27"/>
  <c r="X229" i="27" s="1"/>
  <c r="U229" i="27"/>
  <c r="V229" i="27" s="1"/>
  <c r="X228" i="27"/>
  <c r="W228" i="27"/>
  <c r="U228" i="27"/>
  <c r="V228" i="27" s="1"/>
  <c r="W227" i="27"/>
  <c r="X227" i="27" s="1"/>
  <c r="U227" i="27"/>
  <c r="V227" i="27" s="1"/>
  <c r="W226" i="27"/>
  <c r="X226" i="27" s="1"/>
  <c r="U226" i="27"/>
  <c r="V226" i="27" s="1"/>
  <c r="W225" i="27"/>
  <c r="X225" i="27" s="1"/>
  <c r="U225" i="27"/>
  <c r="V225" i="27" s="1"/>
  <c r="W224" i="27"/>
  <c r="X224" i="27" s="1"/>
  <c r="U224" i="27"/>
  <c r="V224" i="27" s="1"/>
  <c r="W223" i="27"/>
  <c r="X223" i="27" s="1"/>
  <c r="U223" i="27"/>
  <c r="V223" i="27" s="1"/>
  <c r="W222" i="27"/>
  <c r="X222" i="27" s="1"/>
  <c r="V222" i="27"/>
  <c r="U222" i="27"/>
  <c r="X221" i="27"/>
  <c r="W221" i="27"/>
  <c r="U221" i="27"/>
  <c r="V221" i="27" s="1"/>
  <c r="W220" i="27"/>
  <c r="X220" i="27" s="1"/>
  <c r="U220" i="27"/>
  <c r="V220" i="27" s="1"/>
  <c r="W219" i="27"/>
  <c r="X219" i="27" s="1"/>
  <c r="U219" i="27"/>
  <c r="V219" i="27" s="1"/>
  <c r="W218" i="27"/>
  <c r="X218" i="27" s="1"/>
  <c r="U218" i="27"/>
  <c r="V218" i="27" s="1"/>
  <c r="W217" i="27"/>
  <c r="X217" i="27" s="1"/>
  <c r="U217" i="27"/>
  <c r="V217" i="27" s="1"/>
  <c r="W216" i="27"/>
  <c r="X216" i="27" s="1"/>
  <c r="U216" i="27"/>
  <c r="V216" i="27" s="1"/>
  <c r="X215" i="27"/>
  <c r="W215" i="27"/>
  <c r="U215" i="27"/>
  <c r="V215" i="27" s="1"/>
  <c r="W214" i="27"/>
  <c r="X214" i="27" s="1"/>
  <c r="U214" i="27"/>
  <c r="V214" i="27" s="1"/>
  <c r="W213" i="27"/>
  <c r="X213" i="27" s="1"/>
  <c r="U213" i="27"/>
  <c r="V213" i="27" s="1"/>
  <c r="W212" i="27"/>
  <c r="X212" i="27" s="1"/>
  <c r="U212" i="27"/>
  <c r="V212" i="27" s="1"/>
  <c r="W211" i="27"/>
  <c r="X211" i="27" s="1"/>
  <c r="U211" i="27"/>
  <c r="V211" i="27" s="1"/>
  <c r="W210" i="27"/>
  <c r="X210" i="27" s="1"/>
  <c r="U210" i="27"/>
  <c r="V210" i="27" s="1"/>
  <c r="W209" i="27"/>
  <c r="X209" i="27" s="1"/>
  <c r="U209" i="27"/>
  <c r="V209" i="27" s="1"/>
  <c r="W208" i="27"/>
  <c r="X208" i="27" s="1"/>
  <c r="V208" i="27"/>
  <c r="U208" i="27"/>
  <c r="W207" i="27"/>
  <c r="X207" i="27" s="1"/>
  <c r="U207" i="27"/>
  <c r="V207" i="27" s="1"/>
  <c r="W206" i="27"/>
  <c r="X206" i="27" s="1"/>
  <c r="U206" i="27"/>
  <c r="V206" i="27" s="1"/>
  <c r="W205" i="27"/>
  <c r="X205" i="27" s="1"/>
  <c r="U205" i="27"/>
  <c r="V205" i="27" s="1"/>
  <c r="W204" i="27"/>
  <c r="X204" i="27" s="1"/>
  <c r="U204" i="27"/>
  <c r="V204" i="27" s="1"/>
  <c r="X203" i="27"/>
  <c r="W203" i="27"/>
  <c r="U203" i="27"/>
  <c r="V203" i="27" s="1"/>
  <c r="W202" i="27"/>
  <c r="X202" i="27" s="1"/>
  <c r="U202" i="27"/>
  <c r="V202" i="27" s="1"/>
  <c r="W201" i="27"/>
  <c r="X201" i="27" s="1"/>
  <c r="U201" i="27"/>
  <c r="V201" i="27" s="1"/>
  <c r="W200" i="27"/>
  <c r="X200" i="27" s="1"/>
  <c r="U200" i="27"/>
  <c r="V200" i="27" s="1"/>
  <c r="W199" i="27"/>
  <c r="X199" i="27" s="1"/>
  <c r="U199" i="27"/>
  <c r="V199" i="27" s="1"/>
  <c r="W198" i="27"/>
  <c r="X198" i="27" s="1"/>
  <c r="U198" i="27"/>
  <c r="V198" i="27" s="1"/>
  <c r="W197" i="27"/>
  <c r="X197" i="27" s="1"/>
  <c r="U197" i="27"/>
  <c r="V197" i="27" s="1"/>
  <c r="W196" i="27"/>
  <c r="X196" i="27" s="1"/>
  <c r="V196" i="27"/>
  <c r="U196" i="27"/>
  <c r="X195" i="27"/>
  <c r="W195" i="27"/>
  <c r="U195" i="27"/>
  <c r="V195" i="27" s="1"/>
  <c r="W194" i="27"/>
  <c r="X194" i="27" s="1"/>
  <c r="U194" i="27"/>
  <c r="V194" i="27" s="1"/>
  <c r="W193" i="27"/>
  <c r="X193" i="27" s="1"/>
  <c r="U193" i="27"/>
  <c r="V193" i="27" s="1"/>
  <c r="W192" i="27"/>
  <c r="X192" i="27" s="1"/>
  <c r="U192" i="27"/>
  <c r="V192" i="27" s="1"/>
  <c r="W191" i="27"/>
  <c r="X191" i="27" s="1"/>
  <c r="U191" i="27"/>
  <c r="V191" i="27" s="1"/>
  <c r="W190" i="27"/>
  <c r="X190" i="27" s="1"/>
  <c r="V190" i="27"/>
  <c r="U190" i="27"/>
  <c r="W189" i="27"/>
  <c r="X189" i="27" s="1"/>
  <c r="U189" i="27"/>
  <c r="V189" i="27" s="1"/>
  <c r="W188" i="27"/>
  <c r="X188" i="27" s="1"/>
  <c r="U188" i="27"/>
  <c r="V188" i="27" s="1"/>
  <c r="W187" i="27"/>
  <c r="X187" i="27" s="1"/>
  <c r="U187" i="27"/>
  <c r="V187" i="27" s="1"/>
  <c r="X186" i="27"/>
  <c r="W186" i="27"/>
  <c r="U186" i="27"/>
  <c r="V186" i="27" s="1"/>
  <c r="W185" i="27"/>
  <c r="X185" i="27" s="1"/>
  <c r="U185" i="27"/>
  <c r="V185" i="27" s="1"/>
  <c r="W184" i="27"/>
  <c r="X184" i="27" s="1"/>
  <c r="U184" i="27"/>
  <c r="V184" i="27" s="1"/>
  <c r="W183" i="27"/>
  <c r="X183" i="27" s="1"/>
  <c r="U183" i="27"/>
  <c r="V183" i="27" s="1"/>
  <c r="W182" i="27"/>
  <c r="X182" i="27" s="1"/>
  <c r="U182" i="27"/>
  <c r="V182" i="27" s="1"/>
  <c r="W181" i="27"/>
  <c r="X181" i="27" s="1"/>
  <c r="U181" i="27"/>
  <c r="V181" i="27" s="1"/>
  <c r="W180" i="27"/>
  <c r="X180" i="27" s="1"/>
  <c r="U180" i="27"/>
  <c r="V180" i="27" s="1"/>
  <c r="W179" i="27"/>
  <c r="X179" i="27" s="1"/>
  <c r="U179" i="27"/>
  <c r="V179" i="27" s="1"/>
  <c r="W178" i="27"/>
  <c r="X178" i="27" s="1"/>
  <c r="U178" i="27"/>
  <c r="V178" i="27" s="1"/>
  <c r="W177" i="27"/>
  <c r="X177" i="27" s="1"/>
  <c r="U177" i="27"/>
  <c r="V177" i="27" s="1"/>
  <c r="W176" i="27"/>
  <c r="X176" i="27" s="1"/>
  <c r="U176" i="27"/>
  <c r="V176" i="27" s="1"/>
  <c r="W175" i="27"/>
  <c r="X175" i="27" s="1"/>
  <c r="U175" i="27"/>
  <c r="V175" i="27" s="1"/>
  <c r="W174" i="27"/>
  <c r="X174" i="27" s="1"/>
  <c r="V174" i="27"/>
  <c r="U174" i="27"/>
  <c r="W173" i="27"/>
  <c r="X173" i="27" s="1"/>
  <c r="U173" i="27"/>
  <c r="V173" i="27" s="1"/>
  <c r="W172" i="27"/>
  <c r="X172" i="27" s="1"/>
  <c r="U172" i="27"/>
  <c r="V172" i="27" s="1"/>
  <c r="X171" i="27"/>
  <c r="W171" i="27"/>
  <c r="U171" i="27"/>
  <c r="V171" i="27" s="1"/>
  <c r="W170" i="27"/>
  <c r="X170" i="27" s="1"/>
  <c r="U170" i="27"/>
  <c r="V170" i="27" s="1"/>
  <c r="W169" i="27"/>
  <c r="X169" i="27" s="1"/>
  <c r="U169" i="27"/>
  <c r="V169" i="27" s="1"/>
  <c r="W168" i="27"/>
  <c r="X168" i="27" s="1"/>
  <c r="U168" i="27"/>
  <c r="V168" i="27" s="1"/>
  <c r="W167" i="27"/>
  <c r="X167" i="27" s="1"/>
  <c r="U167" i="27"/>
  <c r="V167" i="27" s="1"/>
  <c r="W166" i="27"/>
  <c r="X166" i="27" s="1"/>
  <c r="U166" i="27"/>
  <c r="V166" i="27" s="1"/>
  <c r="W165" i="27"/>
  <c r="X165" i="27" s="1"/>
  <c r="U165" i="27"/>
  <c r="V165" i="27" s="1"/>
  <c r="W164" i="27"/>
  <c r="X164" i="27" s="1"/>
  <c r="U164" i="27"/>
  <c r="V164" i="27" s="1"/>
  <c r="W163" i="27"/>
  <c r="X163" i="27" s="1"/>
  <c r="U163" i="27"/>
  <c r="V163" i="27" s="1"/>
  <c r="X162" i="27"/>
  <c r="W162" i="27"/>
  <c r="V162" i="27"/>
  <c r="U162" i="27"/>
  <c r="X161" i="27"/>
  <c r="W161" i="27"/>
  <c r="U161" i="27"/>
  <c r="V161" i="27" s="1"/>
  <c r="W160" i="27"/>
  <c r="X160" i="27" s="1"/>
  <c r="U160" i="27"/>
  <c r="V160" i="27" s="1"/>
  <c r="W159" i="27"/>
  <c r="X159" i="27" s="1"/>
  <c r="U159" i="27"/>
  <c r="V159" i="27" s="1"/>
  <c r="W158" i="27"/>
  <c r="X158" i="27" s="1"/>
  <c r="U158" i="27"/>
  <c r="V158" i="27" s="1"/>
  <c r="W157" i="27"/>
  <c r="X157" i="27" s="1"/>
  <c r="U157" i="27"/>
  <c r="V157" i="27" s="1"/>
  <c r="W156" i="27"/>
  <c r="X156" i="27" s="1"/>
  <c r="V156" i="27"/>
  <c r="U156" i="27"/>
  <c r="W155" i="27"/>
  <c r="X155" i="27" s="1"/>
  <c r="U155" i="27"/>
  <c r="V155" i="27" s="1"/>
  <c r="W154" i="27"/>
  <c r="X154" i="27" s="1"/>
  <c r="U154" i="27"/>
  <c r="V154" i="27" s="1"/>
  <c r="W153" i="27"/>
  <c r="X153" i="27" s="1"/>
  <c r="U153" i="27"/>
  <c r="V153" i="27" s="1"/>
  <c r="W152" i="27"/>
  <c r="X152" i="27" s="1"/>
  <c r="U152" i="27"/>
  <c r="V152" i="27" s="1"/>
  <c r="W151" i="27"/>
  <c r="X151" i="27" s="1"/>
  <c r="U151" i="27"/>
  <c r="V151" i="27" s="1"/>
  <c r="W150" i="27"/>
  <c r="X150" i="27" s="1"/>
  <c r="U150" i="27"/>
  <c r="V150" i="27" s="1"/>
  <c r="W149" i="27"/>
  <c r="X149" i="27" s="1"/>
  <c r="U149" i="27"/>
  <c r="V149" i="27" s="1"/>
  <c r="W148" i="27"/>
  <c r="X148" i="27" s="1"/>
  <c r="U148" i="27"/>
  <c r="V148" i="27" s="1"/>
  <c r="W147" i="27"/>
  <c r="X147" i="27" s="1"/>
  <c r="U147" i="27"/>
  <c r="V147" i="27" s="1"/>
  <c r="W146" i="27"/>
  <c r="X146" i="27" s="1"/>
  <c r="U146" i="27"/>
  <c r="V146" i="27" s="1"/>
  <c r="W145" i="27"/>
  <c r="X145" i="27" s="1"/>
  <c r="U145" i="27"/>
  <c r="V145" i="27" s="1"/>
  <c r="W144" i="27"/>
  <c r="X144" i="27" s="1"/>
  <c r="U144" i="27"/>
  <c r="V144" i="27" s="1"/>
  <c r="W143" i="27"/>
  <c r="X143" i="27" s="1"/>
  <c r="U143" i="27"/>
  <c r="V143" i="27" s="1"/>
  <c r="W142" i="27"/>
  <c r="X142" i="27" s="1"/>
  <c r="V142" i="27"/>
  <c r="U142" i="27"/>
  <c r="W141" i="27"/>
  <c r="X141" i="27" s="1"/>
  <c r="U141" i="27"/>
  <c r="V141" i="27" s="1"/>
  <c r="W140" i="27"/>
  <c r="X140" i="27" s="1"/>
  <c r="U140" i="27"/>
  <c r="V140" i="27" s="1"/>
  <c r="W139" i="27"/>
  <c r="X139" i="27" s="1"/>
  <c r="U139" i="27"/>
  <c r="V139" i="27" s="1"/>
  <c r="W138" i="27"/>
  <c r="X138" i="27" s="1"/>
  <c r="U138" i="27"/>
  <c r="V138" i="27" s="1"/>
  <c r="X137" i="27"/>
  <c r="W137" i="27"/>
  <c r="U137" i="27"/>
  <c r="V137" i="27" s="1"/>
  <c r="W136" i="27"/>
  <c r="X136" i="27" s="1"/>
  <c r="V136" i="27"/>
  <c r="U136" i="27"/>
  <c r="W135" i="27"/>
  <c r="X135" i="27" s="1"/>
  <c r="U135" i="27"/>
  <c r="V135" i="27" s="1"/>
  <c r="W134" i="27"/>
  <c r="X134" i="27" s="1"/>
  <c r="U134" i="27"/>
  <c r="V134" i="27" s="1"/>
  <c r="W133" i="27"/>
  <c r="X133" i="27" s="1"/>
  <c r="U133" i="27"/>
  <c r="V133" i="27" s="1"/>
  <c r="W132" i="27"/>
  <c r="X132" i="27" s="1"/>
  <c r="U132" i="27"/>
  <c r="V132" i="27" s="1"/>
  <c r="W131" i="27"/>
  <c r="X131" i="27" s="1"/>
  <c r="U131" i="27"/>
  <c r="V131" i="27" s="1"/>
  <c r="W130" i="27"/>
  <c r="X130" i="27" s="1"/>
  <c r="U130" i="27"/>
  <c r="V130" i="27" s="1"/>
  <c r="W129" i="27"/>
  <c r="X129" i="27" s="1"/>
  <c r="U129" i="27"/>
  <c r="V129" i="27" s="1"/>
  <c r="W128" i="27"/>
  <c r="X128" i="27" s="1"/>
  <c r="U128" i="27"/>
  <c r="V128" i="27" s="1"/>
  <c r="W127" i="27"/>
  <c r="X127" i="27" s="1"/>
  <c r="U127" i="27"/>
  <c r="V127" i="27" s="1"/>
  <c r="W126" i="27"/>
  <c r="X126" i="27" s="1"/>
  <c r="U126" i="27"/>
  <c r="V126" i="27" s="1"/>
  <c r="W125" i="27"/>
  <c r="X125" i="27" s="1"/>
  <c r="U125" i="27"/>
  <c r="V125" i="27" s="1"/>
  <c r="W124" i="27"/>
  <c r="X124" i="27" s="1"/>
  <c r="U124" i="27"/>
  <c r="V124" i="27" s="1"/>
  <c r="X123" i="27"/>
  <c r="W123" i="27"/>
  <c r="U123" i="27"/>
  <c r="V123" i="27" s="1"/>
  <c r="W122" i="27"/>
  <c r="X122" i="27" s="1"/>
  <c r="U122" i="27"/>
  <c r="V122" i="27" s="1"/>
  <c r="W121" i="27"/>
  <c r="X121" i="27" s="1"/>
  <c r="U121" i="27"/>
  <c r="V121" i="27" s="1"/>
  <c r="W120" i="27"/>
  <c r="X120" i="27" s="1"/>
  <c r="U120" i="27"/>
  <c r="V120" i="27" s="1"/>
  <c r="W119" i="27"/>
  <c r="X119" i="27" s="1"/>
  <c r="U119" i="27"/>
  <c r="V119" i="27" s="1"/>
  <c r="W118" i="27"/>
  <c r="X118" i="27" s="1"/>
  <c r="U118" i="27"/>
  <c r="V118" i="27" s="1"/>
  <c r="W117" i="27"/>
  <c r="X117" i="27" s="1"/>
  <c r="U117" i="27"/>
  <c r="V117" i="27" s="1"/>
  <c r="W116" i="27"/>
  <c r="X116" i="27" s="1"/>
  <c r="U116" i="27"/>
  <c r="V116" i="27" s="1"/>
  <c r="W115" i="27"/>
  <c r="X115" i="27" s="1"/>
  <c r="U115" i="27"/>
  <c r="V115" i="27" s="1"/>
  <c r="X114" i="27"/>
  <c r="W114" i="27"/>
  <c r="U114" i="27"/>
  <c r="V114" i="27" s="1"/>
  <c r="W113" i="27"/>
  <c r="X113" i="27" s="1"/>
  <c r="U113" i="27"/>
  <c r="V113" i="27" s="1"/>
  <c r="W112" i="27"/>
  <c r="X112" i="27" s="1"/>
  <c r="V112" i="27"/>
  <c r="U112" i="27"/>
  <c r="X111" i="27"/>
  <c r="W111" i="27"/>
  <c r="U111" i="27"/>
  <c r="V111" i="27" s="1"/>
  <c r="W110" i="27"/>
  <c r="X110" i="27" s="1"/>
  <c r="U110" i="27"/>
  <c r="V110" i="27" s="1"/>
  <c r="W109" i="27"/>
  <c r="X109" i="27" s="1"/>
  <c r="U109" i="27"/>
  <c r="V109" i="27" s="1"/>
  <c r="W108" i="27"/>
  <c r="X108" i="27" s="1"/>
  <c r="U108" i="27"/>
  <c r="V108" i="27" s="1"/>
  <c r="W107" i="27"/>
  <c r="X107" i="27" s="1"/>
  <c r="U107" i="27"/>
  <c r="V107" i="27" s="1"/>
  <c r="W106" i="27"/>
  <c r="X106" i="27" s="1"/>
  <c r="U106" i="27"/>
  <c r="V106" i="27" s="1"/>
  <c r="X105" i="27"/>
  <c r="W105" i="27"/>
  <c r="U105" i="27"/>
  <c r="V105" i="27" s="1"/>
  <c r="W104" i="27"/>
  <c r="X104" i="27" s="1"/>
  <c r="U104" i="27"/>
  <c r="V104" i="27" s="1"/>
  <c r="W103" i="27"/>
  <c r="X103" i="27" s="1"/>
  <c r="U103" i="27"/>
  <c r="V103" i="27" s="1"/>
  <c r="X102" i="27"/>
  <c r="W102" i="27"/>
  <c r="V102" i="27"/>
  <c r="U102" i="27"/>
  <c r="W101" i="27"/>
  <c r="X101" i="27" s="1"/>
  <c r="U101" i="27"/>
  <c r="V101" i="27" s="1"/>
  <c r="W100" i="27"/>
  <c r="X100" i="27" s="1"/>
  <c r="U100" i="27"/>
  <c r="V100" i="27" s="1"/>
  <c r="W99" i="27"/>
  <c r="X99" i="27" s="1"/>
  <c r="U99" i="27"/>
  <c r="V99" i="27" s="1"/>
  <c r="W98" i="27"/>
  <c r="X98" i="27" s="1"/>
  <c r="U98" i="27"/>
  <c r="V98" i="27" s="1"/>
  <c r="W97" i="27"/>
  <c r="X97" i="27" s="1"/>
  <c r="U97" i="27"/>
  <c r="V97" i="27" s="1"/>
  <c r="X96" i="27"/>
  <c r="W96" i="27"/>
  <c r="U96" i="27"/>
  <c r="V96" i="27" s="1"/>
  <c r="W95" i="27"/>
  <c r="X95" i="27" s="1"/>
  <c r="U95" i="27"/>
  <c r="V95" i="27" s="1"/>
  <c r="W94" i="27"/>
  <c r="X94" i="27" s="1"/>
  <c r="U94" i="27"/>
  <c r="V94" i="27" s="1"/>
  <c r="W93" i="27"/>
  <c r="X93" i="27" s="1"/>
  <c r="U93" i="27"/>
  <c r="V93" i="27" s="1"/>
  <c r="W92" i="27"/>
  <c r="X92" i="27" s="1"/>
  <c r="U92" i="27"/>
  <c r="V92" i="27" s="1"/>
  <c r="W91" i="27"/>
  <c r="X91" i="27" s="1"/>
  <c r="U91" i="27"/>
  <c r="V91" i="27" s="1"/>
  <c r="W90" i="27"/>
  <c r="X90" i="27" s="1"/>
  <c r="U90" i="27"/>
  <c r="V90" i="27" s="1"/>
  <c r="X89" i="27"/>
  <c r="W89" i="27"/>
  <c r="U89" i="27"/>
  <c r="V89" i="27" s="1"/>
  <c r="W88" i="27"/>
  <c r="X88" i="27" s="1"/>
  <c r="U88" i="27"/>
  <c r="V88" i="27" s="1"/>
  <c r="W87" i="27"/>
  <c r="X87" i="27" s="1"/>
  <c r="U87" i="27"/>
  <c r="V87" i="27" s="1"/>
  <c r="W86" i="27"/>
  <c r="X86" i="27" s="1"/>
  <c r="U86" i="27"/>
  <c r="V86" i="27" s="1"/>
  <c r="W85" i="27"/>
  <c r="X85" i="27" s="1"/>
  <c r="U85" i="27"/>
  <c r="V85" i="27" s="1"/>
  <c r="W84" i="27"/>
  <c r="X84" i="27" s="1"/>
  <c r="U84" i="27"/>
  <c r="V84" i="27" s="1"/>
  <c r="W83" i="27"/>
  <c r="X83" i="27" s="1"/>
  <c r="U83" i="27"/>
  <c r="V83" i="27" s="1"/>
  <c r="W82" i="27"/>
  <c r="X82" i="27" s="1"/>
  <c r="U82" i="27"/>
  <c r="V82" i="27" s="1"/>
  <c r="W81" i="27"/>
  <c r="X81" i="27" s="1"/>
  <c r="U81" i="27"/>
  <c r="V81" i="27" s="1"/>
  <c r="W80" i="27"/>
  <c r="X80" i="27" s="1"/>
  <c r="U80" i="27"/>
  <c r="V80" i="27" s="1"/>
  <c r="W79" i="27"/>
  <c r="X79" i="27" s="1"/>
  <c r="U79" i="27"/>
  <c r="V79" i="27" s="1"/>
  <c r="W78" i="27"/>
  <c r="X78" i="27" s="1"/>
  <c r="V78" i="27"/>
  <c r="U78" i="27"/>
  <c r="X77" i="27"/>
  <c r="W77" i="27"/>
  <c r="U77" i="27"/>
  <c r="V77" i="27" s="1"/>
  <c r="W76" i="27"/>
  <c r="X76" i="27" s="1"/>
  <c r="U76" i="27"/>
  <c r="V76" i="27" s="1"/>
  <c r="W75" i="27"/>
  <c r="X75" i="27" s="1"/>
  <c r="U75" i="27"/>
  <c r="V75" i="27" s="1"/>
  <c r="W74" i="27"/>
  <c r="X74" i="27" s="1"/>
  <c r="U74" i="27"/>
  <c r="V74" i="27" s="1"/>
  <c r="W73" i="27"/>
  <c r="X73" i="27" s="1"/>
  <c r="U73" i="27"/>
  <c r="V73" i="27" s="1"/>
  <c r="W72" i="27"/>
  <c r="X72" i="27" s="1"/>
  <c r="U72" i="27"/>
  <c r="V72" i="27" s="1"/>
  <c r="X71" i="27"/>
  <c r="W71" i="27"/>
  <c r="U71" i="27"/>
  <c r="V71" i="27" s="1"/>
  <c r="W70" i="27"/>
  <c r="X70" i="27" s="1"/>
  <c r="U70" i="27"/>
  <c r="V70" i="27" s="1"/>
  <c r="W69" i="27"/>
  <c r="X69" i="27" s="1"/>
  <c r="U69" i="27"/>
  <c r="V69" i="27" s="1"/>
  <c r="W68" i="27"/>
  <c r="X68" i="27" s="1"/>
  <c r="U68" i="27"/>
  <c r="V68" i="27" s="1"/>
  <c r="W67" i="27"/>
  <c r="X67" i="27" s="1"/>
  <c r="U67" i="27"/>
  <c r="V67" i="27" s="1"/>
  <c r="W66" i="27"/>
  <c r="X66" i="27" s="1"/>
  <c r="U66" i="27"/>
  <c r="V66" i="27" s="1"/>
  <c r="W65" i="27"/>
  <c r="X65" i="27" s="1"/>
  <c r="U65" i="27"/>
  <c r="V65" i="27" s="1"/>
  <c r="W64" i="27"/>
  <c r="X64" i="27" s="1"/>
  <c r="V64" i="27"/>
  <c r="U64" i="27"/>
  <c r="W63" i="27"/>
  <c r="X63" i="27" s="1"/>
  <c r="U63" i="27"/>
  <c r="V63" i="27" s="1"/>
  <c r="W62" i="27"/>
  <c r="X62" i="27" s="1"/>
  <c r="U62" i="27"/>
  <c r="V62" i="27" s="1"/>
  <c r="W61" i="27"/>
  <c r="X61" i="27" s="1"/>
  <c r="U61" i="27"/>
  <c r="V61" i="27" s="1"/>
  <c r="W60" i="27"/>
  <c r="X60" i="27" s="1"/>
  <c r="U60" i="27"/>
  <c r="V60" i="27" s="1"/>
  <c r="W59" i="27"/>
  <c r="X59" i="27" s="1"/>
  <c r="U59" i="27"/>
  <c r="V59" i="27" s="1"/>
  <c r="W58" i="27"/>
  <c r="X58" i="27" s="1"/>
  <c r="U58" i="27"/>
  <c r="V58" i="27" s="1"/>
  <c r="W57" i="27"/>
  <c r="X57" i="27" s="1"/>
  <c r="U57" i="27"/>
  <c r="V57" i="27" s="1"/>
  <c r="W56" i="27"/>
  <c r="X56" i="27" s="1"/>
  <c r="U56" i="27"/>
  <c r="V56" i="27" s="1"/>
  <c r="W55" i="27"/>
  <c r="X55" i="27" s="1"/>
  <c r="U55" i="27"/>
  <c r="V55" i="27" s="1"/>
  <c r="W54" i="27"/>
  <c r="X54" i="27" s="1"/>
  <c r="U54" i="27"/>
  <c r="V54" i="27" s="1"/>
  <c r="W53" i="27"/>
  <c r="X53" i="27" s="1"/>
  <c r="U53" i="27"/>
  <c r="V53" i="27" s="1"/>
  <c r="W52" i="27"/>
  <c r="X52" i="27" s="1"/>
  <c r="V52" i="27"/>
  <c r="U52" i="27"/>
  <c r="X51" i="27"/>
  <c r="W51" i="27"/>
  <c r="U51" i="27"/>
  <c r="V51" i="27" s="1"/>
  <c r="W50" i="27"/>
  <c r="X50" i="27" s="1"/>
  <c r="U50" i="27"/>
  <c r="V50" i="27" s="1"/>
  <c r="W49" i="27"/>
  <c r="X49" i="27" s="1"/>
  <c r="U49" i="27"/>
  <c r="V49" i="27" s="1"/>
  <c r="W48" i="27"/>
  <c r="X48" i="27" s="1"/>
  <c r="U48" i="27"/>
  <c r="V48" i="27" s="1"/>
  <c r="W47" i="27"/>
  <c r="X47" i="27" s="1"/>
  <c r="U47" i="27"/>
  <c r="V47" i="27" s="1"/>
  <c r="W46" i="27"/>
  <c r="X46" i="27" s="1"/>
  <c r="V46" i="27"/>
  <c r="U46" i="27"/>
  <c r="W45" i="27"/>
  <c r="X45" i="27" s="1"/>
  <c r="U45" i="27"/>
  <c r="V45" i="27" s="1"/>
  <c r="W44" i="27"/>
  <c r="X44" i="27" s="1"/>
  <c r="U44" i="27"/>
  <c r="V44" i="27" s="1"/>
  <c r="W43" i="27"/>
  <c r="X43" i="27" s="1"/>
  <c r="U43" i="27"/>
  <c r="V43" i="27" s="1"/>
  <c r="X42" i="27"/>
  <c r="W42" i="27"/>
  <c r="U42" i="27"/>
  <c r="V42" i="27" s="1"/>
  <c r="W41" i="27"/>
  <c r="X41" i="27" s="1"/>
  <c r="U41" i="27"/>
  <c r="V41" i="27" s="1"/>
  <c r="W40" i="27"/>
  <c r="X40" i="27" s="1"/>
  <c r="U40" i="27"/>
  <c r="V40" i="27" s="1"/>
  <c r="W39" i="27"/>
  <c r="X39" i="27" s="1"/>
  <c r="U39" i="27"/>
  <c r="V39" i="27" s="1"/>
  <c r="W38" i="27"/>
  <c r="X38" i="27" s="1"/>
  <c r="U38" i="27"/>
  <c r="V38" i="27" s="1"/>
  <c r="W37" i="27"/>
  <c r="X37" i="27" s="1"/>
  <c r="U37" i="27"/>
  <c r="V37" i="27" s="1"/>
  <c r="W36" i="27"/>
  <c r="X36" i="27" s="1"/>
  <c r="U36" i="27"/>
  <c r="V36" i="27" s="1"/>
  <c r="W35" i="27"/>
  <c r="X35" i="27" s="1"/>
  <c r="U35" i="27"/>
  <c r="V35" i="27" s="1"/>
  <c r="W34" i="27"/>
  <c r="X34" i="27" s="1"/>
  <c r="U34" i="27"/>
  <c r="V34" i="27" s="1"/>
  <c r="W33" i="27"/>
  <c r="X33" i="27" s="1"/>
  <c r="U33" i="27"/>
  <c r="V33" i="27" s="1"/>
  <c r="W32" i="27"/>
  <c r="X32" i="27" s="1"/>
  <c r="U32" i="27"/>
  <c r="V32" i="27" s="1"/>
  <c r="W31" i="27"/>
  <c r="X31" i="27" s="1"/>
  <c r="U31" i="27"/>
  <c r="V31" i="27" s="1"/>
  <c r="W30" i="27"/>
  <c r="X30" i="27" s="1"/>
  <c r="U30" i="27"/>
  <c r="V30" i="27" s="1"/>
  <c r="X29" i="27"/>
  <c r="W29" i="27"/>
  <c r="U29" i="27"/>
  <c r="V29" i="27" s="1"/>
  <c r="W28" i="27"/>
  <c r="X28" i="27" s="1"/>
  <c r="U28" i="27"/>
  <c r="V28" i="27" s="1"/>
  <c r="W27" i="27"/>
  <c r="X27" i="27" s="1"/>
  <c r="U27" i="27"/>
  <c r="V27" i="27" s="1"/>
  <c r="W26" i="27"/>
  <c r="X26" i="27" s="1"/>
  <c r="U26" i="27"/>
  <c r="V26" i="27" s="1"/>
  <c r="W25" i="27"/>
  <c r="X25" i="27" s="1"/>
  <c r="U25" i="27"/>
  <c r="V25" i="27" s="1"/>
  <c r="W24" i="27"/>
  <c r="X24" i="27" s="1"/>
  <c r="U24" i="27"/>
  <c r="V24" i="27" s="1"/>
  <c r="W23" i="27"/>
  <c r="X23" i="27" s="1"/>
  <c r="U23" i="27"/>
  <c r="V23" i="27" s="1"/>
  <c r="W22" i="27"/>
  <c r="X22" i="27" s="1"/>
  <c r="U22" i="27"/>
  <c r="V22" i="27" s="1"/>
  <c r="X21" i="27"/>
  <c r="W21" i="27"/>
  <c r="U21" i="27"/>
  <c r="V21" i="27" s="1"/>
  <c r="W20" i="27"/>
  <c r="X20" i="27" s="1"/>
  <c r="U20" i="27"/>
  <c r="V20" i="27" s="1"/>
  <c r="W19" i="27"/>
  <c r="X19" i="27" s="1"/>
  <c r="U19" i="27"/>
  <c r="V19" i="27" s="1"/>
  <c r="W18" i="27"/>
  <c r="X18" i="27" s="1"/>
  <c r="U18" i="27"/>
  <c r="V18" i="27" s="1"/>
  <c r="W17" i="27"/>
  <c r="X17" i="27" s="1"/>
  <c r="U17" i="27"/>
  <c r="V17" i="27" s="1"/>
  <c r="W16" i="27"/>
  <c r="X16" i="27" s="1"/>
  <c r="U16" i="27"/>
  <c r="V16" i="27" s="1"/>
  <c r="W15" i="27"/>
  <c r="X15" i="27" s="1"/>
  <c r="U15" i="27"/>
  <c r="V15" i="27" s="1"/>
  <c r="W14" i="27"/>
  <c r="X14" i="27" s="1"/>
  <c r="U14" i="27"/>
  <c r="V14" i="27" s="1"/>
  <c r="W13" i="27"/>
  <c r="X13" i="27" s="1"/>
  <c r="V13" i="27"/>
  <c r="U13" i="27"/>
  <c r="W12" i="27"/>
  <c r="X12" i="27" s="1"/>
  <c r="U12" i="27"/>
  <c r="V12" i="27" s="1"/>
  <c r="W11" i="27"/>
  <c r="X11" i="27" s="1"/>
  <c r="U11" i="27"/>
  <c r="V11" i="27" s="1"/>
  <c r="W10" i="27"/>
  <c r="X10" i="27" s="1"/>
  <c r="U10" i="27"/>
  <c r="V10" i="27" s="1"/>
  <c r="W9" i="27"/>
  <c r="X9" i="27" s="1"/>
  <c r="U9" i="27"/>
  <c r="V9" i="27" s="1"/>
  <c r="W8" i="27"/>
  <c r="X8" i="27" s="1"/>
  <c r="U8" i="27"/>
  <c r="V8" i="27" s="1"/>
  <c r="W7" i="27"/>
  <c r="X7" i="27" s="1"/>
  <c r="U7" i="27"/>
  <c r="V7" i="27" s="1"/>
  <c r="W6" i="27"/>
  <c r="X6" i="27" s="1"/>
  <c r="U6" i="27"/>
  <c r="V6" i="27" s="1"/>
  <c r="X5" i="27"/>
  <c r="W5" i="27"/>
  <c r="U5" i="27"/>
  <c r="V5" i="27" s="1"/>
  <c r="W4" i="27"/>
  <c r="X4" i="27" s="1"/>
  <c r="U4" i="27"/>
  <c r="V4" i="27" s="1"/>
  <c r="W3" i="27"/>
  <c r="X3" i="27" s="1"/>
  <c r="U3" i="27"/>
  <c r="V3" i="27" s="1"/>
  <c r="X2" i="27"/>
  <c r="W2" i="27"/>
  <c r="V2" i="27"/>
  <c r="U2" i="27"/>
  <c r="P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Y91" i="26"/>
  <c r="Z91" i="26" s="1"/>
  <c r="W91" i="26"/>
  <c r="X91" i="26" s="1"/>
  <c r="Y90" i="26"/>
  <c r="Z90" i="26" s="1"/>
  <c r="W90" i="26"/>
  <c r="X90" i="26" s="1"/>
  <c r="Y89" i="26"/>
  <c r="Z89" i="26" s="1"/>
  <c r="W89" i="26"/>
  <c r="X89" i="26" s="1"/>
  <c r="Y88" i="26"/>
  <c r="Z88" i="26" s="1"/>
  <c r="X88" i="26"/>
  <c r="W88" i="26"/>
  <c r="Y87" i="26"/>
  <c r="Z87" i="26" s="1"/>
  <c r="W87" i="26"/>
  <c r="X87" i="26" s="1"/>
  <c r="Y86" i="26"/>
  <c r="Z86" i="26" s="1"/>
  <c r="W86" i="26"/>
  <c r="X86" i="26" s="1"/>
  <c r="Y85" i="26"/>
  <c r="Z85" i="26" s="1"/>
  <c r="W85" i="26"/>
  <c r="X85" i="26" s="1"/>
  <c r="Y84" i="26"/>
  <c r="Z84" i="26" s="1"/>
  <c r="W84" i="26"/>
  <c r="X84" i="26" s="1"/>
  <c r="Y83" i="26"/>
  <c r="Z83" i="26" s="1"/>
  <c r="W83" i="26"/>
  <c r="X83" i="26" s="1"/>
  <c r="Y82" i="26"/>
  <c r="Z82" i="26" s="1"/>
  <c r="X82" i="26"/>
  <c r="W82" i="26"/>
  <c r="Y81" i="26"/>
  <c r="Z81" i="26" s="1"/>
  <c r="W81" i="26"/>
  <c r="X81" i="26" s="1"/>
  <c r="Y80" i="26"/>
  <c r="Z80" i="26" s="1"/>
  <c r="W80" i="26"/>
  <c r="X80" i="26" s="1"/>
  <c r="Y79" i="26"/>
  <c r="Z79" i="26" s="1"/>
  <c r="W79" i="26"/>
  <c r="X79" i="26" s="1"/>
  <c r="Y78" i="26"/>
  <c r="Z78" i="26" s="1"/>
  <c r="W78" i="26"/>
  <c r="X78" i="26" s="1"/>
  <c r="Y77" i="26"/>
  <c r="Z77" i="26" s="1"/>
  <c r="W77" i="26"/>
  <c r="X77" i="26" s="1"/>
  <c r="Y76" i="26"/>
  <c r="Z76" i="26" s="1"/>
  <c r="X76" i="26"/>
  <c r="W76" i="26"/>
  <c r="Y75" i="26"/>
  <c r="Z75" i="26" s="1"/>
  <c r="W75" i="26"/>
  <c r="X75" i="26" s="1"/>
  <c r="Y74" i="26"/>
  <c r="Z74" i="26" s="1"/>
  <c r="W74" i="26"/>
  <c r="X74" i="26" s="1"/>
  <c r="Y73" i="26"/>
  <c r="Z73" i="26" s="1"/>
  <c r="W73" i="26"/>
  <c r="X73" i="26" s="1"/>
  <c r="Y72" i="26"/>
  <c r="Z72" i="26" s="1"/>
  <c r="W72" i="26"/>
  <c r="X72" i="26" s="1"/>
  <c r="Y71" i="26"/>
  <c r="Z71" i="26" s="1"/>
  <c r="W71" i="26"/>
  <c r="X71" i="26" s="1"/>
  <c r="Y70" i="26"/>
  <c r="Z70" i="26" s="1"/>
  <c r="X70" i="26"/>
  <c r="W70" i="26"/>
  <c r="Y69" i="26"/>
  <c r="Z69" i="26" s="1"/>
  <c r="W69" i="26"/>
  <c r="X69" i="26" s="1"/>
  <c r="Y68" i="26"/>
  <c r="Z68" i="26" s="1"/>
  <c r="W68" i="26"/>
  <c r="X68" i="26" s="1"/>
  <c r="Y67" i="26"/>
  <c r="Z67" i="26" s="1"/>
  <c r="W67" i="26"/>
  <c r="X67" i="26" s="1"/>
  <c r="Y66" i="26"/>
  <c r="Z66" i="26" s="1"/>
  <c r="W66" i="26"/>
  <c r="X66" i="26" s="1"/>
  <c r="Y65" i="26"/>
  <c r="Z65" i="26" s="1"/>
  <c r="W65" i="26"/>
  <c r="X65" i="26" s="1"/>
  <c r="Y64" i="26"/>
  <c r="Z64" i="26" s="1"/>
  <c r="X64" i="26"/>
  <c r="W64" i="26"/>
  <c r="Y63" i="26"/>
  <c r="Z63" i="26" s="1"/>
  <c r="W63" i="26"/>
  <c r="X63" i="26" s="1"/>
  <c r="Y62" i="26"/>
  <c r="Z62" i="26" s="1"/>
  <c r="W62" i="26"/>
  <c r="X62" i="26" s="1"/>
  <c r="Y61" i="26"/>
  <c r="Z61" i="26" s="1"/>
  <c r="W61" i="26"/>
  <c r="X61" i="26" s="1"/>
  <c r="Y60" i="26"/>
  <c r="Z60" i="26" s="1"/>
  <c r="W60" i="26"/>
  <c r="X60" i="26" s="1"/>
  <c r="Y59" i="26"/>
  <c r="Z59" i="26" s="1"/>
  <c r="W59" i="26"/>
  <c r="X59" i="26" s="1"/>
  <c r="Y58" i="26"/>
  <c r="Z58" i="26" s="1"/>
  <c r="X58" i="26"/>
  <c r="W58" i="26"/>
  <c r="Y57" i="26"/>
  <c r="Z57" i="26" s="1"/>
  <c r="W57" i="26"/>
  <c r="X57" i="26" s="1"/>
  <c r="Y56" i="26"/>
  <c r="Z56" i="26" s="1"/>
  <c r="W56" i="26"/>
  <c r="X56" i="26" s="1"/>
  <c r="Y55" i="26"/>
  <c r="Z55" i="26" s="1"/>
  <c r="W55" i="26"/>
  <c r="X55" i="26" s="1"/>
  <c r="Y54" i="26"/>
  <c r="Z54" i="26" s="1"/>
  <c r="W54" i="26"/>
  <c r="X54" i="26" s="1"/>
  <c r="Y53" i="26"/>
  <c r="Z53" i="26" s="1"/>
  <c r="W53" i="26"/>
  <c r="X53" i="26" s="1"/>
  <c r="Y52" i="26"/>
  <c r="Z52" i="26" s="1"/>
  <c r="X52" i="26"/>
  <c r="W52" i="26"/>
  <c r="Y51" i="26"/>
  <c r="Z51" i="26" s="1"/>
  <c r="W51" i="26"/>
  <c r="X51" i="26" s="1"/>
  <c r="Y50" i="26"/>
  <c r="Z50" i="26" s="1"/>
  <c r="W50" i="26"/>
  <c r="X50" i="26" s="1"/>
  <c r="Y49" i="26"/>
  <c r="Z49" i="26" s="1"/>
  <c r="W49" i="26"/>
  <c r="X49" i="26" s="1"/>
  <c r="Y48" i="26"/>
  <c r="Z48" i="26" s="1"/>
  <c r="W48" i="26"/>
  <c r="X48" i="26" s="1"/>
  <c r="Y47" i="26"/>
  <c r="Z47" i="26" s="1"/>
  <c r="W47" i="26"/>
  <c r="X47" i="26" s="1"/>
  <c r="Y46" i="26"/>
  <c r="Z46" i="26" s="1"/>
  <c r="X46" i="26"/>
  <c r="W46" i="26"/>
  <c r="Y45" i="26"/>
  <c r="Z45" i="26" s="1"/>
  <c r="W45" i="26"/>
  <c r="X45" i="26" s="1"/>
  <c r="Y44" i="26"/>
  <c r="Z44" i="26" s="1"/>
  <c r="W44" i="26"/>
  <c r="X44" i="26" s="1"/>
  <c r="Y43" i="26"/>
  <c r="Z43" i="26" s="1"/>
  <c r="W43" i="26"/>
  <c r="X43" i="26" s="1"/>
  <c r="Y42" i="26"/>
  <c r="Z42" i="26" s="1"/>
  <c r="W42" i="26"/>
  <c r="X42" i="26" s="1"/>
  <c r="Y41" i="26"/>
  <c r="Z41" i="26" s="1"/>
  <c r="W41" i="26"/>
  <c r="X41" i="26" s="1"/>
  <c r="Y40" i="26"/>
  <c r="Z40" i="26" s="1"/>
  <c r="X40" i="26"/>
  <c r="W40" i="26"/>
  <c r="Y39" i="26"/>
  <c r="Z39" i="26" s="1"/>
  <c r="W39" i="26"/>
  <c r="X39" i="26" s="1"/>
  <c r="Y38" i="26"/>
  <c r="Z38" i="26" s="1"/>
  <c r="W38" i="26"/>
  <c r="X38" i="26" s="1"/>
  <c r="Y37" i="26"/>
  <c r="Z37" i="26" s="1"/>
  <c r="W37" i="26"/>
  <c r="X37" i="26" s="1"/>
  <c r="Y36" i="26"/>
  <c r="Z36" i="26" s="1"/>
  <c r="W36" i="26"/>
  <c r="X36" i="26" s="1"/>
  <c r="Y35" i="26"/>
  <c r="Z35" i="26" s="1"/>
  <c r="W35" i="26"/>
  <c r="X35" i="26" s="1"/>
  <c r="Y34" i="26"/>
  <c r="Z34" i="26" s="1"/>
  <c r="X34" i="26"/>
  <c r="W34" i="26"/>
  <c r="Y33" i="26"/>
  <c r="Z33" i="26" s="1"/>
  <c r="W33" i="26"/>
  <c r="X33" i="26" s="1"/>
  <c r="Y32" i="26"/>
  <c r="Z32" i="26" s="1"/>
  <c r="W32" i="26"/>
  <c r="X32" i="26" s="1"/>
  <c r="Y31" i="26"/>
  <c r="Z31" i="26" s="1"/>
  <c r="W31" i="26"/>
  <c r="X31" i="26" s="1"/>
  <c r="Y30" i="26"/>
  <c r="Z30" i="26" s="1"/>
  <c r="W30" i="26"/>
  <c r="X30" i="26" s="1"/>
  <c r="Y29" i="26"/>
  <c r="Z29" i="26" s="1"/>
  <c r="W29" i="26"/>
  <c r="X29" i="26" s="1"/>
  <c r="Y28" i="26"/>
  <c r="Z28" i="26" s="1"/>
  <c r="X28" i="26"/>
  <c r="W28" i="26"/>
  <c r="Y27" i="26"/>
  <c r="Z27" i="26" s="1"/>
  <c r="W27" i="26"/>
  <c r="X27" i="26" s="1"/>
  <c r="Y26" i="26"/>
  <c r="Z26" i="26" s="1"/>
  <c r="W26" i="26"/>
  <c r="X26" i="26" s="1"/>
  <c r="Y25" i="26"/>
  <c r="Z25" i="26" s="1"/>
  <c r="W25" i="26"/>
  <c r="X25" i="26" s="1"/>
  <c r="Y24" i="26"/>
  <c r="Z24" i="26" s="1"/>
  <c r="W24" i="26"/>
  <c r="X24" i="26" s="1"/>
  <c r="Y23" i="26"/>
  <c r="Z23" i="26" s="1"/>
  <c r="W23" i="26"/>
  <c r="X23" i="26" s="1"/>
  <c r="Y22" i="26"/>
  <c r="Z22" i="26" s="1"/>
  <c r="X22" i="26"/>
  <c r="W22" i="26"/>
  <c r="Y21" i="26"/>
  <c r="Z21" i="26" s="1"/>
  <c r="W21" i="26"/>
  <c r="X21" i="26" s="1"/>
  <c r="Y20" i="26"/>
  <c r="Z20" i="26" s="1"/>
  <c r="W20" i="26"/>
  <c r="X20" i="26" s="1"/>
  <c r="Y19" i="26"/>
  <c r="Z19" i="26" s="1"/>
  <c r="W19" i="26"/>
  <c r="X19" i="26" s="1"/>
  <c r="Y18" i="26"/>
  <c r="Z18" i="26" s="1"/>
  <c r="W18" i="26"/>
  <c r="X18" i="26" s="1"/>
  <c r="Y17" i="26"/>
  <c r="Z17" i="26" s="1"/>
  <c r="W17" i="26"/>
  <c r="X17" i="26" s="1"/>
  <c r="Y16" i="26"/>
  <c r="Z16" i="26" s="1"/>
  <c r="X16" i="26"/>
  <c r="W16" i="26"/>
  <c r="Y15" i="26"/>
  <c r="Z15" i="26" s="1"/>
  <c r="W15" i="26"/>
  <c r="X15" i="26" s="1"/>
  <c r="Y14" i="26"/>
  <c r="Z14" i="26" s="1"/>
  <c r="W14" i="26"/>
  <c r="X14" i="26" s="1"/>
  <c r="Y13" i="26"/>
  <c r="Z13" i="26" s="1"/>
  <c r="W13" i="26"/>
  <c r="X13" i="26" s="1"/>
  <c r="Y12" i="26"/>
  <c r="Z12" i="26" s="1"/>
  <c r="W12" i="26"/>
  <c r="X12" i="26" s="1"/>
  <c r="Y11" i="26"/>
  <c r="Z11" i="26" s="1"/>
  <c r="W11" i="26"/>
  <c r="X11" i="26" s="1"/>
  <c r="Y10" i="26"/>
  <c r="Z10" i="26" s="1"/>
  <c r="X10" i="26"/>
  <c r="W10" i="26"/>
  <c r="Y9" i="26"/>
  <c r="Z9" i="26" s="1"/>
  <c r="W9" i="26"/>
  <c r="X9" i="26" s="1"/>
  <c r="Y8" i="26"/>
  <c r="Z8" i="26" s="1"/>
  <c r="W8" i="26"/>
  <c r="X8" i="26" s="1"/>
  <c r="Y7" i="26"/>
  <c r="Z7" i="26" s="1"/>
  <c r="W7" i="26"/>
  <c r="X7" i="26" s="1"/>
  <c r="Y6" i="26"/>
  <c r="Z6" i="26" s="1"/>
  <c r="W6" i="26"/>
  <c r="X6" i="26" s="1"/>
  <c r="Y5" i="26"/>
  <c r="Z5" i="26" s="1"/>
  <c r="W5" i="26"/>
  <c r="X5" i="26" s="1"/>
  <c r="Y4" i="26"/>
  <c r="Z4" i="26" s="1"/>
  <c r="X4" i="26"/>
  <c r="W4" i="26"/>
  <c r="Y3" i="26"/>
  <c r="Z3" i="26" s="1"/>
  <c r="W3" i="26"/>
  <c r="X3" i="26" s="1"/>
  <c r="Z2" i="26"/>
  <c r="Y2" i="26"/>
  <c r="X2" i="26"/>
  <c r="W2" i="26"/>
  <c r="V112" i="26"/>
  <c r="V111" i="26"/>
  <c r="V110" i="26"/>
  <c r="V109" i="26"/>
  <c r="V108" i="26"/>
  <c r="V107" i="26"/>
  <c r="V106" i="26"/>
  <c r="V105" i="26"/>
  <c r="V104" i="26"/>
  <c r="V103" i="26"/>
  <c r="V102" i="26"/>
  <c r="V101" i="26"/>
  <c r="V100" i="26"/>
  <c r="V99" i="26"/>
  <c r="V98" i="26"/>
  <c r="V97" i="26"/>
  <c r="V96" i="26"/>
  <c r="V95" i="26"/>
  <c r="V94" i="26"/>
  <c r="V93" i="26"/>
  <c r="V92" i="26"/>
  <c r="V91" i="26"/>
  <c r="V90" i="26"/>
  <c r="V89" i="26"/>
  <c r="V88" i="26"/>
  <c r="V87" i="26"/>
  <c r="V86" i="26"/>
  <c r="V85" i="26"/>
  <c r="V84" i="26"/>
  <c r="V83" i="26"/>
  <c r="V82" i="26"/>
  <c r="V81" i="26"/>
  <c r="V80" i="26"/>
  <c r="V79" i="26"/>
  <c r="V78" i="26"/>
  <c r="V77" i="26"/>
  <c r="V76" i="26"/>
  <c r="V75" i="26"/>
  <c r="V74" i="26"/>
  <c r="V73" i="26"/>
  <c r="V72" i="26"/>
  <c r="V71" i="26"/>
  <c r="V70" i="26"/>
  <c r="V69" i="26"/>
  <c r="V68" i="26"/>
  <c r="V67" i="26"/>
  <c r="V66" i="26"/>
  <c r="V65" i="26"/>
  <c r="V64" i="26"/>
  <c r="V63" i="26"/>
  <c r="V62" i="26"/>
  <c r="V61" i="26"/>
  <c r="V60" i="26"/>
  <c r="V59" i="26"/>
  <c r="V58" i="26"/>
  <c r="V57" i="26"/>
  <c r="V56" i="26"/>
  <c r="V55" i="26"/>
  <c r="V54" i="26"/>
  <c r="V53" i="26"/>
  <c r="V52" i="26"/>
  <c r="V51" i="26"/>
  <c r="V50" i="26"/>
  <c r="V49" i="26"/>
  <c r="V48" i="26"/>
  <c r="V47" i="26"/>
  <c r="V46" i="26"/>
  <c r="V45" i="26"/>
  <c r="V44" i="26"/>
  <c r="V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V3" i="26"/>
  <c r="V2" i="26"/>
  <c r="P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O264" i="25"/>
  <c r="O265" i="25"/>
  <c r="O266" i="25"/>
  <c r="O267" i="25"/>
  <c r="O268" i="25"/>
  <c r="O269" i="25"/>
  <c r="O270" i="25"/>
  <c r="O271" i="25"/>
  <c r="O272" i="25"/>
  <c r="O273" i="25"/>
  <c r="O274" i="25"/>
  <c r="O275" i="25"/>
  <c r="O276" i="25"/>
  <c r="O277" i="25"/>
  <c r="O278" i="25"/>
  <c r="O279" i="25"/>
  <c r="O280" i="25"/>
  <c r="O281" i="25"/>
  <c r="O282" i="25"/>
  <c r="O283" i="25"/>
  <c r="O284" i="25"/>
  <c r="O285" i="25"/>
  <c r="O286" i="25"/>
  <c r="O287" i="25"/>
  <c r="O288" i="25"/>
  <c r="O2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137" i="24"/>
  <c r="O138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6" i="24"/>
  <c r="O157" i="24"/>
  <c r="O158" i="24"/>
  <c r="O159" i="24"/>
  <c r="O160" i="24"/>
  <c r="O161" i="24"/>
  <c r="O162" i="24"/>
  <c r="O163" i="24"/>
  <c r="O164" i="24"/>
  <c r="O165" i="24"/>
  <c r="O166" i="24"/>
  <c r="O167" i="24"/>
  <c r="O168" i="24"/>
  <c r="O169" i="24"/>
  <c r="O170" i="24"/>
  <c r="O171" i="24"/>
  <c r="O172" i="24"/>
  <c r="O173" i="24"/>
  <c r="O174" i="24"/>
  <c r="O175" i="24"/>
  <c r="O176" i="24"/>
  <c r="O177" i="24"/>
  <c r="O178" i="24"/>
  <c r="O179" i="24"/>
  <c r="O180" i="24"/>
  <c r="O181" i="24"/>
  <c r="O182" i="24"/>
  <c r="O183" i="24"/>
  <c r="O184" i="24"/>
  <c r="O185" i="24"/>
  <c r="O186" i="24"/>
  <c r="O187" i="24"/>
  <c r="O188" i="24"/>
  <c r="O189" i="24"/>
  <c r="O190" i="24"/>
  <c r="O191" i="24"/>
  <c r="O192" i="24"/>
  <c r="O193" i="24"/>
  <c r="O194" i="24"/>
  <c r="O195" i="24"/>
  <c r="O196" i="24"/>
  <c r="O197" i="24"/>
  <c r="O198" i="24"/>
  <c r="O199" i="24"/>
  <c r="O200" i="24"/>
  <c r="O201" i="24"/>
  <c r="O202" i="24"/>
  <c r="O203" i="24"/>
  <c r="O204" i="24"/>
  <c r="O205" i="24"/>
  <c r="O206" i="24"/>
  <c r="O207" i="24"/>
  <c r="O208" i="24"/>
  <c r="O209" i="24"/>
  <c r="O210" i="24"/>
  <c r="O211" i="24"/>
  <c r="O212" i="24"/>
  <c r="O213" i="24"/>
  <c r="O214" i="24"/>
  <c r="O215" i="24"/>
  <c r="O216" i="24"/>
  <c r="O217" i="24"/>
  <c r="O218" i="24"/>
  <c r="O219" i="24"/>
  <c r="O220" i="24"/>
  <c r="O221" i="24"/>
  <c r="O222" i="24"/>
  <c r="O223" i="24"/>
  <c r="O224" i="24"/>
  <c r="O225" i="24"/>
  <c r="O226" i="24"/>
  <c r="O227" i="24"/>
  <c r="O228" i="24"/>
  <c r="O229" i="24"/>
  <c r="O230" i="24"/>
  <c r="O231" i="24"/>
  <c r="O232" i="24"/>
  <c r="O233" i="24"/>
  <c r="O234" i="24"/>
  <c r="O235" i="24"/>
  <c r="O236" i="24"/>
  <c r="O237" i="24"/>
  <c r="O238" i="24"/>
  <c r="O239" i="24"/>
  <c r="O240" i="24"/>
  <c r="O241" i="24"/>
  <c r="O242" i="24"/>
  <c r="O243" i="24"/>
  <c r="O244" i="24"/>
  <c r="O245" i="24"/>
  <c r="O246" i="24"/>
  <c r="O247" i="24"/>
  <c r="O248" i="24"/>
  <c r="O249" i="24"/>
  <c r="O250" i="24"/>
  <c r="O251" i="24"/>
  <c r="O252" i="24"/>
  <c r="O253" i="24"/>
  <c r="O254" i="24"/>
  <c r="O255" i="24"/>
  <c r="O256" i="24"/>
  <c r="O257" i="24"/>
  <c r="O258" i="24"/>
  <c r="O259" i="24"/>
  <c r="O260" i="24"/>
  <c r="O261" i="24"/>
  <c r="O262" i="24"/>
  <c r="O263" i="24"/>
  <c r="O264" i="24"/>
  <c r="O265" i="24"/>
  <c r="O266" i="24"/>
  <c r="O267" i="24"/>
  <c r="O268" i="24"/>
  <c r="O269" i="24"/>
  <c r="O270" i="24"/>
  <c r="O271" i="24"/>
  <c r="O272" i="24"/>
  <c r="O273" i="24"/>
  <c r="O274" i="24"/>
  <c r="O275" i="24"/>
  <c r="O276" i="24"/>
  <c r="O277" i="24"/>
  <c r="O278" i="24"/>
  <c r="O279" i="24"/>
  <c r="O280" i="24"/>
  <c r="O281" i="24"/>
  <c r="O282" i="24"/>
  <c r="O283" i="24"/>
  <c r="O284" i="24"/>
  <c r="O285" i="24"/>
  <c r="O286" i="24"/>
  <c r="O287" i="24"/>
  <c r="O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</calcChain>
</file>

<file path=xl/sharedStrings.xml><?xml version="1.0" encoding="utf-8"?>
<sst xmlns="http://schemas.openxmlformats.org/spreadsheetml/2006/main" count="18049" uniqueCount="153">
  <si>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</si>
  <si>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</si>
  <si>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</si>
  <si>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</si>
  <si>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</si>
  <si>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</si>
  <si>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</si>
  <si>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</si>
  <si>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</si>
  <si>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</si>
  <si>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</si>
  <si>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</si>
  <si>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</si>
  <si>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</si>
  <si>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</si>
  <si>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</si>
  <si>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</si>
  <si>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</si>
  <si>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</si>
  <si>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</si>
  <si>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</si>
  <si>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</si>
  <si>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</si>
  <si>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</si>
  <si>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</si>
  <si>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</si>
  <si>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</si>
  <si>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</si>
  <si>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</si>
  <si>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</si>
  <si>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</si>
  <si>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</si>
  <si>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</si>
  <si>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</si>
  <si>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</si>
  <si>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</si>
  <si>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</si>
  <si>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</si>
  <si>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</si>
  <si>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</si>
  <si>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</si>
  <si>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</si>
  <si>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</si>
  <si>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</si>
  <si>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</si>
  <si>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</si>
  <si>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</si>
  <si>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</si>
  <si>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</si>
  <si>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</si>
  <si>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</si>
  <si>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</si>
  <si>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</si>
  <si>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</si>
  <si>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</si>
  <si>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</si>
  <si>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</si>
  <si>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</si>
  <si>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</si>
  <si>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</si>
  <si>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</si>
  <si>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</si>
  <si>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</si>
  <si>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</si>
  <si>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</si>
  <si>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</si>
  <si>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</si>
  <si>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</si>
  <si>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</si>
  <si>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</si>
  <si>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</si>
  <si>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</si>
  <si>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</si>
  <si>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</si>
  <si>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</si>
  <si>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</si>
  <si>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</si>
  <si>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</si>
  <si>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</si>
  <si>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</si>
  <si>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</si>
  <si>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</si>
  <si>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</si>
  <si>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</si>
  <si>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</si>
  <si>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</si>
  <si>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</si>
  <si>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</si>
  <si>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</si>
  <si>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</si>
  <si>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</si>
  <si>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</si>
  <si>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</si>
  <si>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</si>
  <si>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</si>
  <si>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</si>
  <si>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</si>
  <si>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</si>
  <si>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</si>
  <si>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</si>
  <si>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</si>
  <si>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</si>
  <si>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</si>
  <si>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</si>
  <si>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</si>
  <si>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</si>
  <si>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</si>
  <si>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</si>
  <si>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</si>
  <si>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</si>
  <si>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</si>
  <si>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</si>
  <si>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</si>
  <si>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</si>
  <si>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</si>
  <si>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</si>
  <si>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</si>
  <si>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</si>
  <si>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dwpull</t>
  </si>
  <si>
    <t>bushings</t>
  </si>
  <si>
    <t>GS Uneven Road</t>
  </si>
  <si>
    <t>06-Feb-2025 00:54:19</t>
  </si>
  <si>
    <t>24.2.0.2806996 (R2024b) Update 3</t>
  </si>
  <si>
    <t>v3p9 R24b Grid Surface</t>
  </si>
  <si>
    <t>07-Feb-2025 01:22:07</t>
  </si>
  <si>
    <t>MUC-VIDEOSTUDIO</t>
  </si>
  <si>
    <t>24.2.0.2833386 (R2024b) Update 4</t>
  </si>
  <si>
    <t>MF-Swift Version: 2312</t>
  </si>
  <si>
    <t>3p9 R24b newDrivers vidstudio</t>
  </si>
  <si>
    <t>07-Feb-2025 14:09:43</t>
  </si>
  <si>
    <t>v3p9 R24b LatDrivADT</t>
  </si>
  <si>
    <t>4MotorCool</t>
  </si>
  <si>
    <t>MacPh</t>
  </si>
  <si>
    <t>dwbAU</t>
  </si>
  <si>
    <t>dwpush</t>
  </si>
  <si>
    <t>TwistBeam</t>
  </si>
  <si>
    <t>Fishhook</t>
  </si>
  <si>
    <t>Sine With Dwell</t>
  </si>
  <si>
    <t>Ramp Steer</t>
  </si>
  <si>
    <t>Slalom</t>
  </si>
  <si>
    <t>19-Apr-2025 21:41:09</t>
  </si>
  <si>
    <t>R24b v4p0 KnC Bushings Fishhook</t>
  </si>
  <si>
    <t>Axle3_023</t>
  </si>
  <si>
    <t>Rhuqa3Axle</t>
  </si>
  <si>
    <t>04-May-2025 03:19:46</t>
  </si>
  <si>
    <t>24.2.0.2923080 (R2024b) Update 6</t>
  </si>
  <si>
    <t>v4p0 R24b NewGeo Rhuqa</t>
  </si>
  <si>
    <t>Stanley</t>
  </si>
  <si>
    <t>Pure_Pursuit</t>
  </si>
  <si>
    <t>02-Jul-2025 22:45:35</t>
  </si>
  <si>
    <t>R24b v4p3 newDriver BodySphv0</t>
  </si>
  <si>
    <t>03-Jul-2025 11:30:19</t>
  </si>
  <si>
    <t>R24b v4p3 newDriver fixLongKi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</si>
</sst>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9" fontId="0" fillId="0" borderId="0" xfId="2" applyFont="1"/>
    <xf numFmtId="165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4EE0-F6D5-4718-91D4-B98EAFA144E0}">
  <dimension ref="A1:R269"/>
  <sheetViews>
    <sheetView topLeftCell="C1" workbookViewId="0">
      <pane ySplit="1" topLeftCell="A2" activePane="bottomLeft" state="frozen"/>
      <selection pane="bottomLeft" activeCell="W7" sqref="W7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121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398</v>
      </c>
      <c r="L2" s="4">
        <v>6.6743142000000004</v>
      </c>
      <c r="M2" s="4">
        <v>233.89307510091533</v>
      </c>
      <c r="N2" s="4">
        <v>1.0261622524691431E-2</v>
      </c>
      <c r="O2" s="1" t="str">
        <f>HYPERLINK(".\sm_car_250205_2227\sm_car_250205_2227_001_Ca000TrN_MaWOT_ode23t.png","figure")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530</v>
      </c>
      <c r="L3" s="4">
        <v>7.5085819000000003</v>
      </c>
      <c r="M3" s="4">
        <v>71.996409601859298</v>
      </c>
      <c r="N3" s="4">
        <v>-0.5494756169917614</v>
      </c>
      <c r="O3" s="1" t="str">
        <f>HYPERLINK(".\sm_car_250205_2227\sm_car_250205_2227_002_Ca000TrN_MaLSS_ode23t.png","figure")</f>
        <v>figure</v>
      </c>
      <c r="P3" t="s">
        <v>15</v>
      </c>
      <c r="R3" s="2" t="s">
        <v>122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401</v>
      </c>
      <c r="L4" s="4">
        <v>7.0231643000000004</v>
      </c>
      <c r="M4" s="4">
        <v>232.86502208791688</v>
      </c>
      <c r="N4" s="4">
        <v>5.2256072038858856E-4</v>
      </c>
      <c r="O4" s="1" t="str">
        <f>HYPERLINK(".\sm_car_250205_2227\sm_car_250205_2227_003_Ca001TrN_MaWOT_ode23t.png","figure")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 s="4">
        <v>8.2804447999999997</v>
      </c>
      <c r="M5" s="4">
        <v>71.688916575799709</v>
      </c>
      <c r="N5" s="4">
        <v>-0.54608187912515971</v>
      </c>
      <c r="O5" s="1" t="str">
        <f>HYPERLINK(".\sm_car_250205_2227\sm_car_250205_2227_004_Ca001TrN_MaLSS_ode23t.png","figure")</f>
        <v>figure</v>
      </c>
      <c r="P5" t="s">
        <v>15</v>
      </c>
      <c r="R5" t="s">
        <v>123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441</v>
      </c>
      <c r="L6" s="4">
        <v>10.7288809</v>
      </c>
      <c r="M6" s="4">
        <v>232.85823268184194</v>
      </c>
      <c r="N6" s="4">
        <v>6.5259686407892661E-2</v>
      </c>
      <c r="O6" s="1" t="str">
        <f>HYPERLINK(".\sm_car_250205_2227\sm_car_250205_2227_005_Ca002TrN_MaWOT_ode23t.png","figure")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10.879284699999999</v>
      </c>
      <c r="M7" s="4">
        <v>71.688031151233133</v>
      </c>
      <c r="N7" s="4">
        <v>-0.54027646486917513</v>
      </c>
      <c r="O7" s="1" t="str">
        <f>HYPERLINK(".\sm_car_250205_2227\sm_car_250205_2227_006_Ca002TrN_MaLSS_ode23t.png","figure")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458</v>
      </c>
      <c r="L8" s="4">
        <v>10.348281</v>
      </c>
      <c r="M8" s="4">
        <v>232.38574918888651</v>
      </c>
      <c r="N8" s="4">
        <v>6.1011658390298727E-2</v>
      </c>
      <c r="O8" s="1" t="str">
        <f>HYPERLINK(".\sm_car_250205_2227\sm_car_250205_2227_007_Ca003TrN_MaWOT_ode23t.png","figure")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557</v>
      </c>
      <c r="L9" s="4">
        <v>13.1439603</v>
      </c>
      <c r="M9" s="4">
        <v>71.558304287522063</v>
      </c>
      <c r="N9" s="4">
        <v>-0.54082519958203923</v>
      </c>
      <c r="O9" s="1" t="str">
        <f>HYPERLINK(".\sm_car_250205_2227\sm_car_250205_2227_008_Ca003TrN_MaLSS_ode23t.png","figure")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1109</v>
      </c>
      <c r="L10" s="4">
        <v>11.4729987</v>
      </c>
      <c r="M10" s="4">
        <v>233.62910536538573</v>
      </c>
      <c r="N10" s="4">
        <v>9.3775246734322353E-3</v>
      </c>
      <c r="O10" s="1" t="str">
        <f>HYPERLINK(".\sm_car_250205_2227\sm_car_250205_2227_009_Ca004TrN_MaWOT_ode23t.png","figure")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1245</v>
      </c>
      <c r="L11" s="4">
        <v>13.8754729</v>
      </c>
      <c r="M11" s="4">
        <v>71.991828445987537</v>
      </c>
      <c r="N11" s="4">
        <v>-0.5563934118894851</v>
      </c>
      <c r="O11" s="1" t="str">
        <f>HYPERLINK(".\sm_car_250205_2227\sm_car_250205_2227_010_Ca004TrN_MaLSS_ode23t.png","figure")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1106</v>
      </c>
      <c r="L12" s="4">
        <v>14.0173024</v>
      </c>
      <c r="M12" s="4">
        <v>232.76042384703018</v>
      </c>
      <c r="N12" s="4">
        <v>1.8513350714324506E-3</v>
      </c>
      <c r="O12" s="1" t="str">
        <f>HYPERLINK(".\sm_car_250205_2227\sm_car_250205_2227_011_Ca005TrN_MaWOT_ode23t.png","figure")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1242</v>
      </c>
      <c r="L13" s="4">
        <v>16.100594399999999</v>
      </c>
      <c r="M13" s="4">
        <v>71.702490964550122</v>
      </c>
      <c r="N13" s="4">
        <v>-0.55050908617817518</v>
      </c>
      <c r="O13" s="1" t="str">
        <f>HYPERLINK(".\sm_car_250205_2227\sm_car_250205_2227_012_Ca005TrN_MaLSS_ode23t.png","figure")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1213</v>
      </c>
      <c r="L14" s="4">
        <v>16.751569100000001</v>
      </c>
      <c r="M14" s="4">
        <v>232.84651823181645</v>
      </c>
      <c r="N14" s="4">
        <v>6.9136169136355952E-2</v>
      </c>
      <c r="O14" s="1" t="str">
        <f>HYPERLINK(".\sm_car_250205_2227\sm_car_250205_2227_013_Ca006TrN_MaWOT_ode23t.png","figure")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1285</v>
      </c>
      <c r="L15" s="4">
        <v>16.8238786</v>
      </c>
      <c r="M15" s="4">
        <v>71.690296413019524</v>
      </c>
      <c r="N15" s="4">
        <v>-0.54466785790266647</v>
      </c>
      <c r="O15" s="1" t="str">
        <f>HYPERLINK(".\sm_car_250205_2227\sm_car_250205_2227_014_Ca006TrN_MaLSS_ode23t.png","figure")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1158</v>
      </c>
      <c r="L16" s="4">
        <v>13.9821743</v>
      </c>
      <c r="M16" s="4">
        <v>232.40379053465188</v>
      </c>
      <c r="N16" s="4">
        <v>6.6832697926039505E-2</v>
      </c>
      <c r="O16" s="1" t="str">
        <f>HYPERLINK(".\sm_car_250205_2227\sm_car_250205_2227_015_Ca007TrN_MaWOT_ode23t.png","figure")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17.781036400000001</v>
      </c>
      <c r="M17" s="4">
        <v>71.565708688424692</v>
      </c>
      <c r="N17" s="4">
        <v>-0.54119111383890839</v>
      </c>
      <c r="O17" s="1" t="str">
        <f>HYPERLINK(".\sm_car_250205_2227\sm_car_250205_2227_016_Ca007TrN_MaLSS_ode23t.png","figure")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407</v>
      </c>
      <c r="L18" s="4">
        <v>5.2654309000000001</v>
      </c>
      <c r="M18" s="4">
        <v>234.4033208477359</v>
      </c>
      <c r="N18" s="4">
        <v>-7.1285932608867481E-2</v>
      </c>
      <c r="O18" s="1" t="str">
        <f>HYPERLINK(".\sm_car_250205_2227\sm_car_250205_2227_017_Ca016TrN_MaWOT_ode23t.png","figure")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494</v>
      </c>
      <c r="L19" s="4">
        <v>5.8438254000000001</v>
      </c>
      <c r="M19" s="4">
        <v>72.260638314079159</v>
      </c>
      <c r="N19" s="4">
        <v>-2.1654947843563699E-2</v>
      </c>
      <c r="O19" s="1" t="str">
        <f>HYPERLINK(".\sm_car_250205_2227\sm_car_250205_2227_018_Ca016TrN_MaLSS_ode23t.png","figure")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399</v>
      </c>
      <c r="L20" s="4">
        <v>7.4084364999999996</v>
      </c>
      <c r="M20" s="4">
        <v>233.86989271524681</v>
      </c>
      <c r="N20" s="4">
        <v>1.9758754011097335E-2</v>
      </c>
      <c r="O20" s="1" t="str">
        <f>HYPERLINK(".\sm_car_250205_2227\sm_car_250205_2227_019_Ca032TrN_MaWOT_ode23t.png","figure")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514</v>
      </c>
      <c r="L21" s="4">
        <v>8.0368233</v>
      </c>
      <c r="M21" s="4">
        <v>71.988949724106291</v>
      </c>
      <c r="N21" s="4">
        <v>-0.53236618908367572</v>
      </c>
      <c r="O21" s="1" t="str">
        <f>HYPERLINK(".\sm_car_250205_2227\sm_car_250205_2227_020_Ca032TrN_MaLSS_ode23t.png","figure")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411</v>
      </c>
      <c r="L22" s="4">
        <v>7.8501976000000004</v>
      </c>
      <c r="M22" s="4">
        <v>233.76976897594068</v>
      </c>
      <c r="N22" s="4">
        <v>-5.7063822112780804E-3</v>
      </c>
      <c r="O22" s="1" t="str">
        <f>HYPERLINK(".\sm_car_250205_2227\sm_car_250205_2227_021_Ca048TrN_MaWOT_ode23t.png","figure")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522</v>
      </c>
      <c r="L23" s="4">
        <v>9.6871685000000003</v>
      </c>
      <c r="M23" s="4">
        <v>71.995765081100743</v>
      </c>
      <c r="N23" s="4">
        <v>-0.53974793897238071</v>
      </c>
      <c r="O23" s="1" t="str">
        <f>HYPERLINK(".\sm_car_250205_2227\sm_car_250205_2227_022_Ca048TrN_MaLSS_ode23t.png","figure")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422</v>
      </c>
      <c r="L24" s="4">
        <v>8.7087266000000003</v>
      </c>
      <c r="M24" s="4">
        <v>233.88977294109276</v>
      </c>
      <c r="N24" s="4">
        <v>2.0019299992676289E-2</v>
      </c>
      <c r="O24" s="1" t="str">
        <f>HYPERLINK(".\sm_car_250205_2227\sm_car_250205_2227_023_Ca064TrN_MaWOT_ode23t.png","figure")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10.168067600000001</v>
      </c>
      <c r="M25" s="4">
        <v>72.005534584979202</v>
      </c>
      <c r="N25" s="4">
        <v>-0.52596955107441834</v>
      </c>
      <c r="O25" s="1" t="str">
        <f>HYPERLINK(".\sm_car_250205_2227\sm_car_250205_2227_024_Ca064TrN_MaLSS_ode23t.png","figure")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404</v>
      </c>
      <c r="L26" s="4">
        <v>9.2801001999999997</v>
      </c>
      <c r="M26" s="4">
        <v>233.72038199436577</v>
      </c>
      <c r="N26" s="4">
        <v>-6.0025544910578136E-3</v>
      </c>
      <c r="O26" s="1" t="str">
        <f>HYPERLINK(".\sm_car_250205_2227\sm_car_250205_2227_025_Ca080TrN_MaWOT_ode23t.png","figure")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522</v>
      </c>
      <c r="L27" s="4">
        <v>11.115311999999999</v>
      </c>
      <c r="M27" s="4">
        <v>71.986971244897362</v>
      </c>
      <c r="N27" s="4">
        <v>-0.5390554287178122</v>
      </c>
      <c r="O27" s="1" t="str">
        <f>HYPERLINK(".\sm_car_250205_2227\sm_car_250205_2227_026_Ca080TrN_MaLSS_ode23t.png","figure")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417</v>
      </c>
      <c r="L28" s="4">
        <v>7.1451171000000002</v>
      </c>
      <c r="M28" s="4">
        <v>235.58608439819207</v>
      </c>
      <c r="N28" s="4">
        <v>3.264232570084484E-2</v>
      </c>
      <c r="O28" s="1" t="str">
        <f>HYPERLINK(".\sm_car_250205_2227\sm_car_250205_2227_027_Ca096TrN_MaWOT_ode23t.png","figure")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4">
        <v>8.3730077000000005</v>
      </c>
      <c r="M29" s="4">
        <v>72.511955923052653</v>
      </c>
      <c r="N29" s="4">
        <v>-0.53781557010692771</v>
      </c>
      <c r="O29" s="1" t="str">
        <f>HYPERLINK(".\sm_car_250205_2227\sm_car_250205_2227_028_Ca096TrN_MaLSS_ode23t.png","figure")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4">
        <v>2.6091633000000001</v>
      </c>
      <c r="M30" s="4">
        <v>242.6089250266231</v>
      </c>
      <c r="N30" s="4">
        <v>0.23450595985822392</v>
      </c>
      <c r="O30" s="1" t="str">
        <f>HYPERLINK(".\sm_car_250205_2227\sm_car_250205_2227_029_Ca112TrN_MaWOT_ode23t.png","figure")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4">
        <v>2.8036007000000001</v>
      </c>
      <c r="M31" s="4">
        <v>74.659635890023381</v>
      </c>
      <c r="N31" s="4">
        <v>-0.33799621506860861</v>
      </c>
      <c r="O31" s="1" t="str">
        <f>HYPERLINK(".\sm_car_250205_2227\sm_car_250205_2227_030_Ca112TrN_MaLSS_ode23t.png","figure")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2.8190523999999999</v>
      </c>
      <c r="M32" s="4">
        <v>241.49880149911601</v>
      </c>
      <c r="N32" s="4">
        <v>0.22933555890724622</v>
      </c>
      <c r="O32" s="1" t="str">
        <f>HYPERLINK(".\sm_car_250205_2227\sm_car_250205_2227_031_Ca113TrN_MaWOT_ode23t.png","figure")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487</v>
      </c>
      <c r="L33" s="4">
        <v>3.2812467999999999</v>
      </c>
      <c r="M33" s="4">
        <v>74.346228062681817</v>
      </c>
      <c r="N33" s="4">
        <v>-0.33396938399784559</v>
      </c>
      <c r="O33" s="1" t="str">
        <f>HYPERLINK(".\sm_car_250205_2227\sm_car_250205_2227_032_Ca113TrN_MaLSS_ode23t.png","figure")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 s="4">
        <v>2.9495703</v>
      </c>
      <c r="M34" s="4">
        <v>241.3532193588108</v>
      </c>
      <c r="N34" s="4">
        <v>0.22846118192980672</v>
      </c>
      <c r="O34" s="1" t="str">
        <f>HYPERLINK(".\sm_car_250205_2227\sm_car_250205_2227_033_Ca114TrN_MaWOT_ode23t.png","figure")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480</v>
      </c>
      <c r="L35" s="4">
        <v>3.2559624999999999</v>
      </c>
      <c r="M35" s="4">
        <v>74.350541272525092</v>
      </c>
      <c r="N35" s="4">
        <v>-0.33405490118824027</v>
      </c>
      <c r="O35" s="1" t="str">
        <f>HYPERLINK(".\sm_car_250205_2227\sm_car_250205_2227_034_Ca114TrN_MaLSS_ode23t.png","figure")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390</v>
      </c>
      <c r="L36" s="4">
        <v>3.1747863999999999</v>
      </c>
      <c r="M36" s="4">
        <v>240.88501882186722</v>
      </c>
      <c r="N36" s="4">
        <v>0.22263343431880928</v>
      </c>
      <c r="O36" s="1" t="str">
        <f>HYPERLINK(".\sm_car_250205_2227\sm_car_250205_2227_035_Ca115TrN_MaWOT_ode23t.png","figure")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512</v>
      </c>
      <c r="L37" s="4">
        <v>3.4357093999999999</v>
      </c>
      <c r="M37" s="4">
        <v>74.209540114889393</v>
      </c>
      <c r="N37" s="4">
        <v>-0.33198950009391182</v>
      </c>
      <c r="O37" s="1" t="str">
        <f>HYPERLINK(".\sm_car_250205_2227\sm_car_250205_2227_036_Ca115TrN_MaLSS_ode23t.png","figure")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4.4148788999999997</v>
      </c>
      <c r="M38" s="4">
        <v>242.63118630005806</v>
      </c>
      <c r="N38" s="4">
        <v>0.2327919371692862</v>
      </c>
      <c r="O38" s="1" t="str">
        <f>HYPERLINK(".\sm_car_250205_2227\sm_car_250205_2227_037_Ca116TrN_MaWOT_ode23t.png","figure")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4.8967684</v>
      </c>
      <c r="M39" s="4">
        <v>74.660234080632137</v>
      </c>
      <c r="N39" s="4">
        <v>-0.34043153147504285</v>
      </c>
      <c r="O39" s="1" t="str">
        <f>HYPERLINK(".\sm_car_250205_2227\sm_car_250205_2227_038_Ca116TrN_MaLSS_ode23t.png","figure")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951</v>
      </c>
      <c r="L40" s="4">
        <v>5.0017506999999997</v>
      </c>
      <c r="M40" s="4">
        <v>241.56097975248917</v>
      </c>
      <c r="N40" s="4">
        <v>0.22971380339965491</v>
      </c>
      <c r="O40" s="1" t="str">
        <f>HYPERLINK(".\sm_car_250205_2227\sm_car_250205_2227_039_Ca117TrN_MaWOT_ode23t.png","figure")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1068</v>
      </c>
      <c r="L41" s="4">
        <v>5.2085667000000004</v>
      </c>
      <c r="M41" s="4">
        <v>74.350658147491714</v>
      </c>
      <c r="N41" s="4">
        <v>-0.33660139121906185</v>
      </c>
      <c r="O41" s="1" t="str">
        <f>HYPERLINK(".\sm_car_250205_2227\sm_car_250205_2227_040_Ca117TrN_MaLSS_ode23t.png","figure")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943</v>
      </c>
      <c r="L42" s="4">
        <v>5.1684923999999999</v>
      </c>
      <c r="M42" s="4">
        <v>241.50511673820654</v>
      </c>
      <c r="N42" s="4">
        <v>0.22806034066150777</v>
      </c>
      <c r="O42" s="1" t="str">
        <f>HYPERLINK(".\sm_car_250205_2227\sm_car_250205_2227_041_Ca118TrN_MaWOT_ode23t.png","figure")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1061</v>
      </c>
      <c r="L43" s="4">
        <v>6.1655651000000002</v>
      </c>
      <c r="M43" s="4">
        <v>74.351553995799762</v>
      </c>
      <c r="N43" s="4">
        <v>-0.33607662289089918</v>
      </c>
      <c r="O43" s="1" t="str">
        <f>HYPERLINK(".\sm_car_250205_2227\sm_car_250205_2227_042_Ca118TrN_MaLSS_ode23t.png","figure")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956</v>
      </c>
      <c r="L44" s="4">
        <v>5.0408564</v>
      </c>
      <c r="M44" s="4">
        <v>240.81333190922908</v>
      </c>
      <c r="N44" s="4">
        <v>0.22681338797812786</v>
      </c>
      <c r="O44" s="1" t="str">
        <f>HYPERLINK(".\sm_car_250205_2227\sm_car_250205_2227_043_Ca119TrN_MaWOT_ode23t.png","figure")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1073</v>
      </c>
      <c r="L45" s="4">
        <v>6.0142115</v>
      </c>
      <c r="M45" s="4">
        <v>74.201377946885074</v>
      </c>
      <c r="N45" s="4">
        <v>-0.33358849979579425</v>
      </c>
      <c r="O45" s="1" t="str">
        <f>HYPERLINK(".\sm_car_250205_2227\sm_car_250205_2227_044_Ca119TrN_MaLSS_ode23t.png","figure")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4">
        <v>5.3479763</v>
      </c>
      <c r="M46" s="4">
        <v>100.61935044495536</v>
      </c>
      <c r="N46" s="4">
        <v>-1.4891059414081207E-2</v>
      </c>
      <c r="O46" s="1" t="str">
        <f>HYPERLINK(".\sm_car_250205_2227\sm_car_250205_2227_045_Ca128TrN_MaWOT_ode23t.png","figure")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441</v>
      </c>
      <c r="L47" s="4">
        <v>6.8555352000000003</v>
      </c>
      <c r="M47" s="4">
        <v>37.245859457042698</v>
      </c>
      <c r="N47" s="4">
        <v>-0.13393780168743288</v>
      </c>
      <c r="O47" s="1" t="str">
        <f>HYPERLINK(".\sm_car_250205_2227\sm_car_250205_2227_046_Ca128TrN_MaLSS_ode23t.png","figure")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345</v>
      </c>
      <c r="L48" s="4">
        <v>6.0243627000000002</v>
      </c>
      <c r="M48" s="4">
        <v>232.74003471754992</v>
      </c>
      <c r="N48" s="4">
        <v>6.9241019986991628E-2</v>
      </c>
      <c r="O48" s="1" t="str">
        <f>HYPERLINK(".\sm_car_250205_2227\sm_car_250205_2227_047_Ca129TrN_MaWOT_ode23t.png","figure")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475</v>
      </c>
      <c r="L49" s="4">
        <v>8.1635787999999998</v>
      </c>
      <c r="M49" s="4">
        <v>71.611768455883478</v>
      </c>
      <c r="N49" s="4">
        <v>-0.54059562008761142</v>
      </c>
      <c r="O49" s="1" t="str">
        <f>HYPERLINK(".\sm_car_250205_2227\sm_car_250205_2227_048_Ca129TrN_MaLSS_ode23t.png","figure")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802</v>
      </c>
      <c r="L50" s="4">
        <v>23.220981500000001</v>
      </c>
      <c r="M50" s="4">
        <v>220.15414911419086</v>
      </c>
      <c r="N50" s="4">
        <v>-1.4665671298690044</v>
      </c>
      <c r="O50" s="1" t="str">
        <f>HYPERLINK(".\sm_car_250205_2227\sm_car_250205_2227_049_Ca130TrN_MaWOT_ode23t.png","figure")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776</v>
      </c>
      <c r="L51" s="4">
        <v>20.282930199999999</v>
      </c>
      <c r="M51" s="4">
        <v>69.504368205239501</v>
      </c>
      <c r="N51" s="4">
        <v>-0.5531801596199124</v>
      </c>
      <c r="O51" s="1" t="str">
        <f>HYPERLINK(".\sm_car_250205_2227\sm_car_250205_2227_050_Ca130TrN_MaLSS_ode23t.png","figure")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363</v>
      </c>
      <c r="L52" s="4">
        <v>4.6382133999999997</v>
      </c>
      <c r="M52" s="4">
        <v>232.87338350053321</v>
      </c>
      <c r="N52" s="4">
        <v>-2.708811714464442E-2</v>
      </c>
      <c r="O52" s="1" t="str">
        <f>HYPERLINK(".\sm_car_250205_2227\sm_car_250205_2227_051_Ca131TrN_MaWOT_ode23t.png","figure")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4">
        <v>4.9738344999999997</v>
      </c>
      <c r="M53" s="4">
        <v>71.699837997077253</v>
      </c>
      <c r="N53" s="4">
        <v>-0.55156584033401257</v>
      </c>
      <c r="O53" s="1" t="str">
        <f>HYPERLINK(".\sm_car_250205_2227\sm_car_250205_2227_052_Ca131TrN_MaLSS_ode23t.png","figure")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339</v>
      </c>
      <c r="L54" s="4">
        <v>4.3209635999999998</v>
      </c>
      <c r="M54" s="4">
        <v>232.88274622183411</v>
      </c>
      <c r="N54" s="4">
        <v>3.7449205833593219E-3</v>
      </c>
      <c r="O54" s="1" t="str">
        <f>HYPERLINK(".\sm_car_250205_2227\sm_car_250205_2227_053_Ca132TrN_MaWOT_ode23t.png","figure")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5.3478089000000004</v>
      </c>
      <c r="M55" s="4">
        <v>71.715417475150375</v>
      </c>
      <c r="N55" s="4">
        <v>-0.54837793838827675</v>
      </c>
      <c r="O55" s="1" t="str">
        <f>HYPERLINK(".\sm_car_250205_2227\sm_car_250205_2227_054_Ca132TrN_MaLSS_ode23t.png","figure")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342</v>
      </c>
      <c r="L56" s="4">
        <v>4.2440495</v>
      </c>
      <c r="M56" s="4">
        <v>232.62313837856166</v>
      </c>
      <c r="N56" s="4">
        <v>8.987559149041224E-4</v>
      </c>
      <c r="O56" s="1" t="str">
        <f>HYPERLINK(".\sm_car_250205_2227\sm_car_250205_2227_055_Ca133TrN_MaWOT_ode23t.png","figure")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491</v>
      </c>
      <c r="L57" s="4">
        <v>5.4230295999999996</v>
      </c>
      <c r="M57" s="4">
        <v>71.713063764980177</v>
      </c>
      <c r="N57" s="4">
        <v>-0.54391836321961695</v>
      </c>
      <c r="O57" s="1" t="str">
        <f>HYPERLINK(".\sm_car_250205_2227\sm_car_250205_2227_056_Ca133TrN_MaLSS_ode23t.png","figure")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354</v>
      </c>
      <c r="L58" s="4">
        <v>4.4908082</v>
      </c>
      <c r="M58" s="4">
        <v>232.81072383128043</v>
      </c>
      <c r="N58" s="4">
        <v>1.7921306573148647E-3</v>
      </c>
      <c r="O58" s="1" t="str">
        <f>HYPERLINK(".\sm_car_250205_2227\sm_car_250205_2227_057_Ca134TrN_MaWOT_ode23t.png","figure")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507</v>
      </c>
      <c r="L59" s="4">
        <v>5.5624580999999997</v>
      </c>
      <c r="M59" s="4">
        <v>71.712771033124156</v>
      </c>
      <c r="N59" s="4">
        <v>-0.54277909186452866</v>
      </c>
      <c r="O59" s="1" t="str">
        <f>HYPERLINK(".\sm_car_250205_2227\sm_car_250205_2227_058_Ca134TrN_MaLSS_ode23t.png","figure")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357</v>
      </c>
      <c r="L60" s="4">
        <v>4.3997003000000001</v>
      </c>
      <c r="M60" s="4">
        <v>232.85838527654874</v>
      </c>
      <c r="N60" s="4">
        <v>1.4274142515244166E-3</v>
      </c>
      <c r="O60" s="1" t="str">
        <f>HYPERLINK(".\sm_car_250205_2227\sm_car_250205_2227_059_Ca135TrN_MaWOT_ode23t.png","figure")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503</v>
      </c>
      <c r="L61" s="4">
        <v>5.3215865999999998</v>
      </c>
      <c r="M61" s="4">
        <v>71.706728466391198</v>
      </c>
      <c r="N61" s="4">
        <v>-0.54631651984350693</v>
      </c>
      <c r="O61" s="1" t="str">
        <f>HYPERLINK(".\sm_car_250205_2227\sm_car_250205_2227_060_Ca135TrN_MaLSS_ode23t.png","figure")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373</v>
      </c>
      <c r="L62" s="4">
        <v>5.0316466000000002</v>
      </c>
      <c r="M62" s="4">
        <v>232.84624216006912</v>
      </c>
      <c r="N62" s="4">
        <v>6.6899330984147784E-2</v>
      </c>
      <c r="O62" s="1" t="str">
        <f>HYPERLINK(".\sm_car_250205_2227\sm_car_250205_2227_061_Ca136TrN_MaWOT_ode23t.png","figure")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509</v>
      </c>
      <c r="L63" s="4">
        <v>6.60914</v>
      </c>
      <c r="M63" s="4">
        <v>71.70289154747789</v>
      </c>
      <c r="N63" s="4">
        <v>-0.54076981578598404</v>
      </c>
      <c r="O63" s="1" t="str">
        <f>HYPERLINK(".\sm_car_250205_2227\sm_car_250205_2227_062_Ca136TrN_MaLSS_ode23t.png","figure")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324</v>
      </c>
      <c r="L64" s="4">
        <v>4.0350282000000002</v>
      </c>
      <c r="M64" s="4">
        <v>233.83971657729271</v>
      </c>
      <c r="N64" s="4">
        <v>0.14891307589143929</v>
      </c>
      <c r="O64" s="1" t="str">
        <f>HYPERLINK(".\sm_car_250205_2227\sm_car_250205_2227_063_Ca137TrN_MaWOT_ode23t.png","figure")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481</v>
      </c>
      <c r="L65" s="4">
        <v>4.4114364000000004</v>
      </c>
      <c r="M65" s="4">
        <v>71.983584600730836</v>
      </c>
      <c r="N65" s="4">
        <v>-0.52615298303706548</v>
      </c>
      <c r="O65" s="1" t="str">
        <f>HYPERLINK(".\sm_car_250205_2227\sm_car_250205_2227_064_Ca137TrN_MaLSS_ode23t.png","figure")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323</v>
      </c>
      <c r="L66" s="4">
        <v>5.3970976999999998</v>
      </c>
      <c r="M66" s="4">
        <v>233.78823407780283</v>
      </c>
      <c r="N66" s="4">
        <v>0.15789886705228598</v>
      </c>
      <c r="O66" s="1" t="str">
        <f>HYPERLINK(".\sm_car_250205_2227\sm_car_250205_2227_065_Ca138TrN_MaWOT_ode23t.png","figure")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485</v>
      </c>
      <c r="L67" s="4">
        <v>6.1805289999999999</v>
      </c>
      <c r="M67" s="4">
        <v>71.873064648505704</v>
      </c>
      <c r="N67" s="4">
        <v>-0.84723599882806022</v>
      </c>
      <c r="O67" s="1" t="str">
        <f>HYPERLINK(".\sm_car_250205_2227\sm_car_250205_2227_066_Ca138TrN_MaLSS_ode23t.png","figure")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611</v>
      </c>
      <c r="L68" s="4">
        <v>23.0649312</v>
      </c>
      <c r="M68" s="4">
        <v>411.25278923913157</v>
      </c>
      <c r="N68" s="4">
        <v>1.6829963479597079</v>
      </c>
      <c r="O68" s="1" t="str">
        <f>HYPERLINK(".\sm_car_250205_2227\sm_car_250205_2227_067_Ca139TrN_MaWOT_ode23t.png","figure")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619</v>
      </c>
      <c r="L69" s="4">
        <v>15.212452499999999</v>
      </c>
      <c r="M69" s="4">
        <v>157.00822066970207</v>
      </c>
      <c r="N69" s="4">
        <v>-0.56329979148232179</v>
      </c>
      <c r="O69" s="1" t="str">
        <f>HYPERLINK(".\sm_car_250205_2227\sm_car_250205_2227_068_Ca139TrN_MaLSS_ode23t.png","figure")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1916</v>
      </c>
      <c r="L70" s="4">
        <v>32.915783699999999</v>
      </c>
      <c r="M70" s="4">
        <v>411.32466545420391</v>
      </c>
      <c r="N70" s="4">
        <v>1.653252659633536</v>
      </c>
      <c r="O70" s="1" t="str">
        <f>HYPERLINK(".\sm_car_250205_2227\sm_car_250205_2227_069_Ca141TrN_MaWOT_ode23t.png","figure")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1818</v>
      </c>
      <c r="L71" s="4">
        <v>22.505432599999999</v>
      </c>
      <c r="M71" s="4">
        <v>157.07613285883426</v>
      </c>
      <c r="N71" s="4">
        <v>-0.56318800586570894</v>
      </c>
      <c r="O71" s="1" t="str">
        <f>HYPERLINK(".\sm_car_250205_2227\sm_car_250205_2227_070_Ca141TrN_MaLSS_ode23t.png","figure")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369</v>
      </c>
      <c r="L72" s="4">
        <v>16.674648099999999</v>
      </c>
      <c r="M72" s="4">
        <v>96.625934708213336</v>
      </c>
      <c r="N72" s="4">
        <v>-3.7342782017576966E-2</v>
      </c>
      <c r="O72" s="1" t="str">
        <f>HYPERLINK(".\sm_car_250205_2227\sm_car_250205_2227_071_Ca143TrN_MaWOT_ode23t.png","figure")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15.5758235</v>
      </c>
      <c r="M73" s="4">
        <v>25.152941426412461</v>
      </c>
      <c r="N73" s="4">
        <v>-5.4760910215652867E-2</v>
      </c>
      <c r="O73" s="1" t="str">
        <f>HYPERLINK(".\sm_car_250205_2227\sm_car_250205_2227_072_Ca143TrN_MaLSS_ode23t.png","figure")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356</v>
      </c>
      <c r="L74" s="4">
        <v>11.1721903</v>
      </c>
      <c r="M74" s="4">
        <v>114.97701679292916</v>
      </c>
      <c r="N74" s="4">
        <v>0.53344266621049519</v>
      </c>
      <c r="O74" s="1" t="str">
        <f>HYPERLINK(".\sm_car_250205_2227\sm_car_250205_2227_073_Ca144TrN_MaWOT_ode23t.png","figure")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478</v>
      </c>
      <c r="L75" s="4">
        <v>11.6030123</v>
      </c>
      <c r="M75" s="4">
        <v>35.843478821620785</v>
      </c>
      <c r="N75" s="4">
        <v>-3.4729601534072452E-2</v>
      </c>
      <c r="O75" s="1" t="str">
        <f>HYPERLINK(".\sm_car_250205_2227\sm_car_250205_2227_074_Ca144TrN_MaLSS_ode23t.png","figure")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2573</v>
      </c>
      <c r="L76" s="4">
        <v>25.1547099</v>
      </c>
      <c r="M76" s="4">
        <v>401.18692648346155</v>
      </c>
      <c r="N76" s="4">
        <v>-63.682637272008961</v>
      </c>
      <c r="O76" s="1" t="str">
        <f>HYPERLINK(".\sm_car_250205_2227\sm_car_250205_2227_075_Ca147TrN_MaWOT_ode23t.png","figure")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1285</v>
      </c>
      <c r="L77" s="4">
        <v>16.407222099999998</v>
      </c>
      <c r="M77" s="4">
        <v>155.21294507917997</v>
      </c>
      <c r="N77" s="4">
        <v>-2.758999432649941</v>
      </c>
      <c r="O77" s="1" t="str">
        <f>HYPERLINK(".\sm_car_250205_2227\sm_car_250205_2227_076_Ca147TrN_MaLSS_ode23t.png","figure")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613</v>
      </c>
      <c r="L78" s="4">
        <v>17.251704400000001</v>
      </c>
      <c r="M78" s="4">
        <v>184.62763772127917</v>
      </c>
      <c r="N78" s="4">
        <v>1.1208368203853939E-2</v>
      </c>
      <c r="O78" s="1" t="str">
        <f>HYPERLINK(".\sm_car_250205_2227\sm_car_250205_2227_077_Ca183TrN_MaWOT_ode23t.png","figure")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891</v>
      </c>
      <c r="L79" s="4">
        <v>20.6479532</v>
      </c>
      <c r="M79" s="4">
        <v>57.694487740477165</v>
      </c>
      <c r="N79" s="4">
        <v>9.369442335555643E-2</v>
      </c>
      <c r="O79" s="1" t="str">
        <f>HYPERLINK(".\sm_car_250205_2227\sm_car_250205_2227_078_Ca183TrN_MaLSS_ode23t.png","figure")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9.2625992999999998</v>
      </c>
      <c r="M80" s="4">
        <v>233.80272938572833</v>
      </c>
      <c r="N80" s="4">
        <v>8.9002270409259277E-3</v>
      </c>
      <c r="O80" s="1" t="str">
        <f>HYPERLINK(".\sm_car_250205_2227\sm_car_250205_2227_079_Ca008TrN_MaWOT_ode23t_1.png","figure")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11.647844900000001</v>
      </c>
      <c r="M81" s="4">
        <v>71.997390159310498</v>
      </c>
      <c r="N81" s="4">
        <v>-0.54929209645507182</v>
      </c>
      <c r="O81" s="1" t="str">
        <f>HYPERLINK(".\sm_car_250205_2227\sm_car_250205_2227_080_Ca008TrN_MaLSS_ode23t_1.png","figure")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392</v>
      </c>
      <c r="L82" s="4">
        <v>12.467177100000001</v>
      </c>
      <c r="M82" s="4">
        <v>232.84299043645265</v>
      </c>
      <c r="N82" s="4">
        <v>1.2102577823529712E-3</v>
      </c>
      <c r="O82" s="1" t="str">
        <f>HYPERLINK(".\sm_car_250205_2227\sm_car_250205_2227_081_Ca009TrN_MaWOT_ode23t_1.png","figure")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549</v>
      </c>
      <c r="L83" s="4">
        <v>13.4521087</v>
      </c>
      <c r="M83" s="4">
        <v>71.705545193125047</v>
      </c>
      <c r="N83" s="4">
        <v>-0.54046222012649037</v>
      </c>
      <c r="O83" s="1" t="str">
        <f>HYPERLINK(".\sm_car_250205_2227\sm_car_250205_2227_082_Ca009TrN_MaLSS_ode23t_1.png","figure")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400</v>
      </c>
      <c r="L84" s="4">
        <v>12.8197756</v>
      </c>
      <c r="M84" s="4">
        <v>232.85962569375226</v>
      </c>
      <c r="N84" s="4">
        <v>6.8964849451307431E-2</v>
      </c>
      <c r="O84" s="1" t="str">
        <f>HYPERLINK(".\sm_car_250205_2227\sm_car_250205_2227_083_Ca010TrN_MaWOT_ode23t_1.png","figure")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540</v>
      </c>
      <c r="L85" s="4">
        <v>15.476895900000001</v>
      </c>
      <c r="M85" s="4">
        <v>71.702194639963395</v>
      </c>
      <c r="N85" s="4">
        <v>-0.54192282031735772</v>
      </c>
      <c r="O85" s="1" t="str">
        <f>HYPERLINK(".\sm_car_250205_2227\sm_car_250205_2227_084_Ca010TrN_MaLSS_ode23t_1.png","figure")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 s="4">
        <v>12.4847736</v>
      </c>
      <c r="M86" s="4">
        <v>232.35251590263667</v>
      </c>
      <c r="N86" s="4">
        <v>6.5726972144306645E-2</v>
      </c>
      <c r="O86" s="1" t="str">
        <f>HYPERLINK(".\sm_car_250205_2227\sm_car_250205_2227_085_Ca011TrN_MaWOT_ode23t_1.png","figure")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16.653453800000001</v>
      </c>
      <c r="M87" s="4">
        <v>71.573481609920478</v>
      </c>
      <c r="N87" s="4">
        <v>-0.53941992414615325</v>
      </c>
      <c r="O87" s="1" t="str">
        <f>HYPERLINK(".\sm_car_250205_2227\sm_car_250205_2227_086_Ca011TrN_MaLSS_ode23t_1.png","figure")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10.546211599999999</v>
      </c>
      <c r="M88" s="4">
        <v>233.73514403976532</v>
      </c>
      <c r="N88" s="4">
        <v>9.548560718665812E-3</v>
      </c>
      <c r="O88" s="1" t="str">
        <f>HYPERLINK(".\sm_car_250205_2227\sm_car_250205_2227_087_Ca012TrN_MaWOT_ode23t_1.png","figure")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1006</v>
      </c>
      <c r="L89" s="4">
        <v>13.668776100000001</v>
      </c>
      <c r="M89" s="4">
        <v>71.985895576258997</v>
      </c>
      <c r="N89" s="4">
        <v>-0.55620359214307591</v>
      </c>
      <c r="O89" s="1" t="str">
        <f>HYPERLINK(".\sm_car_250205_2227\sm_car_250205_2227_088_Ca012TrN_MaLSS_ode23t_1.png","figure")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852</v>
      </c>
      <c r="L90" s="4">
        <v>12.5826162</v>
      </c>
      <c r="M90" s="4">
        <v>232.84647676320907</v>
      </c>
      <c r="N90" s="4">
        <v>9.6085891765807711E-4</v>
      </c>
      <c r="O90" s="1" t="str">
        <f>HYPERLINK(".\sm_car_250205_2227\sm_car_250205_2227_089_Ca013TrN_MaWOT_ode23t_1.png","figure")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997</v>
      </c>
      <c r="L91" s="4">
        <v>14.6921652</v>
      </c>
      <c r="M91" s="4">
        <v>71.698094399282297</v>
      </c>
      <c r="N91" s="4">
        <v>-0.55016730333821173</v>
      </c>
      <c r="O91" s="1" t="str">
        <f>HYPERLINK(".\sm_car_250205_2227\sm_car_250205_2227_090_Ca013TrN_MaLSS_ode23t_1.png","figure")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 s="4">
        <v>12.5463212</v>
      </c>
      <c r="M92" s="4">
        <v>232.74711340766513</v>
      </c>
      <c r="N92" s="4">
        <v>6.5432382769613953E-2</v>
      </c>
      <c r="O92" s="1" t="str">
        <f>HYPERLINK(".\sm_car_250205_2227\sm_car_250205_2227_091_Ca014TrN_MaWOT_ode23t_1.png","figure")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1018</v>
      </c>
      <c r="L93" s="4">
        <v>14.6434795</v>
      </c>
      <c r="M93" s="4">
        <v>71.695444865241427</v>
      </c>
      <c r="N93" s="4">
        <v>-0.5461051979516145</v>
      </c>
      <c r="O93" s="1" t="str">
        <f>HYPERLINK(".\sm_car_250205_2227\sm_car_250205_2227_092_Ca014TrN_MaLSS_ode23t_1.png","figure")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904</v>
      </c>
      <c r="L94" s="4">
        <v>12.384201300000001</v>
      </c>
      <c r="M94" s="4">
        <v>232.22692677641916</v>
      </c>
      <c r="N94" s="4">
        <v>6.3649942405821253E-2</v>
      </c>
      <c r="O94" s="1" t="str">
        <f>HYPERLINK(".\sm_car_250205_2227\sm_car_250205_2227_093_Ca015TrN_MaWOT_ode23t_1.png","figure")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1045</v>
      </c>
      <c r="L95" s="4">
        <v>16.227129699999999</v>
      </c>
      <c r="M95" s="4">
        <v>71.567720246209319</v>
      </c>
      <c r="N95" s="4">
        <v>-0.53985690473359071</v>
      </c>
      <c r="O95" s="1" t="str">
        <f>HYPERLINK(".\sm_car_250205_2227\sm_car_250205_2227_094_Ca015TrN_MaLSS_ode23t_1.png","figure")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4">
        <v>2.9497249000000001</v>
      </c>
      <c r="M96" s="4">
        <v>242.58934839007273</v>
      </c>
      <c r="N96" s="4">
        <v>0.23204803080071817</v>
      </c>
      <c r="O96" s="1" t="str">
        <f>HYPERLINK(".\sm_car_250205_2227\sm_car_250205_2227_095_Ca120TrN_MaWOT_ode23t_1.png","figure")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3.5618927999999999</v>
      </c>
      <c r="M97" s="4">
        <v>74.668427791621369</v>
      </c>
      <c r="N97" s="4">
        <v>-0.33829315441325269</v>
      </c>
      <c r="O97" s="1" t="str">
        <f>HYPERLINK(".\sm_car_250205_2227\sm_car_250205_2227_096_Ca120TrN_MaLSS_ode23t_1.png","figure")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387</v>
      </c>
      <c r="L98" s="4">
        <v>3.4865862000000001</v>
      </c>
      <c r="M98" s="4">
        <v>241.53722643581142</v>
      </c>
      <c r="N98" s="4">
        <v>0.22866020255073893</v>
      </c>
      <c r="O98" s="1" t="str">
        <f>HYPERLINK(".\sm_car_250205_2227\sm_car_250205_2227_097_Ca121TrN_MaWOT_ode23t_1.png","figure")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537</v>
      </c>
      <c r="L99" s="4">
        <v>4.0743182999999998</v>
      </c>
      <c r="M99" s="4">
        <v>74.355289803367924</v>
      </c>
      <c r="N99" s="4">
        <v>-0.33474022111755791</v>
      </c>
      <c r="O99" s="1" t="str">
        <f>HYPERLINK(".\sm_car_250205_2227\sm_car_250205_2227_098_Ca121TrN_MaLSS_ode23t_1.png","figure")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405</v>
      </c>
      <c r="L100" s="4">
        <v>3.9865718000000001</v>
      </c>
      <c r="M100" s="4">
        <v>241.76376885622159</v>
      </c>
      <c r="N100" s="4">
        <v>0.22876873955799948</v>
      </c>
      <c r="O100" s="1" t="str">
        <f>HYPERLINK(".\sm_car_250205_2227\sm_car_250205_2227_099_Ca122TrN_MaWOT_ode23t_1.png","figure")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530</v>
      </c>
      <c r="L101" s="4">
        <v>4.3006634999999998</v>
      </c>
      <c r="M101" s="4">
        <v>74.378736888615563</v>
      </c>
      <c r="N101" s="4">
        <v>-0.33216359084440894</v>
      </c>
      <c r="O101" s="1" t="str">
        <f>HYPERLINK(".\sm_car_250205_2227\sm_car_250205_2227_100_Ca122TrN_MaLSS_ode23t_1.png","figure")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431</v>
      </c>
      <c r="L102" s="4">
        <v>3.9394992000000002</v>
      </c>
      <c r="M102" s="4">
        <v>241.04405702307045</v>
      </c>
      <c r="N102" s="4">
        <v>0.22465404941087591</v>
      </c>
      <c r="O102" s="1" t="str">
        <f>HYPERLINK(".\sm_car_250205_2227\sm_car_250205_2227_101_Ca123TrN_MaWOT_ode23t_1.png","figure")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534</v>
      </c>
      <c r="L103" s="4">
        <v>4.5994957000000003</v>
      </c>
      <c r="M103" s="4">
        <v>74.214808064964018</v>
      </c>
      <c r="N103" s="4">
        <v>-0.33051331145405177</v>
      </c>
      <c r="O103" s="1" t="str">
        <f>HYPERLINK(".\sm_car_250205_2227\sm_car_250205_2227_102_Ca123TrN_MaLSS_ode23t_1.png","figure")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4.0454767</v>
      </c>
      <c r="M104" s="4">
        <v>242.55761999146026</v>
      </c>
      <c r="N104" s="4">
        <v>0.23285190627792315</v>
      </c>
      <c r="O104" s="1" t="str">
        <f>HYPERLINK(".\sm_car_250205_2227\sm_car_250205_2227_103_Ca124TrN_MaWOT_ode23t_1.png","figure")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4.6658720999999996</v>
      </c>
      <c r="M105" s="4">
        <v>74.660884556819781</v>
      </c>
      <c r="N105" s="4">
        <v>-0.3413585153688285</v>
      </c>
      <c r="O105" s="1" t="str">
        <f>HYPERLINK(".\sm_car_250205_2227\sm_car_250205_2227_104_Ca124TrN_MaLSS_ode23t_1.png","figure")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1027</v>
      </c>
      <c r="L106" s="4">
        <v>4.7704699000000002</v>
      </c>
      <c r="M106" s="4">
        <v>241.53786644176284</v>
      </c>
      <c r="N106" s="4">
        <v>0.22947290276390778</v>
      </c>
      <c r="O106" s="1" t="str">
        <f>HYPERLINK(".\sm_car_250205_2227\sm_car_250205_2227_105_Ca125TrN_MaWOT_ode23t_1.png","figure")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1141</v>
      </c>
      <c r="L107" s="4">
        <v>5.3145898000000003</v>
      </c>
      <c r="M107" s="4">
        <v>74.343355082946488</v>
      </c>
      <c r="N107" s="4">
        <v>-0.33694502066485432</v>
      </c>
      <c r="O107" s="1" t="str">
        <f>HYPERLINK(".\sm_car_250205_2227\sm_car_250205_2227_106_Ca125TrN_MaLSS_ode23t_1.png","figure")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1018</v>
      </c>
      <c r="L108" s="4">
        <v>4.8808528999999998</v>
      </c>
      <c r="M108" s="4">
        <v>241.64204533132889</v>
      </c>
      <c r="N108" s="4">
        <v>0.22965892686082337</v>
      </c>
      <c r="O108" s="1" t="str">
        <f>HYPERLINK(".\sm_car_250205_2227\sm_car_250205_2227_107_Ca126TrN_MaWOT_ode23t_1.png","figure")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1151</v>
      </c>
      <c r="L109" s="4">
        <v>5.7219746000000002</v>
      </c>
      <c r="M109" s="4">
        <v>74.347326671342458</v>
      </c>
      <c r="N109" s="4">
        <v>-0.33732578239034305</v>
      </c>
      <c r="O109" s="1" t="str">
        <f>HYPERLINK(".\sm_car_250205_2227\sm_car_250205_2227_108_Ca126TrN_MaLSS_ode23t_1.png","figure")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 s="4">
        <v>5.1370306000000001</v>
      </c>
      <c r="M110" s="4">
        <v>240.98541775865615</v>
      </c>
      <c r="N110" s="4">
        <v>0.22848460059372189</v>
      </c>
      <c r="O110" s="1" t="str">
        <f>HYPERLINK(".\sm_car_250205_2227\sm_car_250205_2227_109_Ca127TrN_MaWOT_ode23t_1.png","figure")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1180</v>
      </c>
      <c r="L111" s="4">
        <v>6.1891422</v>
      </c>
      <c r="M111" s="4">
        <v>74.198264424483256</v>
      </c>
      <c r="N111" s="4">
        <v>-0.33249739283872759</v>
      </c>
      <c r="O111" s="1" t="str">
        <f>HYPERLINK(".\sm_car_250205_2227\sm_car_250205_2227_110_Ca127TrN_MaLSS_ode23t_1.png","figure")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646</v>
      </c>
      <c r="L112" s="4">
        <v>33.919610300000002</v>
      </c>
      <c r="M112" s="4">
        <v>410.8949134135575</v>
      </c>
      <c r="N112" s="4">
        <v>1.5845494205222519</v>
      </c>
      <c r="O112" s="1" t="str">
        <f>HYPERLINK(".\sm_car_250205_2227\sm_car_250205_2227_111_Ca140TrN_MaWOT_ode23t_1.png","figure")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599</v>
      </c>
      <c r="L113" s="4">
        <v>19.394047700000002</v>
      </c>
      <c r="M113" s="4">
        <v>157.01292658034524</v>
      </c>
      <c r="N113" s="4">
        <v>-0.55784705427010817</v>
      </c>
      <c r="O113" s="1" t="str">
        <f>HYPERLINK(".\sm_car_250205_2227\sm_car_250205_2227_112_Ca140TrN_MaLSS_ode23t_1.png","figure")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1178</v>
      </c>
      <c r="L114" s="4">
        <v>30.633210299999998</v>
      </c>
      <c r="M114" s="4">
        <v>410.98195959595955</v>
      </c>
      <c r="N114" s="4">
        <v>1.5684310525073628</v>
      </c>
      <c r="O114" s="1" t="str">
        <f>HYPERLINK(".\sm_car_250205_2227\sm_car_250205_2227_113_Ca142TrN_MaWOT_ode23t_1.png","figure")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1180</v>
      </c>
      <c r="L115" s="4">
        <v>20.852248100000001</v>
      </c>
      <c r="M115" s="4">
        <v>157.1017106966776</v>
      </c>
      <c r="N115" s="4">
        <v>-0.57023350173361365</v>
      </c>
      <c r="O115" s="1" t="str">
        <f>HYPERLINK(".\sm_car_250205_2227\sm_car_250205_2227_114_Ca142TrN_MaLSS_ode23t_1.png","figure")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352</v>
      </c>
      <c r="L116" s="4">
        <v>13.334145599999999</v>
      </c>
      <c r="M116" s="4">
        <v>96.550121053933196</v>
      </c>
      <c r="N116" s="4">
        <v>-4.0302884928158783E-2</v>
      </c>
      <c r="O116" s="1" t="str">
        <f>HYPERLINK(".\sm_car_250205_2227\sm_car_250205_2227_115_Ca145TrN_MaWOT_ode23t_1.png","figure")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448</v>
      </c>
      <c r="L117" s="4">
        <v>15.463485800000001</v>
      </c>
      <c r="M117" s="4">
        <v>25.153725389691001</v>
      </c>
      <c r="N117" s="4">
        <v>-5.1459921547619879E-2</v>
      </c>
      <c r="O117" s="1" t="str">
        <f>HYPERLINK(".\sm_car_250205_2227\sm_car_250205_2227_116_Ca145TrN_MaLSS_ode23t_1.png","figure")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 s="4">
        <v>9.7441864000000002</v>
      </c>
      <c r="M118" s="4">
        <v>114.92630297243322</v>
      </c>
      <c r="N118" s="4">
        <v>0.53489880249623289</v>
      </c>
      <c r="O118" s="1" t="str">
        <f>HYPERLINK(".\sm_car_250205_2227\sm_car_250205_2227_117_Ca146TrN_MaWOT_ode23t_1.png","figure")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466</v>
      </c>
      <c r="L119" s="4">
        <v>11.5644505</v>
      </c>
      <c r="M119" s="4">
        <v>35.842586489837366</v>
      </c>
      <c r="N119" s="4">
        <v>-3.0293077922035849E-2</v>
      </c>
      <c r="O119" s="1" t="str">
        <f>HYPERLINK(".\sm_car_250205_2227\sm_car_250205_2227_118_Ca146TrN_MaLSS_ode23t_1.png","figure")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 s="4">
        <v>9.5876976999999997</v>
      </c>
      <c r="M120" s="4">
        <v>114.92630297243322</v>
      </c>
      <c r="N120" s="4">
        <v>0.53489880249623289</v>
      </c>
      <c r="O120" s="1" t="str">
        <f>HYPERLINK(".\sm_car_250205_2227\sm_car_250205_2227_119_Ca146TrN_MaWOT_ode23t_1.png","figure")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466</v>
      </c>
      <c r="L121" s="4">
        <v>11.223349900000001</v>
      </c>
      <c r="M121" s="4">
        <v>35.842586489837366</v>
      </c>
      <c r="N121" s="4">
        <v>-3.0293077922035849E-2</v>
      </c>
      <c r="O121" s="1" t="str">
        <f>HYPERLINK(".\sm_car_250205_2227\sm_car_250205_2227_120_Ca146TrN_MaLSS_ode23t_1.png","figure")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556</v>
      </c>
      <c r="L122" s="4">
        <v>22.9549293</v>
      </c>
      <c r="M122" s="4">
        <v>182.83678570097209</v>
      </c>
      <c r="N122" s="4">
        <v>0.29494732147162273</v>
      </c>
      <c r="O122" s="1" t="str">
        <f>HYPERLINK(".\sm_car_250205_2227\sm_car_250205_2227_121_Ca161TrN_MaWOT_ode23t_1.png","figure")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698</v>
      </c>
      <c r="L123" s="4">
        <v>27.486144800000002</v>
      </c>
      <c r="M123" s="4">
        <v>156.82955945434125</v>
      </c>
      <c r="N123" s="4">
        <v>-0.57120127256492736</v>
      </c>
      <c r="O123" s="1" t="str">
        <f>HYPERLINK(".\sm_car_250205_2227\sm_car_250205_2227_122_Ca161TrN_MaLSS_ode23t_1.png","figure")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594</v>
      </c>
      <c r="L124" s="4">
        <v>27.324427199999999</v>
      </c>
      <c r="M124" s="4">
        <v>282.01278532046217</v>
      </c>
      <c r="N124" s="4">
        <v>0.73743550092993548</v>
      </c>
      <c r="O124" s="1" t="str">
        <f>HYPERLINK(".\sm_car_250205_2227\sm_car_250205_2227_123_Ca163TrN_MaWOT_ode23t_1.png","figure")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789</v>
      </c>
      <c r="L125" s="4">
        <v>32.788577099999998</v>
      </c>
      <c r="M125" s="4">
        <v>260.53226796305523</v>
      </c>
      <c r="N125" s="4">
        <v>-0.46312355621088502</v>
      </c>
      <c r="O125" s="1" t="str">
        <f>HYPERLINK(".\sm_car_250205_2227\sm_car_250205_2227_124_Ca163TrN_MaLSS_ode23t_1.png","figure")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310</v>
      </c>
      <c r="L126" s="4">
        <v>13.773452799999999</v>
      </c>
      <c r="M126" s="4">
        <v>313.1814272404298</v>
      </c>
      <c r="N126" s="4">
        <v>2.1400284659081462E-4</v>
      </c>
      <c r="O126" s="1" t="str">
        <f>HYPERLINK(".\sm_car_250205_2227\sm_car_250205_2227_125_Ca184TrN_MaWOT_ode23t_1.png","figure")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470</v>
      </c>
      <c r="L127" s="4">
        <v>11.2723928</v>
      </c>
      <c r="M127" s="4">
        <v>112.43422139644193</v>
      </c>
      <c r="N127" s="4">
        <v>-0.16133389921739807</v>
      </c>
      <c r="O127" s="1" t="str">
        <f>HYPERLINK(".\sm_car_250205_2227\sm_car_250205_2227_126_Ca184TrN_MaLSS_ode23t_1.png","figure")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696</v>
      </c>
      <c r="L128" s="4">
        <v>30.022740899999999</v>
      </c>
      <c r="M128" s="4">
        <v>283.04657258278075</v>
      </c>
      <c r="N128" s="4">
        <v>0.76182372902190987</v>
      </c>
      <c r="O128" s="1" t="str">
        <f>HYPERLINK(".\sm_car_250205_2227\sm_car_250205_2227_127_Ca217TrN_MaWOT_ode23t_1.png","figure")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846</v>
      </c>
      <c r="L129" s="4">
        <v>32.464955099999997</v>
      </c>
      <c r="M129" s="4">
        <v>111.90837717479481</v>
      </c>
      <c r="N129" s="4">
        <v>-0.36860306891323769</v>
      </c>
      <c r="O129" s="1" t="str">
        <f>HYPERLINK(".\sm_car_250205_2227\sm_car_250205_2227_128_Ca217TrN_MaLSS_ode23t_1.png","figure")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789</v>
      </c>
      <c r="L130" s="4">
        <v>9.7547248</v>
      </c>
      <c r="M130" s="4">
        <v>254.66356283777361</v>
      </c>
      <c r="N130" s="4">
        <v>3.4184045749752201E-3</v>
      </c>
      <c r="O130" s="1" t="str">
        <f>HYPERLINK(".\sm_car_250205_2227\sm_car_250205_2227_129_Ca012TrN_MaDLC_ode23t_1.png","figure")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920</v>
      </c>
      <c r="L131" s="4">
        <v>14.1246033</v>
      </c>
      <c r="M131" s="4">
        <v>75.614992002903591</v>
      </c>
      <c r="N131" s="4">
        <v>0.76185348487473437</v>
      </c>
      <c r="O131" s="1" t="str">
        <f>HYPERLINK(".\sm_car_250205_2227\sm_car_250205_2227_130_Ca012TrN_MaIPA_ode23t_1.png","figure")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12.6567027</v>
      </c>
      <c r="M132" s="4">
        <v>254.53955569651851</v>
      </c>
      <c r="N132" s="4">
        <v>-5.2296742365980364E-3</v>
      </c>
      <c r="O132" s="1" t="str">
        <f>HYPERLINK(".\sm_car_250205_2227\sm_car_250205_2227_131_Ca142TrN_MaDLC_ode23t_1.png","figure")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1588</v>
      </c>
      <c r="L133" s="4">
        <v>43.345282400000002</v>
      </c>
      <c r="M133" s="4">
        <v>84.932439758457647</v>
      </c>
      <c r="N133" s="4">
        <v>0.82561653020369785</v>
      </c>
      <c r="O133" s="1" t="str">
        <f>HYPERLINK(".\sm_car_250205_2227\sm_car_250205_2227_132_Ca142TrN_MaIPA_ode23t_1.png","figure")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479</v>
      </c>
      <c r="L134" s="4">
        <v>16.215449199999998</v>
      </c>
      <c r="M134" s="4">
        <v>253.46890789424879</v>
      </c>
      <c r="N134" s="4">
        <v>4.8383939373216833E-2</v>
      </c>
      <c r="O134" s="1" t="str">
        <f>HYPERLINK(".\sm_car_250205_2227\sm_car_250205_2227_133_Ca145TrN_MaDLC_ode23t_1.png","figure")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326</v>
      </c>
      <c r="L135" s="4">
        <v>11.6888431</v>
      </c>
      <c r="M135" s="4">
        <v>28.256966153245756</v>
      </c>
      <c r="N135" s="4">
        <v>1.5651586319126276E-2</v>
      </c>
      <c r="O135" s="1" t="str">
        <f>HYPERLINK(".\sm_car_250205_2227\sm_car_250205_2227_134_Ca145TrN_MaIPA_ode23t_1.png","figure")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425</v>
      </c>
      <c r="L136" s="4">
        <v>10.956823099999999</v>
      </c>
      <c r="M136" s="4">
        <v>253.84581011487177</v>
      </c>
      <c r="N136" s="4">
        <v>1.3003523952696661E-2</v>
      </c>
      <c r="O136" s="1" t="str">
        <f>HYPERLINK(".\sm_car_250205_2227\sm_car_250205_2227_135_Ca184TrN_MaDLC_ode23t_1.png","figure")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378</v>
      </c>
      <c r="L137" s="4">
        <v>12.158564</v>
      </c>
      <c r="M137" s="4">
        <v>61.814092966713659</v>
      </c>
      <c r="N137" s="4">
        <v>0.55822494075219964</v>
      </c>
      <c r="O137" s="1" t="str">
        <f>HYPERLINK(".\sm_car_250205_2227\sm_car_250205_2227_136_Ca184TrN_MaIPA_ode23t_1.png","figure")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1945</v>
      </c>
      <c r="L138" s="4">
        <v>23.1527332</v>
      </c>
      <c r="M138" s="4">
        <v>255.96164126647608</v>
      </c>
      <c r="N138" s="4">
        <v>1.3987100888559034E-2</v>
      </c>
      <c r="O138" s="1" t="str">
        <f>HYPERLINK(".\sm_car_250205_2227\sm_car_250205_2227_137_Ca204TrN_MaDLC_ode23t_1.png","figure")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697</v>
      </c>
      <c r="L139" s="4">
        <v>11.4307094</v>
      </c>
      <c r="M139" s="4">
        <v>26.03863725034287</v>
      </c>
      <c r="N139" s="4">
        <v>9.6653189693024395E-3</v>
      </c>
      <c r="O139" s="1" t="str">
        <f>HYPERLINK(".\sm_car_250205_2227\sm_car_250205_2227_138_Ca204TrN_MaIPA_ode23t_1.png","figure")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2711</v>
      </c>
      <c r="L140" s="4">
        <v>26.183865099999998</v>
      </c>
      <c r="M140" s="4">
        <v>-1.9061142353471228E-2</v>
      </c>
      <c r="N140" s="4">
        <v>-0.62246278584254122</v>
      </c>
      <c r="O140" s="1" t="str">
        <f>HYPERLINK(".\sm_car_250205_2227\sm_car_250205_2227_139_Ca012TrN_MaMPK_ode23t_1.png","figure")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3152</v>
      </c>
      <c r="L141" s="4">
        <v>28.3887769</v>
      </c>
      <c r="M141" s="4">
        <v>0.76580982614547999</v>
      </c>
      <c r="N141" s="4">
        <v>-0.32247535026145996</v>
      </c>
      <c r="O141" s="1" t="str">
        <f>HYPERLINK(".\sm_car_250205_2227\sm_car_250205_2227_140_Ca012TrN_MaMPC_ode23t_1.png","figure")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2554</v>
      </c>
      <c r="L142" s="4">
        <v>56.394706100000001</v>
      </c>
      <c r="M142" s="4">
        <v>-5.205668880170336E-3</v>
      </c>
      <c r="N142" s="4">
        <v>-0.54732795533325795</v>
      </c>
      <c r="O142" s="1" t="str">
        <f>HYPERLINK(".\sm_car_250205_2227\sm_car_250205_2227_141_Ca142TrN_MaMPK_ode23t_1.png","figure")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3178</v>
      </c>
      <c r="L143" s="4">
        <v>66.537459799999993</v>
      </c>
      <c r="M143" s="4">
        <v>0.78057310625118959</v>
      </c>
      <c r="N143" s="4">
        <v>-0.36534512521703638</v>
      </c>
      <c r="O143" s="1" t="str">
        <f>HYPERLINK(".\sm_car_250205_2227\sm_car_250205_2227_142_Ca142TrN_MaMPC_ode23t_1.png","figure")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2861</v>
      </c>
      <c r="L144" s="4">
        <v>11.0987293</v>
      </c>
      <c r="M144" s="4">
        <v>-1.8830660852685185E-2</v>
      </c>
      <c r="N144" s="4">
        <v>-0.52474272308174985</v>
      </c>
      <c r="O144" s="1" t="str">
        <f>HYPERLINK(".\sm_car_250205_2227\sm_car_250205_2227_143_Ca116TrN_MaMPK_ode23t_1.png","figure")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3380</v>
      </c>
      <c r="L145" s="4">
        <v>11.985277</v>
      </c>
      <c r="M145" s="4">
        <v>0.78596396772449673</v>
      </c>
      <c r="N145" s="4">
        <v>-0.35487518740083746</v>
      </c>
      <c r="O145" s="1" t="str">
        <f>HYPERLINK(".\sm_car_250205_2227\sm_car_250205_2227_144_Ca116TrN_MaMPC_ode23t_1.png","figure")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2734</v>
      </c>
      <c r="L146" s="4">
        <v>51.337498199999999</v>
      </c>
      <c r="M146" s="4">
        <v>-1.6219111052936733E-2</v>
      </c>
      <c r="N146" s="4">
        <v>-0.38989779228466193</v>
      </c>
      <c r="O146" s="1" t="str">
        <f>HYPERLINK(".\sm_car_250205_2227\sm_car_250205_2227_145_Ca143TrN_MaMPK_ode23t_1.png","figure")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2901</v>
      </c>
      <c r="L147" s="4">
        <v>66.121828699999995</v>
      </c>
      <c r="M147" s="4">
        <v>0.78785172636833067</v>
      </c>
      <c r="N147" s="4">
        <v>-0.25804940120101671</v>
      </c>
      <c r="O147" s="1" t="str">
        <f>HYPERLINK(".\sm_car_250205_2227\sm_car_250205_2227_146_Ca143TrN_MaMPC_ode23t_1.png","figure")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3175</v>
      </c>
      <c r="L148" s="4">
        <v>36.430175800000001</v>
      </c>
      <c r="M148" s="4">
        <v>-1.8458151748485738E-2</v>
      </c>
      <c r="N148" s="4">
        <v>-0.55560453006086286</v>
      </c>
      <c r="O148" s="1" t="str">
        <f>HYPERLINK(".\sm_car_250205_2227\sm_car_250205_2227_147_Ca166TrN_MaMPK_ode23t_1.png","figure")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3572</v>
      </c>
      <c r="L149" s="4">
        <v>40.8280666</v>
      </c>
      <c r="M149" s="4">
        <v>0.78815434702616827</v>
      </c>
      <c r="N149" s="4">
        <v>-0.35638834364578686</v>
      </c>
      <c r="O149" s="1" t="str">
        <f>HYPERLINK(".\sm_car_250205_2227\sm_car_250205_2227_148_Ca166TrN_MaMPC_ode23t_1.png","figure")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3129</v>
      </c>
      <c r="L150" s="4">
        <v>32.903060000000004</v>
      </c>
      <c r="M150" s="4">
        <v>1.6394593209982669E-2</v>
      </c>
      <c r="N150" s="4">
        <v>-0.55723775840328993</v>
      </c>
      <c r="O150" s="1" t="str">
        <f>HYPERLINK(".\sm_car_250205_2227\sm_car_250205_2227_149_Ca169TrN_MaMPK_ode23t_1.png","figure")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3387</v>
      </c>
      <c r="L151" s="4">
        <v>35.629097799999997</v>
      </c>
      <c r="M151" s="4">
        <v>0.78915055522461763</v>
      </c>
      <c r="N151" s="4">
        <v>-0.35568212185740766</v>
      </c>
      <c r="O151" s="1" t="str">
        <f>HYPERLINK(".\sm_car_250205_2227\sm_car_250205_2227_150_Ca169TrN_MaMPC_ode23t_1.png","figure")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2091</v>
      </c>
      <c r="L152" s="4">
        <v>49.592350000000003</v>
      </c>
      <c r="M152" s="4">
        <v>-1.8130445210063517E-2</v>
      </c>
      <c r="N152" s="4">
        <v>-0.69898571560516654</v>
      </c>
      <c r="O152" s="1" t="str">
        <f>HYPERLINK(".\sm_car_250205_2227\sm_car_250205_2227_151_Ca184TrN_MaMPK_ode23t_1.png","figure")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2170</v>
      </c>
      <c r="L153" s="4">
        <v>48.464146300000003</v>
      </c>
      <c r="M153" s="4">
        <v>0.77504067001194876</v>
      </c>
      <c r="N153" s="4">
        <v>-0.32958888405163067</v>
      </c>
      <c r="O153" s="1" t="str">
        <f>HYPERLINK(".\sm_car_250205_2227\sm_car_250205_2227_152_Ca184TrN_MaMPC_ode23t_1.png","figure")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3151</v>
      </c>
      <c r="L154" s="4">
        <v>30.6862411</v>
      </c>
      <c r="M154" s="4">
        <v>-1.9464044277697379E-2</v>
      </c>
      <c r="N154" s="4">
        <v>-0.55648627320189847</v>
      </c>
      <c r="O154" s="1" t="str">
        <f>HYPERLINK(".\sm_car_250205_2227\sm_car_250205_2227_153_Ca195TrN_MaMPK_ode23t_1.png","figure")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3359</v>
      </c>
      <c r="L155" s="4">
        <v>30.450515200000002</v>
      </c>
      <c r="M155" s="4">
        <v>0.78666632840645612</v>
      </c>
      <c r="N155" s="4">
        <v>-0.35564326941441954</v>
      </c>
      <c r="O155" s="1" t="str">
        <f>HYPERLINK(".\sm_car_250205_2227\sm_car_250205_2227_154_Ca195TrN_MaMPC_ode23t_1.png","figure")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2128</v>
      </c>
      <c r="L156" s="4">
        <v>26.976657599999999</v>
      </c>
      <c r="M156" s="4">
        <v>-2.2772171663045238E-3</v>
      </c>
      <c r="N156" s="4">
        <v>-0.69949119120577441</v>
      </c>
      <c r="O156" s="1" t="str">
        <f>HYPERLINK(".\sm_car_250205_2227\sm_car_250205_2227_155_Ca198TrN_MaMPK_ode23t_1.png","figure")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2193</v>
      </c>
      <c r="L157" s="4">
        <v>26.520117899999999</v>
      </c>
      <c r="M157" s="4">
        <v>0.78874244246508773</v>
      </c>
      <c r="N157" s="4">
        <v>-0.32973708897288107</v>
      </c>
      <c r="O157" s="1" t="str">
        <f>HYPERLINK(".\sm_car_250205_2227\sm_car_250205_2227_156_Ca198TrN_MaMPC_ode23t_1.png","figure")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11.914351999999999</v>
      </c>
      <c r="M158" s="4">
        <v>73.315043831519588</v>
      </c>
      <c r="N158" s="4">
        <v>-0.82706100581313025</v>
      </c>
      <c r="O158" s="1" t="str">
        <f>HYPERLINK(".\sm_car_250205_2227\sm_car_250205_2227_157_Ca151TrN_MaLSS_ode23t_1.png","figure")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526</v>
      </c>
      <c r="L159" s="4">
        <v>11.6529305</v>
      </c>
      <c r="M159" s="4">
        <v>71.688031151233133</v>
      </c>
      <c r="N159" s="4">
        <v>-0.54027646486917513</v>
      </c>
      <c r="O159" s="1" t="str">
        <f>HYPERLINK(".\sm_car_250205_2227\sm_car_250205_2227_158_Ca152TrN_MaLSS_ode23t_1.png","figure")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544</v>
      </c>
      <c r="L160" s="4">
        <v>13.035581199999999</v>
      </c>
      <c r="M160" s="4">
        <v>71.524522695828367</v>
      </c>
      <c r="N160" s="4">
        <v>-0.89121361340626692</v>
      </c>
      <c r="O160" s="1" t="str">
        <f>HYPERLINK(".\sm_car_250205_2227\sm_car_250205_2227_159_Ca153TrN_MaLSS_ode23t_1.png","figure")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492</v>
      </c>
      <c r="L161" s="4">
        <v>14.362818000000001</v>
      </c>
      <c r="M161" s="4">
        <v>71.718258133700104</v>
      </c>
      <c r="N161" s="4">
        <v>-0.36629671652416884</v>
      </c>
      <c r="O161" s="1" t="str">
        <f>HYPERLINK(".\sm_car_250205_2227\sm_car_250205_2227_160_Ca154TrN_MaLSS_ode23t_1.png","figure")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549</v>
      </c>
      <c r="L162" s="4">
        <v>16.9757718</v>
      </c>
      <c r="M162" s="4">
        <v>71.567813582393072</v>
      </c>
      <c r="N162" s="4">
        <v>-0.86328739376068775</v>
      </c>
      <c r="O162" s="1" t="str">
        <f>HYPERLINK(".\sm_car_250205_2227\sm_car_250205_2227_161_Ca155TrN_MaLSS_ode23t_1.png","figure")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8.3163006999999993</v>
      </c>
      <c r="M163" s="4">
        <v>233.86868495957117</v>
      </c>
      <c r="N163" s="4">
        <v>1.5279868512777874E-2</v>
      </c>
      <c r="O163" s="1" t="str">
        <f>HYPERLINK(".\sm_car_250205_2227\sm_car_250205_2227_162_Ca004TrN_MaWOT_ode3_1.png","figure")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6.7184879999999998</v>
      </c>
      <c r="M164" s="4">
        <v>71.992416552873522</v>
      </c>
      <c r="N164" s="4">
        <v>-0.55216478985760642</v>
      </c>
      <c r="O164" s="1" t="str">
        <f>HYPERLINK(".\sm_car_250205_2227\sm_car_250205_2227_163_Ca004TrN_MaLSS_ode3_1.png","figure")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6.6608444000000002</v>
      </c>
      <c r="M165" s="4">
        <v>64.314286423663845</v>
      </c>
      <c r="N165" s="4">
        <v>-25.500994053949178</v>
      </c>
      <c r="O165" s="1" t="str">
        <f>HYPERLINK(".\sm_car_250205_2227\sm_car_250205_2227_164_Ca004TrN_MaTUR_ode3_1.png","figure")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3.4517508000000001</v>
      </c>
      <c r="M166" s="4">
        <v>242.70379428436041</v>
      </c>
      <c r="N166" s="4">
        <v>0.23327324309701689</v>
      </c>
      <c r="O166" s="1" t="str">
        <f>HYPERLINK(".\sm_car_250205_2227\sm_car_250205_2227_165_Ca116TrN_MaWOT_ode3_1.png","figure")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2.8044443000000001</v>
      </c>
      <c r="M167" s="4">
        <v>74.659491982450774</v>
      </c>
      <c r="N167" s="4">
        <v>-0.34093758006291858</v>
      </c>
      <c r="O167" s="1" t="str">
        <f>HYPERLINK(".\sm_car_250205_2227\sm_car_250205_2227_166_Ca116TrN_MaLSS_ode3_1.png","figure")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2.9027656999999998</v>
      </c>
      <c r="M168" s="4">
        <v>71.32397117118802</v>
      </c>
      <c r="N168" s="4">
        <v>-17.591551103430934</v>
      </c>
      <c r="O168" s="1" t="str">
        <f>HYPERLINK(".\sm_car_250205_2227\sm_car_250205_2227_167_Ca116TrN_MaTUR_ode3_1.png","figure")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2.0702699999999998</v>
      </c>
      <c r="M169" s="4">
        <v>242.88013068819623</v>
      </c>
      <c r="N169" s="4">
        <v>0.23307974035338433</v>
      </c>
      <c r="O169" s="1" t="str">
        <f>HYPERLINK(".\sm_car_250205_2227\sm_car_250205_2227_168_Ca124TrN_MaWOT_ode3_1.png","figure")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1.7423909</v>
      </c>
      <c r="M170" s="4">
        <v>74.798394612599097</v>
      </c>
      <c r="N170" s="4">
        <v>-0.34251622055333664</v>
      </c>
      <c r="O170" s="1" t="str">
        <f>HYPERLINK(".\sm_car_250205_2227\sm_car_250205_2227_169_Ca124TrN_MaLSS_ode3_1.png","figure")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1.6985615999999999</v>
      </c>
      <c r="M171" s="4">
        <v>71.449352968456878</v>
      </c>
      <c r="N171" s="4">
        <v>-17.63759605520924</v>
      </c>
      <c r="O171" s="1" t="str">
        <f>HYPERLINK(".\sm_car_250205_2227\sm_car_250205_2227_170_Ca124TrN_MaTUR_ode3_1.png","figure")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11.4769135</v>
      </c>
      <c r="M172" s="4">
        <v>411.22792847602506</v>
      </c>
      <c r="N172" s="4">
        <v>1.5233271513306836</v>
      </c>
      <c r="O172" s="1" t="str">
        <f>HYPERLINK(".\sm_car_250205_2227\sm_car_250205_2227_171_Ca141TrN_MaWOT_ode3_1.png","figure")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9.7674091000000001</v>
      </c>
      <c r="M173" s="4">
        <v>157.12815752213527</v>
      </c>
      <c r="N173" s="4">
        <v>-0.5645994055756246</v>
      </c>
      <c r="O173" s="1" t="str">
        <f>HYPERLINK(".\sm_car_250205_2227\sm_car_250205_2227_172_Ca141TrN_MaLSS_ode3_1.png","figure")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9.5828699000000004</v>
      </c>
      <c r="M174" s="4">
        <v>99.142812471287741</v>
      </c>
      <c r="N174" s="4">
        <v>-89.336781381079831</v>
      </c>
      <c r="O174" s="1" t="str">
        <f>HYPERLINK(".\sm_car_250205_2227\sm_car_250205_2227_173_Ca141TrN_MaTUR_ode3_1.png","figure")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7.2760180999999999</v>
      </c>
      <c r="M175" s="4">
        <v>96.916334895944843</v>
      </c>
      <c r="N175" s="4">
        <v>8.561370597194301E-2</v>
      </c>
      <c r="O175" s="1" t="str">
        <f>HYPERLINK(".\sm_car_250205_2227\sm_car_250205_2227_174_Ca145TrN_MaWOT_ode3_1.png","figure")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6.2455508999999996</v>
      </c>
      <c r="M176" s="4">
        <v>25.406467285427112</v>
      </c>
      <c r="N176" s="4">
        <v>-4.2611053323550682E-2</v>
      </c>
      <c r="O176" s="1" t="str">
        <f>HYPERLINK(".\sm_car_250205_2227\sm_car_250205_2227_175_Ca145TrN_MaLSS_ode3_1.png","figure")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6.0867592000000004</v>
      </c>
      <c r="M177" s="4">
        <v>25.252817023767324</v>
      </c>
      <c r="N177" s="4">
        <v>-2.6278209780660262</v>
      </c>
      <c r="O177" s="1" t="str">
        <f>HYPERLINK(".\sm_car_250205_2227\sm_car_250205_2227_176_Ca145TrN_MaTUR_ode3_1.png","figure")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8.3431905000000004</v>
      </c>
      <c r="M178" s="4">
        <v>97.72769805979955</v>
      </c>
      <c r="N178" s="4">
        <v>-5.0716881747819013E-2</v>
      </c>
      <c r="O178" s="1" t="str">
        <f>HYPERLINK(".\sm_car_250205_2227\sm_car_250205_2227_177_Ca199TrN_MaWOT_ode3_1.png","figure")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6.8482098000000002</v>
      </c>
      <c r="M179" s="4">
        <v>26.092676274625305</v>
      </c>
      <c r="N179" s="4">
        <v>-5.5248795523061167E-2</v>
      </c>
      <c r="O179" s="1" t="str">
        <f>HYPERLINK(".\sm_car_250205_2227\sm_car_250205_2227_178_Ca199TrN_MaLSS_ode3_1.png","figure")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6.7650617999999998</v>
      </c>
      <c r="M180" s="4">
        <v>25.92677454518039</v>
      </c>
      <c r="N180" s="4">
        <v>-2.7324566843135929</v>
      </c>
      <c r="O180" s="1" t="str">
        <f>HYPERLINK(".\sm_car_250205_2227\sm_car_250205_2227_179_Ca199TrN_MaTUR_ode3_1.png","figure")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544</v>
      </c>
      <c r="L181" s="4">
        <v>8.6866502000000008</v>
      </c>
      <c r="M181" s="4">
        <v>254.9937267451192</v>
      </c>
      <c r="N181" s="4">
        <v>-5.729548791094885E-3</v>
      </c>
      <c r="O181" s="1" t="str">
        <f>HYPERLINK(".\sm_car_250205_2227\sm_car_250205_2227_180_Ca139TrN_MaDLC_ode23t_1.png","figure")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941</v>
      </c>
      <c r="L182" s="4">
        <v>28.311922899999999</v>
      </c>
      <c r="M182" s="4">
        <v>253.22399529782149</v>
      </c>
      <c r="N182" s="4">
        <v>0.18402465781969113</v>
      </c>
      <c r="O182" s="1" t="str">
        <f>HYPERLINK(".\sm_car_250205_2227\sm_car_250205_2227_181_Ca139TrE_MaDLC_ode23t_1.png","figure")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1032</v>
      </c>
      <c r="L183" s="4">
        <v>34.937986299999999</v>
      </c>
      <c r="M183" s="4">
        <v>255.81071632805481</v>
      </c>
      <c r="N183" s="4">
        <v>-5.2069453177825409E-3</v>
      </c>
      <c r="O183" s="1" t="str">
        <f>HYPERLINK(".\sm_car_250205_2227\sm_car_250205_2227_182_Ca139TrT_MaDLC_ode23t_1.png","figure")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770</v>
      </c>
      <c r="L184" s="4">
        <v>17.617355199999999</v>
      </c>
      <c r="M184" s="4">
        <v>253.48325399856589</v>
      </c>
      <c r="N184" s="4">
        <v>1.2780606771325864E-2</v>
      </c>
      <c r="O184" s="1" t="str">
        <f>HYPERLINK(".\sm_car_250205_2227\sm_car_250205_2227_183_Ca139TrE_MaDLC_ode23t_1.png","figure")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624</v>
      </c>
      <c r="L185" s="4">
        <v>8.2471309999999995</v>
      </c>
      <c r="M185" s="4">
        <v>254.06237997542303</v>
      </c>
      <c r="N185" s="4">
        <v>3.3049855993327881E-3</v>
      </c>
      <c r="O185" s="1" t="str">
        <f>HYPERLINK(".\sm_car_250205_2227\sm_car_250205_2227_184_Ca002TrN_MaDLC_ode23t_1.png","figure")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783</v>
      </c>
      <c r="L186" s="4">
        <v>19.915303399999999</v>
      </c>
      <c r="M186" s="4">
        <v>253.9379512103115</v>
      </c>
      <c r="N186" s="4">
        <v>3.380469825884802E-3</v>
      </c>
      <c r="O186" s="1" t="str">
        <f>HYPERLINK(".\sm_car_250205_2227\sm_car_250205_2227_185_Ca002TrE_MaDLC_ode23t_1.png","figure")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948</v>
      </c>
      <c r="L187" s="4">
        <v>26.085953400000001</v>
      </c>
      <c r="M187" s="4">
        <v>253.96609780891589</v>
      </c>
      <c r="N187" s="4">
        <v>3.370779183883954E-3</v>
      </c>
      <c r="O187" s="1" t="str">
        <f>HYPERLINK(".\sm_car_250205_2227\sm_car_250205_2227_186_Ca002TrT_MaDLC_ode23t_1.png","figure")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787</v>
      </c>
      <c r="L188" s="4">
        <v>15.269729999999999</v>
      </c>
      <c r="M188" s="4">
        <v>253.28273047495685</v>
      </c>
      <c r="N188" s="4">
        <v>3.7275972765025145E-3</v>
      </c>
      <c r="O188" s="1" t="str">
        <f>HYPERLINK(".\sm_car_250205_2227\sm_car_250205_2227_187_Ca002TrE_MaDLC_ode23t_1.png","figure")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479</v>
      </c>
      <c r="L189" s="4">
        <v>16.677869699999999</v>
      </c>
      <c r="M189" s="4">
        <v>253.46890789424879</v>
      </c>
      <c r="N189" s="4">
        <v>4.8383939373216833E-2</v>
      </c>
      <c r="O189" s="1" t="str">
        <f>HYPERLINK(".\sm_car_250205_2227\sm_car_250205_2227_188_Ca145TrN_MaDLC_ode23t_1.png","figure")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561</v>
      </c>
      <c r="L190" s="4">
        <v>29.836371199999999</v>
      </c>
      <c r="M190" s="4">
        <v>253.39007730194493</v>
      </c>
      <c r="N190" s="4">
        <v>4.9059883565386819E-2</v>
      </c>
      <c r="O190" s="1" t="str">
        <f>HYPERLINK(".\sm_car_250205_2227\sm_car_250205_2227_189_Ca145TrE_MaDLC_ode23t_1.png","figure")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718</v>
      </c>
      <c r="L191" s="4">
        <v>41.813685800000002</v>
      </c>
      <c r="M191" s="4">
        <v>253.66259240561686</v>
      </c>
      <c r="N191" s="4">
        <v>4.7651444236371354E-2</v>
      </c>
      <c r="O191" s="1" t="str">
        <f>HYPERLINK(".\sm_car_250205_2227\sm_car_250205_2227_190_Ca145TrT_MaDLC_ode23t_1.png","figure")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560</v>
      </c>
      <c r="L192" s="4">
        <v>25.773851799999999</v>
      </c>
      <c r="M192" s="4">
        <v>254.24879017683003</v>
      </c>
      <c r="N192" s="4">
        <v>4.578916668767441E-2</v>
      </c>
      <c r="O192" s="1" t="str">
        <f>HYPERLINK(".\sm_car_250205_2227\sm_car_250205_2227_191_Ca145TrE_MaDLC_ode23t_1.png","figure")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488</v>
      </c>
      <c r="L193" s="4">
        <v>6.4070868000000001</v>
      </c>
      <c r="M193" s="4">
        <v>253.95159224272635</v>
      </c>
      <c r="N193" s="4">
        <v>4.6439929524696666E-2</v>
      </c>
      <c r="O193" s="1" t="str">
        <f>HYPERLINK(".\sm_car_250205_2227\sm_car_250205_2227_192_Ca199TrN_MaDLC_ode23t_1.png","figure")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565</v>
      </c>
      <c r="L194" s="4">
        <v>15.876697500000001</v>
      </c>
      <c r="M194" s="4">
        <v>254.24760825135291</v>
      </c>
      <c r="N194" s="4">
        <v>4.5781326419549906E-2</v>
      </c>
      <c r="O194" s="1" t="str">
        <f>HYPERLINK(".\sm_car_250205_2227\sm_car_250205_2227_193_Ca199TrE_MaDLC_ode23t_1.png","figure")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644</v>
      </c>
      <c r="L195" s="4">
        <v>16.998564099999999</v>
      </c>
      <c r="M195" s="4">
        <v>254.62879422543841</v>
      </c>
      <c r="N195" s="4">
        <v>4.4162484497951127E-2</v>
      </c>
      <c r="O195" s="1" t="str">
        <f>HYPERLINK(".\sm_car_250205_2227\sm_car_250205_2227_194_Ca199TrT_MaDLC_ode23t_1.png","figure")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567</v>
      </c>
      <c r="L196" s="4">
        <v>11.6713126</v>
      </c>
      <c r="M196" s="4">
        <v>254.24773460876776</v>
      </c>
      <c r="N196" s="4">
        <v>4.5789469289656104E-2</v>
      </c>
      <c r="O196" s="1" t="str">
        <f>HYPERLINK(".\sm_car_250205_2227\sm_car_250205_2227_195_Ca199TrE_MaDLC_ode23t_1.png","figure")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465</v>
      </c>
      <c r="L197" s="4">
        <v>12.821075199999999</v>
      </c>
      <c r="M197" s="4">
        <v>261.07529882762759</v>
      </c>
      <c r="N197" s="4">
        <v>2.5017225634369535</v>
      </c>
      <c r="O197" s="1" t="str">
        <f>HYPERLINK(".\sm_car_250205_2227\sm_car_250205_2227_196_Ca139TrE_MaTRD_ode23t_1.png","figure")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501</v>
      </c>
      <c r="L198" s="4">
        <v>12.1774887</v>
      </c>
      <c r="M198" s="4">
        <v>261.05801973685629</v>
      </c>
      <c r="N198" s="4">
        <v>2.5012456697664249</v>
      </c>
      <c r="O198" s="1" t="str">
        <f>HYPERLINK(".\sm_car_250205_2227\sm_car_250205_2227_197_Ca139TrU_MaTRD_ode23t_1.png","figure")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1265</v>
      </c>
      <c r="L199" s="4">
        <v>11.7408856</v>
      </c>
      <c r="M199" s="4">
        <v>-5.3880997176934354E-3</v>
      </c>
      <c r="N199" s="4">
        <v>-6.9305897505276604E-4</v>
      </c>
      <c r="O199" s="1" t="str">
        <f>HYPERLINK(".\sm_car_250205_2227\sm_car_250205_2227_198_Ca149TrN_MaPST_ode23t_1.png","figure")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1604</v>
      </c>
      <c r="L200" s="4">
        <v>34.8564656</v>
      </c>
      <c r="M200" s="4">
        <v>36.421876650262611</v>
      </c>
      <c r="N200" s="4">
        <v>0.34881533046418839</v>
      </c>
      <c r="O200" s="1" t="str">
        <f>HYPERLINK(".\sm_car_250205_2227\sm_car_250205_2227_199_Ca139TrN_MaSKD_ode23t_1.png","figure")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 s="4">
        <v>32.195650499999999</v>
      </c>
      <c r="M201" s="4">
        <v>3.3429475962349571</v>
      </c>
      <c r="N201" s="4">
        <v>26.737358767737884</v>
      </c>
      <c r="O201" s="1" t="str">
        <f>HYPERLINK(".\sm_car_250205_2227\sm_car_250205_2227_200_Ca139TrN_MaRAD_ode23t_1.png","figure")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1332</v>
      </c>
      <c r="L202" s="4">
        <v>47.288936499999998</v>
      </c>
      <c r="M202" s="4">
        <v>36.476331308089421</v>
      </c>
      <c r="N202" s="4">
        <v>0.24109185881455872</v>
      </c>
      <c r="O202" s="1" t="str">
        <f>HYPERLINK(".\sm_car_250205_2227\sm_car_250205_2227_201_Ca184TrN_MaSKD_ode23t_1.png","figure")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643</v>
      </c>
      <c r="L203" s="4">
        <v>21.291430500000001</v>
      </c>
      <c r="M203" s="4">
        <v>12.326067638556825</v>
      </c>
      <c r="N203" s="4">
        <v>21.751464354787551</v>
      </c>
      <c r="O203" s="1" t="str">
        <f>HYPERLINK(".\sm_car_250205_2227\sm_car_250205_2227_202_Ca184TrN_MaRAD_ode23t_1.png","figure")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 s="4">
        <v>27.699778200000001</v>
      </c>
      <c r="M204" s="4">
        <v>36.483214822677049</v>
      </c>
      <c r="N204" s="4">
        <v>0.2407170927131643</v>
      </c>
      <c r="O204" s="1" t="str">
        <f>HYPERLINK(".\sm_car_250205_2227\sm_car_250205_2227_203_Ca198TrN_MaSKD_ode23t_1.png","figure")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678</v>
      </c>
      <c r="L205" s="4">
        <v>12.527123700000001</v>
      </c>
      <c r="M205" s="4">
        <v>12.310792710679211</v>
      </c>
      <c r="N205" s="4">
        <v>21.705426376680116</v>
      </c>
      <c r="O205" s="1" t="str">
        <f>HYPERLINK(".\sm_car_250205_2227\sm_car_250205_2227_204_Ca198TrN_MaRAD_ode23t_1.png","figure")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26583</v>
      </c>
      <c r="L206" s="4">
        <v>385.70083340000002</v>
      </c>
      <c r="M206" s="4">
        <v>20.12607548563318</v>
      </c>
      <c r="N206" s="4">
        <v>3.0737336076885411</v>
      </c>
      <c r="O206" s="1" t="str">
        <f>HYPERLINK(".\sm_car_250205_2227\sm_car_250205_2227_205_Ca156TrN_MaIPA_ode23t.png","figure")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19431</v>
      </c>
      <c r="L207" s="4">
        <v>252.56001140000001</v>
      </c>
      <c r="M207" s="4">
        <v>16.621970321166863</v>
      </c>
      <c r="N207" s="4">
        <v>0.60006432420704492</v>
      </c>
      <c r="O207" s="1" t="str">
        <f>HYPERLINK(".\sm_car_250205_2227\sm_car_250205_2227_206_Ca130TrN_MaIPA_ode23t.png","figure")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1359</v>
      </c>
      <c r="L208" s="4">
        <v>21.817806600000001</v>
      </c>
      <c r="M208" s="4">
        <v>346.82883586527811</v>
      </c>
      <c r="N208" s="4">
        <v>0.71834776993007976</v>
      </c>
      <c r="O208" s="1" t="str">
        <f>HYPERLINK(".\sm_car_250205_2227\sm_car_250205_2227_207_Ca171TrN_MaRDP_ode23t_1.png","figure")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1312</v>
      </c>
      <c r="L209" s="4">
        <v>10.677668000000001</v>
      </c>
      <c r="M209" s="4">
        <v>142.01821805777246</v>
      </c>
      <c r="N209" s="4">
        <v>3.7473919510242745E-2</v>
      </c>
      <c r="O209" s="1" t="str">
        <f>HYPERLINK(".\sm_car_250205_2227\sm_car_250205_2227_208_Ca172TrN_MaRDP_ode23t_1.png","figure")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 s="4">
        <v>18.138550800000001</v>
      </c>
      <c r="M210" s="4">
        <v>370.9019537178828</v>
      </c>
      <c r="N210" s="4">
        <v>0.7997407776640757</v>
      </c>
      <c r="O210" s="1" t="str">
        <f>HYPERLINK(".\sm_car_250205_2227\sm_car_250205_2227_209_Ca139TrN_MaZPL_ode23t_1.png","figure")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2092</v>
      </c>
      <c r="L211" s="4">
        <v>9.2172987000000006</v>
      </c>
      <c r="M211" s="4">
        <v>397.66954948583771</v>
      </c>
      <c r="N211" s="4">
        <v>0.33478815371427123</v>
      </c>
      <c r="O211" s="1" t="str">
        <f>HYPERLINK(".\sm_car_250205_2227\sm_car_250205_2227_210_Ca165TrN_MaZPL_ode23t_1.png","figure")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1439</v>
      </c>
      <c r="L212" s="4">
        <v>20.854517699999999</v>
      </c>
      <c r="M212" s="4">
        <v>370.87867379295108</v>
      </c>
      <c r="N212" s="4">
        <v>0.78431648108385754</v>
      </c>
      <c r="O212" s="1" t="str">
        <f>HYPERLINK(".\sm_car_250205_2227\sm_car_250205_2227_211_Ca171TrN_MaZPL_ode23t_1.png","figure")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507</v>
      </c>
      <c r="L213" s="4">
        <v>3.9966004000000002</v>
      </c>
      <c r="M213" s="4">
        <v>378.34372857519804</v>
      </c>
      <c r="N213" s="4">
        <v>0.32216837976600754</v>
      </c>
      <c r="O213" s="1" t="str">
        <f>HYPERLINK(".\sm_car_250205_2227\sm_car_250205_2227_212_Ca165TrN_MaCPL_ode23t_1.png","figure")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469</v>
      </c>
      <c r="L214" s="4">
        <v>2.5384731</v>
      </c>
      <c r="M214" s="4">
        <v>380.91783156370263</v>
      </c>
      <c r="N214" s="4">
        <v>0.32787368934773187</v>
      </c>
      <c r="O214" s="1" t="str">
        <f>HYPERLINK(".\sm_car_250205_2227\sm_car_250205_2227_213_Ca170TrN_MaCPL_ode23t_1.png","figure")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2492</v>
      </c>
      <c r="L215" s="4">
        <v>37.491361099999999</v>
      </c>
      <c r="M215" s="4">
        <v>152.46216140697211</v>
      </c>
      <c r="N215" s="4">
        <v>1.9184237320087007E-3</v>
      </c>
      <c r="O215" s="1" t="str">
        <f>HYPERLINK(".\sm_car_250205_2227\sm_car_250205_2227_214_Ca171TrN_MaRDR_ode23t_1.png","figure")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2983</v>
      </c>
      <c r="L216" s="4">
        <v>25.1868771</v>
      </c>
      <c r="M216" s="4">
        <v>146.53612435982453</v>
      </c>
      <c r="N216" s="4">
        <v>-4.7537082503711532E-3</v>
      </c>
      <c r="O216" s="1" t="str">
        <f>HYPERLINK(".\sm_car_250205_2227\sm_car_250205_2227_215_Ca172TrN_MaRDR_ode23t_1.png","figure")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3026</v>
      </c>
      <c r="L217" s="4">
        <v>31.983635799999998</v>
      </c>
      <c r="M217" s="4">
        <v>176.57149773911755</v>
      </c>
      <c r="N217" s="4">
        <v>8.5966028861422371E-4</v>
      </c>
      <c r="O217" s="1" t="str">
        <f>HYPERLINK(".\sm_car_250205_2227\sm_car_250205_2227_216_Ca139TrN_MaZRR_ode23t_1.png","figure")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3560</v>
      </c>
      <c r="L218" s="4">
        <v>18.947132400000001</v>
      </c>
      <c r="M218" s="4">
        <v>176.84710528875323</v>
      </c>
      <c r="N218" s="4">
        <v>8.1540952852472687E-5</v>
      </c>
      <c r="O218" s="1" t="str">
        <f>HYPERLINK(".\sm_car_250205_2227\sm_car_250205_2227_217_Ca165TrN_MaZRR_ode23t_1.png","figure")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3010</v>
      </c>
      <c r="L219" s="4">
        <v>46.174171399999999</v>
      </c>
      <c r="M219" s="4">
        <v>176.58396677927584</v>
      </c>
      <c r="N219" s="4">
        <v>8.5012833275687394E-4</v>
      </c>
      <c r="O219" s="1" t="str">
        <f>HYPERLINK(".\sm_car_250205_2227\sm_car_250205_2227_218_Ca171TrN_MaZRR_ode23t_1.png","figure")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5134</v>
      </c>
      <c r="L220" s="4">
        <v>15.722253500000001</v>
      </c>
      <c r="M220" s="4">
        <v>-5.9993663604697343</v>
      </c>
      <c r="N220" s="4">
        <v>2.9037244938445268E-3</v>
      </c>
      <c r="O220" s="1" t="str">
        <f>HYPERLINK(".\sm_car_250205_2227\sm_car_250205_2227_219_Ca170TrN_MaCMP_ode23t_1.png","figure")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1811</v>
      </c>
      <c r="L221" s="4">
        <v>10.4309809</v>
      </c>
      <c r="M221" s="4">
        <v>-5.9989539923306694</v>
      </c>
      <c r="N221" s="4">
        <v>2.877992535847541E-3</v>
      </c>
      <c r="O221" s="1" t="str">
        <f>HYPERLINK(".\sm_car_250205_2227\sm_car_250205_2227_220_Ca170TrN_MaCMF_ode23t_1.png","figure")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4629</v>
      </c>
      <c r="L222" s="4">
        <v>29.342447100000001</v>
      </c>
      <c r="M222" s="4">
        <v>-329.53452364299972</v>
      </c>
      <c r="N222" s="4">
        <v>6.1280134387842597</v>
      </c>
      <c r="O222" s="1" t="str">
        <f>HYPERLINK(".\sm_car_250205_2227\sm_car_250205_2227_221_Ca170TrN_MaMPO_ode23t_1.png","figure")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1206</v>
      </c>
      <c r="L223" s="4">
        <v>7.6601369000000004</v>
      </c>
      <c r="M223" s="4">
        <v>-13.871399348139057</v>
      </c>
      <c r="N223" s="4">
        <v>0.2221665699456139</v>
      </c>
      <c r="O223" s="1" t="str">
        <f>HYPERLINK(".\sm_car_250205_2227\sm_car_250205_2227_222_Ca170TrN_MaMCI_ode23t_1.png","figure")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5788</v>
      </c>
      <c r="L224" s="4">
        <v>15.1027445</v>
      </c>
      <c r="M224" s="4">
        <v>-5.9992725915411791</v>
      </c>
      <c r="N224" s="4">
        <v>-4.4775335255764527E-3</v>
      </c>
      <c r="O224" s="1" t="str">
        <f>HYPERLINK(".\sm_car_250205_2227\sm_car_250205_2227_223_Ca170TrN_MaCHO_ode23t_1.png","figure")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3420</v>
      </c>
      <c r="L225" s="4">
        <v>14.4022466</v>
      </c>
      <c r="M225" s="4">
        <v>-5.9983247558354869</v>
      </c>
      <c r="N225" s="4">
        <v>-4.4962108292958079E-3</v>
      </c>
      <c r="O225" s="1" t="str">
        <f>HYPERLINK(".\sm_car_250205_2227\sm_car_250205_2227_224_Ca170TrN_MaCHF_ode23t_1.png","figure")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7120</v>
      </c>
      <c r="L226" s="4">
        <v>25.9201975</v>
      </c>
      <c r="M226" s="4">
        <v>-752.11424744338444</v>
      </c>
      <c r="N226" s="4">
        <v>628.45218765200252</v>
      </c>
      <c r="O226" s="1" t="str">
        <f>HYPERLINK(".\sm_car_250205_2227\sm_car_250205_2227_225_Ca170TrN_MaCKY_ode23t_1.png","figure")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 s="4">
        <v>13.1558399</v>
      </c>
      <c r="M227" s="4">
        <v>-758.74751009372778</v>
      </c>
      <c r="N227" s="4">
        <v>632.74597114070832</v>
      </c>
      <c r="O227" s="1" t="str">
        <f>HYPERLINK(".\sm_car_250205_2227\sm_car_250205_2227_226_Ca170TrN_MaCKF_ode23t_1.png","figure")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2826</v>
      </c>
      <c r="L228" s="4">
        <v>12.3265695</v>
      </c>
      <c r="M228" s="4">
        <v>177.34509209027519</v>
      </c>
      <c r="N228" s="4">
        <v>288.25146099871347</v>
      </c>
      <c r="O228" s="1" t="str">
        <f>HYPERLINK(".\sm_car_250205_2227\sm_car_250205_2227_227_Ca170TrN_MaCNN_ode23t_1.png","figure")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4390</v>
      </c>
      <c r="L229" s="4">
        <v>48.526648700000003</v>
      </c>
      <c r="M229" s="4">
        <v>2994.8755220891894</v>
      </c>
      <c r="N229" s="4">
        <v>-3064.8911528474741</v>
      </c>
      <c r="O229" s="1" t="str">
        <f>HYPERLINK(".\sm_car_250205_2227\sm_car_250205_2227_228_Ca170TrN_MaCNF_ode23t_1.png","figure")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2957</v>
      </c>
      <c r="L230" s="4">
        <v>10.7833579</v>
      </c>
      <c r="M230" s="4">
        <v>522.24180054858095</v>
      </c>
      <c r="N230" s="4">
        <v>-164.33037572020785</v>
      </c>
      <c r="O230" s="1" t="str">
        <f>HYPERLINK(".\sm_car_250205_2227\sm_car_250205_2227_229_Ca170TrN_MaCSZ_ode23t_1.png","figure")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5697</v>
      </c>
      <c r="L231" s="4">
        <v>63.245520999999997</v>
      </c>
      <c r="M231" s="4">
        <v>-8.9656680082501214</v>
      </c>
      <c r="N231" s="4">
        <v>1.0003004396622307E-2</v>
      </c>
      <c r="O231" s="1" t="str">
        <f>HYPERLINK(".\sm_car_250205_2227\sm_car_250205_2227_230_Ca170TrN_MaCSF_ode23t_1.png","figure")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2040</v>
      </c>
      <c r="L232" s="4">
        <v>10.9930626</v>
      </c>
      <c r="M232" s="4">
        <v>209.02244120983042</v>
      </c>
      <c r="N232" s="4">
        <v>379.24615281822742</v>
      </c>
      <c r="O232" s="1" t="str">
        <f>HYPERLINK(".\sm_car_250205_2227\sm_car_250205_2227_231_Ca170TrN_MaCPU_ode23t_1.png","figure")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2589</v>
      </c>
      <c r="L233" s="4">
        <v>12.8534668</v>
      </c>
      <c r="M233" s="4">
        <v>183.03257378028661</v>
      </c>
      <c r="N233" s="4">
        <v>-170.24457901970891</v>
      </c>
      <c r="O233" s="1" t="str">
        <f>HYPERLINK(".\sm_car_250205_2227\sm_car_250205_2227_232_Ca170TrN_MaCPD_ode23t_1.png","figure")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1833</v>
      </c>
      <c r="L234" s="4">
        <v>3.7100184</v>
      </c>
      <c r="M234" s="4">
        <v>-5.9992060519496455</v>
      </c>
      <c r="N234" s="4">
        <v>2.854592736124532E-3</v>
      </c>
      <c r="O234" s="1" t="str">
        <f>HYPERLINK(".\sm_car_250205_2227\sm_car_250205_2227_233_Ca202TrN_MaCMF_ode23t_1.png","figure")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4516</v>
      </c>
      <c r="L235" s="4">
        <v>18.462608100000001</v>
      </c>
      <c r="M235" s="4">
        <v>-329.52903004929163</v>
      </c>
      <c r="N235" s="4">
        <v>6.1140173141356184</v>
      </c>
      <c r="O235" s="1" t="str">
        <f>HYPERLINK(".\sm_car_250205_2227\sm_car_250205_2227_234_Ca202TrN_MaMPO_ode23t_1.png","figure")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1196</v>
      </c>
      <c r="L236" s="4">
        <v>4.6414198000000004</v>
      </c>
      <c r="M236" s="4">
        <v>-13.865174707496607</v>
      </c>
      <c r="N236" s="4">
        <v>0.22605105232142364</v>
      </c>
      <c r="O236" s="1" t="str">
        <f>HYPERLINK(".\sm_car_250205_2227\sm_car_250205_2227_235_Ca202TrN_MaMCI_ode23t_1.png","figure")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3604</v>
      </c>
      <c r="L237" s="4">
        <v>7.9291191999999997</v>
      </c>
      <c r="M237" s="4">
        <v>-5.9991348085524541</v>
      </c>
      <c r="N237" s="4">
        <v>-7.2217868045486352E-3</v>
      </c>
      <c r="O237" s="1" t="str">
        <f>HYPERLINK(".\sm_car_250205_2227\sm_car_250205_2227_236_Ca202TrN_MaCKF_ode23t_1.png","figure")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10318</v>
      </c>
      <c r="L238" s="4">
        <v>74.088587000000004</v>
      </c>
      <c r="M238" s="4">
        <v>-8.9888091262615575</v>
      </c>
      <c r="N238" s="4">
        <v>4.7020759764764344E-2</v>
      </c>
      <c r="O238" s="1" t="str">
        <f>HYPERLINK(".\sm_car_250205_2227\sm_car_250205_2227_237_Ca202TrN_MaCNF_ode23t_1.png","figure")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5740</v>
      </c>
      <c r="L239" s="4">
        <v>37.004496400000001</v>
      </c>
      <c r="M239" s="4">
        <v>-8.9571486132992533</v>
      </c>
      <c r="N239" s="4">
        <v>9.936272673557919E-3</v>
      </c>
      <c r="O239" s="1" t="str">
        <f>HYPERLINK(".\sm_car_250205_2227\sm_car_250205_2227_238_Ca202TrN_MaCSF_ode23t_1.png","figure")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5549</v>
      </c>
      <c r="L240" s="4">
        <v>15.318683399999999</v>
      </c>
      <c r="M240" s="4">
        <v>-5.9991612247549346</v>
      </c>
      <c r="N240" s="4">
        <v>2.9793002447769412E-3</v>
      </c>
      <c r="O240" s="1" t="str">
        <f>HYPERLINK(".\sm_car_250205_2227\sm_car_250205_2227_239_Ca202TrN_MaCMP_ode23t_1.png","figure")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14988</v>
      </c>
      <c r="L241" s="4">
        <v>42.564118800000003</v>
      </c>
      <c r="M241" s="4">
        <v>-5.9960606730688264</v>
      </c>
      <c r="N241" s="4">
        <v>-8.9185621972918978E-3</v>
      </c>
      <c r="O241" s="1" t="str">
        <f>HYPERLINK(".\sm_car_250205_2227\sm_car_250205_2227_240_Ca202TrN_MaCKY_ode23t_1.png","figure")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454</v>
      </c>
      <c r="L242" s="4">
        <v>2.0845644000000001</v>
      </c>
      <c r="M242" s="4">
        <v>381.37278207713604</v>
      </c>
      <c r="N242" s="4">
        <v>0.32873488124669442</v>
      </c>
      <c r="O242" s="1" t="str">
        <f>HYPERLINK(".\sm_car_250205_2227\sm_car_250205_2227_241_Ca202TrN_MaCPL_ode23t_1.png","figure")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2807</v>
      </c>
      <c r="L243" s="4">
        <v>38.217492800000002</v>
      </c>
      <c r="M243" s="4">
        <v>176.37949440946895</v>
      </c>
      <c r="N243" s="4">
        <v>7.7316385878696981E-4</v>
      </c>
      <c r="O243" s="1" t="str">
        <f>HYPERLINK(".\sm_car_250205_2227\sm_car_250205_2227_242_Ca140TrN_MaCRR_ode23t_1.png","figure")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3429</v>
      </c>
      <c r="L244" s="4">
        <v>33.787196000000002</v>
      </c>
      <c r="M244" s="4">
        <v>176.43662653093608</v>
      </c>
      <c r="N244" s="4">
        <v>7.9729249255170093E-4</v>
      </c>
      <c r="O244" s="1" t="str">
        <f>HYPERLINK(".\sm_car_250205_2227\sm_car_250205_2227_243_Ca189TrN_MaCRR_ode23t_1.png","figure")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10581</v>
      </c>
      <c r="L245" s="4">
        <v>96.458541499999995</v>
      </c>
      <c r="M245" s="4">
        <v>208.81196729451091</v>
      </c>
      <c r="N245" s="4">
        <v>-0.7706499106124749</v>
      </c>
      <c r="O245" s="1" t="str">
        <f>HYPERLINK(".\sm_car_250205_2227\sm_car_250205_2227_244_Ca189TrN_MaGSU_ode23t_1.png","figure")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1624</v>
      </c>
      <c r="L246" s="4">
        <v>68.108784700000001</v>
      </c>
      <c r="M246" s="4">
        <v>51.299309859316843</v>
      </c>
      <c r="N246" s="4">
        <v>9.008275399679808E-3</v>
      </c>
      <c r="O246" s="1" t="str">
        <f>HYPERLINK(".\sm_car_250205_2227\sm_car_250205_2227_245_Ca173TrN_MaDCA_daessc_1.png","figure")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4151</v>
      </c>
      <c r="L247" s="4">
        <v>107.9332603</v>
      </c>
      <c r="M247" s="4">
        <v>980.46691240819177</v>
      </c>
      <c r="N247" s="4">
        <v>0.72238081850156499</v>
      </c>
      <c r="O247" s="1" t="str">
        <f>HYPERLINK(".\sm_car_250205_2227\sm_car_250205_2227_246_Ca173TrN_MaDC1_daessc_1.png","figure")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323</v>
      </c>
      <c r="L248" s="4">
        <v>2.7096271999999999</v>
      </c>
      <c r="M248" s="4">
        <v>53.509316050623006</v>
      </c>
      <c r="N248" s="4">
        <v>9.7568491871109827E-3</v>
      </c>
      <c r="O248" s="1" t="str">
        <f>HYPERLINK(".\sm_car_250205_2227\sm_car_250205_2227_247_Ca165TrN_MaDCA_ode23t_1.png","figure")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1198</v>
      </c>
      <c r="L249" s="4">
        <v>6.0885115000000001</v>
      </c>
      <c r="M249" s="4">
        <v>992.65441250671449</v>
      </c>
      <c r="N249" s="4">
        <v>0.70456822599955649</v>
      </c>
      <c r="O249" s="1" t="str">
        <f>HYPERLINK(".\sm_car_250205_2227\sm_car_250205_2227_248_Ca165TrN_MaDC1_ode23t_1.png","figure")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4200</v>
      </c>
      <c r="L250" s="4">
        <v>56.743051800000003</v>
      </c>
      <c r="M250" s="4">
        <v>980.46342007783153</v>
      </c>
      <c r="N250" s="4">
        <v>0.72247700068781573</v>
      </c>
      <c r="O250" s="1" t="str">
        <f>HYPERLINK(".\sm_car_250205_2227\sm_car_250205_2227_249_Ca196TrN_MaDC1_daessc_1.png","figure")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487</v>
      </c>
      <c r="L251" s="4">
        <v>4.3995385999999996</v>
      </c>
      <c r="M251" s="4">
        <v>147.81878569962564</v>
      </c>
      <c r="N251" s="4">
        <v>9.4803710459352625E-2</v>
      </c>
      <c r="O251" s="1" t="str">
        <f>HYPERLINK(".\sm_car_250205_2227\sm_car_250205_2227_250_Ca179TrN_MaWOT_ode23t_1.png","figure")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521</v>
      </c>
      <c r="L252" s="4">
        <v>5.9649288</v>
      </c>
      <c r="M252" s="4">
        <v>147.86066249527934</v>
      </c>
      <c r="N252" s="4">
        <v>9.4529968691258945E-2</v>
      </c>
      <c r="O252" s="1" t="str">
        <f>HYPERLINK(".\sm_car_250205_2227\sm_car_250205_2227_251_Ca180TrN_MaWOT_ode23t_1.png","figure")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470</v>
      </c>
      <c r="L253" s="4">
        <v>1.7380930000000001</v>
      </c>
      <c r="M253" s="4">
        <v>147.86098941676593</v>
      </c>
      <c r="N253" s="4">
        <v>9.4534722410326621E-2</v>
      </c>
      <c r="O253" s="1" t="str">
        <f>HYPERLINK(".\sm_car_250205_2227\sm_car_250205_2227_252_Ca197TrN_MaWOT_ode23t_1.png","figure")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10.609933099999999</v>
      </c>
      <c r="M254" s="4">
        <v>63.170402740877307</v>
      </c>
      <c r="N254" s="4">
        <v>-25.339355432324108</v>
      </c>
      <c r="O254" s="1" t="str">
        <f>HYPERLINK(".\sm_car_250205_2227\sm_car_250205_2227_253_Ca182TrN_MaTUR_ode23t_1.png","figure")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364</v>
      </c>
      <c r="L255" s="4">
        <v>4.2578297000000003</v>
      </c>
      <c r="M255" s="4">
        <v>63.141186529644656</v>
      </c>
      <c r="N255" s="4">
        <v>-25.326688577130984</v>
      </c>
      <c r="O255" s="1" t="str">
        <f>HYPERLINK(".\sm_car_250205_2227\sm_car_250205_2227_254_Ca203TrN_MaTUR_ode23t_1.png","figure")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535</v>
      </c>
      <c r="L256" s="4">
        <v>21.336608399999999</v>
      </c>
      <c r="M256" s="4">
        <v>114.15006792178177</v>
      </c>
      <c r="N256" s="4">
        <v>-80.76911185940854</v>
      </c>
      <c r="O256" s="1" t="str">
        <f>HYPERLINK(".\sm_car_250205_2227\sm_car_250205_2227_255_Ca185TrN_MaTUR_ode23t_1.png","figure")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542</v>
      </c>
      <c r="L257" s="4">
        <v>5.9561488000000002</v>
      </c>
      <c r="M257" s="4">
        <v>140.64844140597512</v>
      </c>
      <c r="N257" s="4">
        <v>-71.767114050995005</v>
      </c>
      <c r="O257" s="1" t="str">
        <f>HYPERLINK(".\sm_car_250205_2227\sm_car_250205_2227_256_Ca188TrN_MaTUR_ode23t_1.png","figure")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438</v>
      </c>
      <c r="L258" s="4">
        <v>12.387956900000001</v>
      </c>
      <c r="M258" s="4">
        <v>79.219542366997288</v>
      </c>
      <c r="N258" s="4">
        <v>-0.33383675790894024</v>
      </c>
      <c r="O258" s="1" t="str">
        <f>HYPERLINK(".\sm_car_250205_2227\sm_car_Axle3_250205_2227_257_CaAxle3_000TrN_MaWOT_ode23t_1.png","figure")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12.4879464</v>
      </c>
      <c r="M259" s="4">
        <v>69.133372940784071</v>
      </c>
      <c r="N259" s="4">
        <v>8.3860847378028749E-2</v>
      </c>
      <c r="O259" s="1" t="str">
        <f>HYPERLINK(".\sm_car_250205_2227\sm_car_Axle3_250205_2227_258_CaAxle3_008TrN_MaWOT_ode23t_1.png","figure")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426</v>
      </c>
      <c r="L260" s="4">
        <v>10.3718276</v>
      </c>
      <c r="M260" s="4">
        <v>79.26753082601013</v>
      </c>
      <c r="N260" s="4">
        <v>-0.31346583892466412</v>
      </c>
      <c r="O260" s="1" t="str">
        <f>HYPERLINK(".\sm_car_250205_2227\sm_car_Axle3_250205_2227_259_CaAxle3_003TrN_MaWOT_ode23t_1.png","figure")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438</v>
      </c>
      <c r="L261" s="4">
        <v>1.7805375999999999</v>
      </c>
      <c r="M261" s="4">
        <v>80.149536181477046</v>
      </c>
      <c r="N261" s="4">
        <v>-0.31965340500242301</v>
      </c>
      <c r="O261" s="1" t="str">
        <f>HYPERLINK(".\sm_car_250205_2227\sm_car_Axle3_250205_2227_260_CaAxle3_017TrN_MaWOT_ode23t_1.png","figure")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24.568939</v>
      </c>
      <c r="M262" s="4">
        <v>23.326591154260509</v>
      </c>
      <c r="N262" s="4">
        <v>2.4825691196431639E-3</v>
      </c>
      <c r="O262" s="1" t="str">
        <f>HYPERLINK(".\sm_car_250205_2227\sm_car_Axle3_250205_2227_261_CaAxle3_010TrK_MaWOT_ode23t_1.png","figure")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25.121945799999999</v>
      </c>
      <c r="M263" s="4">
        <v>23.441148459771718</v>
      </c>
      <c r="N263" s="4">
        <v>2.5318340812336311E-3</v>
      </c>
      <c r="O263" s="1" t="str">
        <f>HYPERLINK(".\sm_car_250205_2227\sm_car_Axle3_250205_2227_262_CaAxle3_010TrK_MaWOT_ode23t_1.png","figure")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395</v>
      </c>
      <c r="L264" s="4">
        <v>2.2795475000000001</v>
      </c>
      <c r="M264" s="4">
        <v>26.915043021668794</v>
      </c>
      <c r="N264" s="4">
        <v>3.6189184600081623E-3</v>
      </c>
      <c r="O264" s="1" t="str">
        <f>HYPERLINK(".\sm_car_250205_2227\sm_car_Axle3_250205_2227_263_CaAxle3_019TrK_MaWOT_ode23t_1.png","figure")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2.2261926999999999</v>
      </c>
      <c r="M265" s="4">
        <v>26.904154781457223</v>
      </c>
      <c r="N265" s="4">
        <v>3.6114672267954853E-3</v>
      </c>
      <c r="O265" s="1" t="str">
        <f>HYPERLINK(".\sm_car_250205_2227\sm_car_Axle3_250205_2227_264_CaAxle3_019TrK_MaWOT_ode23t_1.png","figure")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666</v>
      </c>
      <c r="L266" s="4">
        <v>15.7051689</v>
      </c>
      <c r="M266" s="4">
        <v>253.97842724599917</v>
      </c>
      <c r="N266" s="4">
        <v>-0.10015532431761898</v>
      </c>
      <c r="O266" s="1" t="str">
        <f>HYPERLINK(".\sm_car_250205_2227\sm_car_Axle3_250205_2227_265_CaAxle3_012TrK_MaDLC_ode23t_1.png","figure")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758</v>
      </c>
      <c r="L267" s="4">
        <v>17.518416599999998</v>
      </c>
      <c r="M267" s="4">
        <v>253.83154486384512</v>
      </c>
      <c r="N267" s="4">
        <v>-9.7576359840407356E-2</v>
      </c>
      <c r="O267" s="1" t="str">
        <f>HYPERLINK(".\sm_car_250205_2227\sm_car_Axle3_250205_2227_266_CaAxle3_012TrK_MaDLC_ode23t_1.png","figure")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658</v>
      </c>
      <c r="L268" s="4">
        <v>15.860837099999999</v>
      </c>
      <c r="M268" s="4">
        <v>255.58936947501394</v>
      </c>
      <c r="N268" s="4">
        <v>-0.10424972795773346</v>
      </c>
      <c r="O268" s="1" t="str">
        <f>HYPERLINK(".\sm_car_250205_2227\sm_car_Axle3_250205_2227_267_CaAxle3_012TrK_MaDLC_ode23t_1.png","figure")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917</v>
      </c>
      <c r="L269" s="4">
        <v>22.140201399999999</v>
      </c>
      <c r="M269" s="4">
        <v>253.19860950949936</v>
      </c>
      <c r="N269" s="4">
        <v>-8.863799352961621E-2</v>
      </c>
      <c r="O269" s="1" t="str">
        <f>HYPERLINK(".\sm_car_250205_2227\sm_car_Axle3_250205_2227_268_CaAxle3_012TrK_MaDLC_ode23t_1.png","figure")</f>
        <v>figure</v>
      </c>
      <c r="P269" t="s">
        <v>15</v>
      </c>
    </row>
  </sheetData>
  <autoFilter ref="A1:P269" xr:uid="{E9304EE0-F6D5-4718-91D4-B98EAFA144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E2B2-F6C5-499A-9040-F4C1354F632C}">
  <dimension ref="A1:R269"/>
  <sheetViews>
    <sheetView workbookViewId="0">
      <selection activeCell="L1" sqref="L1:L104857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124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 s="4">
        <v>10.997942</v>
      </c>
      <c r="M2" s="4">
        <v>233.79053871522763</v>
      </c>
      <c r="N2" s="4">
        <v>8.5166174716322686E-3</v>
      </c>
      <c r="O2" s="1" t="str">
        <f>HYPERLINK(".\sm_car_250206_2041\sm_car_250206_2041_001_Ca000TrN_MaWOT_ode23t.png","figure")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 s="4">
        <v>12.2774327</v>
      </c>
      <c r="M3" s="4">
        <v>71.998953347170115</v>
      </c>
      <c r="N3" s="4">
        <v>-0.55205888211535659</v>
      </c>
      <c r="O3" s="1" t="str">
        <f>HYPERLINK(".\sm_car_250206_2041\sm_car_250206_2041_002_Ca000TrN_MaLSS_ode23t.png","figure")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 s="4">
        <v>13.519622699999999</v>
      </c>
      <c r="M4" s="4">
        <v>232.8695985609981</v>
      </c>
      <c r="N4" s="4">
        <v>-2.8266789140661322E-3</v>
      </c>
      <c r="O4" s="1" t="str">
        <f>HYPERLINK(".\sm_car_250206_2041\sm_car_250206_2041_003_Ca001TrN_MaWOT_ode23t.png","figure")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 s="4">
        <v>14.509471400000001</v>
      </c>
      <c r="M5" s="4">
        <v>71.690935212696928</v>
      </c>
      <c r="N5" s="4">
        <v>-0.54557020050784599</v>
      </c>
      <c r="O5" s="1" t="str">
        <f>HYPERLINK(".\sm_car_250206_2041\sm_car_250206_2041_004_Ca001TrN_MaLSS_ode23t.png","figure")</f>
        <v>figure</v>
      </c>
      <c r="P5" t="s">
        <v>15</v>
      </c>
      <c r="R5" t="s">
        <v>128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440</v>
      </c>
      <c r="L6" s="4">
        <v>17.6483293</v>
      </c>
      <c r="M6" s="4">
        <v>232.79152537159001</v>
      </c>
      <c r="N6" s="4">
        <v>5.2907779192266059E-2</v>
      </c>
      <c r="O6" s="1" t="str">
        <f>HYPERLINK(".\sm_car_250206_2041\sm_car_250206_2041_005_Ca002TrN_MaWOT_ode23t.png","figure")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17.842353899999999</v>
      </c>
      <c r="M7" s="4">
        <v>71.691920669158321</v>
      </c>
      <c r="N7" s="4">
        <v>-0.54450824911792783</v>
      </c>
      <c r="O7" s="1" t="str">
        <f>HYPERLINK(".\sm_car_250206_2041\sm_car_250206_2041_006_Ca002TrN_MaLSS_ode23t.png","figure")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476</v>
      </c>
      <c r="L8" s="4">
        <v>20.8249514</v>
      </c>
      <c r="M8" s="4">
        <v>232.42190200027716</v>
      </c>
      <c r="N8" s="4">
        <v>6.0250059081193963E-2</v>
      </c>
      <c r="O8" s="1" t="str">
        <f>HYPERLINK(".\sm_car_250206_2041\sm_car_250206_2041_007_Ca003TrN_MaWOT_ode23t.png","figure")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545</v>
      </c>
      <c r="L9" s="4">
        <v>19.464183999999999</v>
      </c>
      <c r="M9" s="4">
        <v>71.565199152968049</v>
      </c>
      <c r="N9" s="4">
        <v>-0.53733830534271587</v>
      </c>
      <c r="O9" s="1" t="str">
        <f>HYPERLINK(".\sm_car_250206_2041\sm_car_250206_2041_008_Ca003TrN_MaLSS_ode23t.png","figure")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 s="4">
        <v>19.6236295</v>
      </c>
      <c r="M10" s="4">
        <v>233.68780712455009</v>
      </c>
      <c r="N10" s="4">
        <v>9.3239494886280059E-3</v>
      </c>
      <c r="O10" s="1" t="str">
        <f>HYPERLINK(".\sm_car_250206_2041\sm_car_250206_2041_009_Ca004TrN_MaWOT_ode23t.png","figure")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 s="4">
        <v>21.618390000000002</v>
      </c>
      <c r="M11" s="4">
        <v>71.990938634393132</v>
      </c>
      <c r="N11" s="4">
        <v>-0.55294633300084961</v>
      </c>
      <c r="O11" s="1" t="str">
        <f>HYPERLINK(".\sm_car_250206_2041\sm_car_250206_2041_010_Ca004TrN_MaLSS_ode23t.png","figure")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 s="4">
        <v>21.846323099999999</v>
      </c>
      <c r="M12" s="4">
        <v>232.65399751504947</v>
      </c>
      <c r="N12" s="4">
        <v>1.1935054036319925E-3</v>
      </c>
      <c r="O12" s="1" t="str">
        <f>HYPERLINK(".\sm_car_250206_2041\sm_car_250206_2041_011_Ca005TrN_MaWOT_ode23t.png","figure")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 s="4">
        <v>24.5109137</v>
      </c>
      <c r="M13" s="4">
        <v>71.709383827437776</v>
      </c>
      <c r="N13" s="4">
        <v>-0.54969866509088439</v>
      </c>
      <c r="O13" s="1" t="str">
        <f>HYPERLINK(".\sm_car_250206_2041\sm_car_250206_2041_012_Ca005TrN_MaLSS_ode23t.png","figure")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1178</v>
      </c>
      <c r="L14" s="4">
        <v>25.086453800000001</v>
      </c>
      <c r="M14" s="4">
        <v>232.75853190156565</v>
      </c>
      <c r="N14" s="4">
        <v>6.2788089995980914E-2</v>
      </c>
      <c r="O14" s="1" t="str">
        <f>HYPERLINK(".\sm_car_250206_2041\sm_car_250206_2041_013_Ca006TrN_MaWOT_ode23t.png","figure")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1280</v>
      </c>
      <c r="L15" s="4">
        <v>25.902313700000001</v>
      </c>
      <c r="M15" s="4">
        <v>71.691717262183829</v>
      </c>
      <c r="N15" s="4">
        <v>-0.54402347654563876</v>
      </c>
      <c r="O15" s="1" t="str">
        <f>HYPERLINK(".\sm_car_250206_2041\sm_car_250206_2041_014_Ca006TrN_MaLSS_ode23t.png","figure")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1213</v>
      </c>
      <c r="L16" s="4">
        <v>27.7060134</v>
      </c>
      <c r="M16" s="4">
        <v>232.38858200541279</v>
      </c>
      <c r="N16" s="4">
        <v>6.451693011496841E-2</v>
      </c>
      <c r="O16" s="1" t="str">
        <f>HYPERLINK(".\sm_car_250206_2041\sm_car_250206_2041_015_Ca007TrN_MaWOT_ode23t.png","figure")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28.493345000000001</v>
      </c>
      <c r="M17" s="4">
        <v>71.566994268329935</v>
      </c>
      <c r="N17" s="4">
        <v>-0.54086856808611494</v>
      </c>
      <c r="O17" s="1" t="str">
        <f>HYPERLINK(".\sm_car_250206_2041\sm_car_250206_2041_016_Ca007TrN_MaLSS_ode23t.png","figure")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 s="4">
        <v>9.4894321000000001</v>
      </c>
      <c r="M18" s="4">
        <v>234.41682999512</v>
      </c>
      <c r="N18" s="4">
        <v>-7.2878906682592337E-2</v>
      </c>
      <c r="O18" s="1" t="str">
        <f>HYPERLINK(".\sm_car_250206_2041\sm_car_250206_2041_017_Ca016TrN_MaWOT_ode23t.png","figure")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 s="4">
        <v>9.4236702000000001</v>
      </c>
      <c r="M19" s="4">
        <v>72.261290113895086</v>
      </c>
      <c r="N19" s="4">
        <v>-2.1482782123695796E-2</v>
      </c>
      <c r="O19" s="1" t="str">
        <f>HYPERLINK(".\sm_car_250206_2041\sm_car_250206_2041_018_Ca016TrN_MaLSS_ode23t.png","figure")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4">
        <v>12.9674417</v>
      </c>
      <c r="M20" s="4">
        <v>233.82224604929445</v>
      </c>
      <c r="N20" s="4">
        <v>1.9808031039209188E-2</v>
      </c>
      <c r="O20" s="1" t="str">
        <f>HYPERLINK(".\sm_car_250206_2041\sm_car_250206_2041_019_Ca032TrN_MaWOT_ode23t.png","figure")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 s="4">
        <v>14.9031564</v>
      </c>
      <c r="M21" s="4">
        <v>71.991559845477411</v>
      </c>
      <c r="N21" s="4">
        <v>-0.53381183146908617</v>
      </c>
      <c r="O21" s="1" t="str">
        <f>HYPERLINK(".\sm_car_250206_2041\sm_car_250206_2041_020_Ca032TrN_MaLSS_ode23t.png","figure")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 s="4">
        <v>13.2390282</v>
      </c>
      <c r="M22" s="4">
        <v>233.79023873360038</v>
      </c>
      <c r="N22" s="4">
        <v>-4.3287235390389294E-3</v>
      </c>
      <c r="O22" s="1" t="str">
        <f>HYPERLINK(".\sm_car_250206_2041\sm_car_250206_2041_021_Ca048TrN_MaWOT_ode23t.png","figure")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 s="4">
        <v>14.176472800000001</v>
      </c>
      <c r="M23" s="4">
        <v>71.996472549669079</v>
      </c>
      <c r="N23" s="4">
        <v>-0.53930412243158932</v>
      </c>
      <c r="O23" s="1" t="str">
        <f>HYPERLINK(".\sm_car_250206_2041\sm_car_250206_2041_022_Ca048TrN_MaLSS_ode23t.png","figure")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 s="4">
        <v>13.096779700000001</v>
      </c>
      <c r="M24" s="4">
        <v>233.88731727120779</v>
      </c>
      <c r="N24" s="4">
        <v>2.2156052301772415E-2</v>
      </c>
      <c r="O24" s="1" t="str">
        <f>HYPERLINK(".\sm_car_250206_2041\sm_car_250206_2041_023_Ca064TrN_MaWOT_ode23t.png","figure")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 s="4">
        <v>15.2968402</v>
      </c>
      <c r="M25" s="4">
        <v>72.003110945660254</v>
      </c>
      <c r="N25" s="4">
        <v>-0.52832568162436777</v>
      </c>
      <c r="O25" s="1" t="str">
        <f>HYPERLINK(".\sm_car_250206_2041\sm_car_250206_2041_024_Ca064TrN_MaLSS_ode23t.png","figure")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 s="4">
        <v>14.1514145</v>
      </c>
      <c r="M26" s="4">
        <v>233.82803785826508</v>
      </c>
      <c r="N26" s="4">
        <v>-7.5001243469563434E-3</v>
      </c>
      <c r="O26" s="1" t="str">
        <f>HYPERLINK(".\sm_car_250206_2041\sm_car_250206_2041_025_Ca080TrN_MaWOT_ode23t.png","figure")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 s="4">
        <v>15.2783593</v>
      </c>
      <c r="M27" s="4">
        <v>71.986666880207594</v>
      </c>
      <c r="N27" s="4">
        <v>-0.53755342228612613</v>
      </c>
      <c r="O27" s="1" t="str">
        <f>HYPERLINK(".\sm_car_250206_2041\sm_car_250206_2041_026_Ca080TrN_MaLSS_ode23t.png","figure")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 s="4">
        <v>10.5074098</v>
      </c>
      <c r="M28" s="4">
        <v>235.24616491365265</v>
      </c>
      <c r="N28" s="4">
        <v>3.1894977017335513E-2</v>
      </c>
      <c r="O28" s="1" t="str">
        <f>HYPERLINK(".\sm_car_250206_2041\sm_car_250206_2041_027_Ca096TrN_MaWOT_ode23t.png","figure")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 s="4">
        <v>10.831744</v>
      </c>
      <c r="M29" s="4">
        <v>72.51294933219728</v>
      </c>
      <c r="N29" s="4">
        <v>-0.54015208307476126</v>
      </c>
      <c r="O29" s="1" t="str">
        <f>HYPERLINK(".\sm_car_250206_2041\sm_car_250206_2041_028_Ca096TrN_MaLSS_ode23t.png","figure")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 s="4">
        <v>4.1207317000000003</v>
      </c>
      <c r="M30" s="4">
        <v>242.70539930702489</v>
      </c>
      <c r="N30" s="4">
        <v>0.23254276639307536</v>
      </c>
      <c r="O30" s="1" t="str">
        <f>HYPERLINK(".\sm_car_250206_2041\sm_car_250206_2041_029_Ca112TrN_MaWOT_ode23t.png","figure")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 s="4">
        <v>4.1962109999999999</v>
      </c>
      <c r="M31" s="4">
        <v>74.660342536288326</v>
      </c>
      <c r="N31" s="4">
        <v>-0.33818976315539567</v>
      </c>
      <c r="O31" s="1" t="str">
        <f>HYPERLINK(".\sm_car_250206_2041\sm_car_250206_2041_030_Ca112TrN_MaLSS_ode23t.png","figure")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 s="4">
        <v>4.7220006000000003</v>
      </c>
      <c r="M32" s="4">
        <v>241.58891102753998</v>
      </c>
      <c r="N32" s="4">
        <v>0.22834243472749641</v>
      </c>
      <c r="O32" s="1" t="str">
        <f>HYPERLINK(".\sm_car_250206_2041\sm_car_250206_2041_031_Ca113TrN_MaWOT_ode23t.png","figure")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 s="4">
        <v>5.2496074000000004</v>
      </c>
      <c r="M33" s="4">
        <v>74.352237163629994</v>
      </c>
      <c r="N33" s="4">
        <v>-0.3341886340916379</v>
      </c>
      <c r="O33" s="1" t="str">
        <f>HYPERLINK(".\sm_car_250206_2041\sm_car_250206_2041_032_Ca113TrN_MaLSS_ode23t.png","figure")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383</v>
      </c>
      <c r="L34" s="4">
        <v>5.4101102000000001</v>
      </c>
      <c r="M34" s="4">
        <v>241.59876152528884</v>
      </c>
      <c r="N34" s="4">
        <v>0.22878211664824155</v>
      </c>
      <c r="O34" s="1" t="str">
        <f>HYPERLINK(".\sm_car_250206_2041\sm_car_250206_2041_033_Ca114TrN_MaWOT_ode23t.png","figure")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479</v>
      </c>
      <c r="L35" s="4">
        <v>5.3538817999999999</v>
      </c>
      <c r="M35" s="4">
        <v>74.355844752810611</v>
      </c>
      <c r="N35" s="4">
        <v>-0.33260043170985187</v>
      </c>
      <c r="O35" s="1" t="str">
        <f>HYPERLINK(".\sm_car_250206_2041\sm_car_250206_2041_034_Ca114TrN_MaLSS_ode23t.png","figure")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403</v>
      </c>
      <c r="L36" s="4">
        <v>5.6415215999999999</v>
      </c>
      <c r="M36" s="4">
        <v>241.09036479531406</v>
      </c>
      <c r="N36" s="4">
        <v>0.22752098243139104</v>
      </c>
      <c r="O36" s="1" t="str">
        <f>HYPERLINK(".\sm_car_250206_2041\sm_car_250206_2041_035_Ca115TrN_MaWOT_ode23t.png","figure")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505</v>
      </c>
      <c r="L37" s="4">
        <v>5.5569810000000004</v>
      </c>
      <c r="M37" s="4">
        <v>74.21233083370106</v>
      </c>
      <c r="N37" s="4">
        <v>-0.33022875575821625</v>
      </c>
      <c r="O37" s="1" t="str">
        <f>HYPERLINK(".\sm_car_250206_2041\sm_car_250206_2041_036_Ca115TrN_MaLSS_ode23t.png","figure")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 s="4">
        <v>7.0149388999999998</v>
      </c>
      <c r="M38" s="4">
        <v>242.55390172681132</v>
      </c>
      <c r="N38" s="4">
        <v>0.23242638729101917</v>
      </c>
      <c r="O38" s="1" t="str">
        <f>HYPERLINK(".\sm_car_250206_2041\sm_car_250206_2041_037_Ca116TrN_MaWOT_ode23t.png","figure")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 s="4">
        <v>8.1928339999999995</v>
      </c>
      <c r="M39" s="4">
        <v>74.660225279277512</v>
      </c>
      <c r="N39" s="4">
        <v>-0.33991363421718063</v>
      </c>
      <c r="O39" s="1" t="str">
        <f>HYPERLINK(".\sm_car_250206_2041\sm_car_250206_2041_038_Ca116TrN_MaLSS_ode23t.png","figure")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 s="4">
        <v>8.2181729000000008</v>
      </c>
      <c r="M40" s="4">
        <v>241.5105944943486</v>
      </c>
      <c r="N40" s="4">
        <v>0.23050765497767506</v>
      </c>
      <c r="O40" s="1" t="str">
        <f>HYPERLINK(".\sm_car_250206_2041\sm_car_250206_2041_039_Ca117TrN_MaWOT_ode23t.png","figure")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 s="4">
        <v>9.3523516000000004</v>
      </c>
      <c r="M41" s="4">
        <v>74.352188025993414</v>
      </c>
      <c r="N41" s="4">
        <v>-0.33609494963958109</v>
      </c>
      <c r="O41" s="1" t="str">
        <f>HYPERLINK(".\sm_car_250206_2041\sm_car_250206_2041_040_Ca117TrN_MaLSS_ode23t.png","figure")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948</v>
      </c>
      <c r="L42" s="4">
        <v>8.5459057000000005</v>
      </c>
      <c r="M42" s="4">
        <v>241.54090972056559</v>
      </c>
      <c r="N42" s="4">
        <v>0.23102884548310226</v>
      </c>
      <c r="O42" s="1" t="str">
        <f>HYPERLINK(".\sm_car_250206_2041\sm_car_250206_2041_041_Ca118TrN_MaWOT_ode23t.png","figure")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1069</v>
      </c>
      <c r="L43" s="4">
        <v>9.5594183000000008</v>
      </c>
      <c r="M43" s="4">
        <v>74.33911483262429</v>
      </c>
      <c r="N43" s="4">
        <v>-0.33559690623110866</v>
      </c>
      <c r="O43" s="1" t="str">
        <f>HYPERLINK(".\sm_car_250206_2041\sm_car_250206_2041_042_Ca118TrN_MaLSS_ode23t.png","figure")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982</v>
      </c>
      <c r="L44" s="4">
        <v>8.1894468000000007</v>
      </c>
      <c r="M44" s="4">
        <v>241.18007263409638</v>
      </c>
      <c r="N44" s="4">
        <v>0.23117004494990201</v>
      </c>
      <c r="O44" s="1" t="str">
        <f>HYPERLINK(".\sm_car_250206_2041\sm_car_250206_2041_043_Ca119TrN_MaWOT_ode23t.png","figure")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1103</v>
      </c>
      <c r="L45" s="4">
        <v>9.8538598999999998</v>
      </c>
      <c r="M45" s="4">
        <v>74.202463138586339</v>
      </c>
      <c r="N45" s="4">
        <v>-0.333787129291438</v>
      </c>
      <c r="O45" s="1" t="str">
        <f>HYPERLINK(".\sm_car_250206_2041\sm_car_250206_2041_044_Ca119TrN_MaLSS_ode23t.png","figure")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 s="4">
        <v>9.6647748999999994</v>
      </c>
      <c r="M46" s="4">
        <v>100.58046855105475</v>
      </c>
      <c r="N46" s="4">
        <v>-1.4485266037007194E-2</v>
      </c>
      <c r="O46" s="1" t="str">
        <f>HYPERLINK(".\sm_car_250206_2041\sm_car_250206_2041_045_Ca128TrN_MaWOT_ode23t.png","figure")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 s="4">
        <v>12.130223600000001</v>
      </c>
      <c r="M47" s="4">
        <v>37.246666547884018</v>
      </c>
      <c r="N47" s="4">
        <v>-0.13417337469147728</v>
      </c>
      <c r="O47" s="1" t="str">
        <f>HYPERLINK(".\sm_car_250206_2041\sm_car_250206_2041_046_Ca128TrN_MaLSS_ode23t.png","figure")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331</v>
      </c>
      <c r="L48" s="4">
        <v>10.557995399999999</v>
      </c>
      <c r="M48" s="4">
        <v>232.66157102311621</v>
      </c>
      <c r="N48" s="4">
        <v>7.6122531586110737E-2</v>
      </c>
      <c r="O48" s="1" t="str">
        <f>HYPERLINK(".\sm_car_250206_2041\sm_car_250206_2041_047_Ca129TrN_MaWOT_ode23t.png","figure")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463</v>
      </c>
      <c r="L49" s="4">
        <v>13.6120581</v>
      </c>
      <c r="M49" s="4">
        <v>71.611908280089693</v>
      </c>
      <c r="N49" s="4">
        <v>-0.53458610154134567</v>
      </c>
      <c r="O49" s="1" t="str">
        <f>HYPERLINK(".\sm_car_250206_2041\sm_car_250206_2041_048_Ca129TrN_MaLSS_ode23t.png","figure")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 s="4">
        <v>40.530086500000003</v>
      </c>
      <c r="M50" s="4">
        <v>220.1054077891589</v>
      </c>
      <c r="N50" s="4">
        <v>-1.4702553980461026</v>
      </c>
      <c r="O50" s="1" t="str">
        <f>HYPERLINK(".\sm_car_250206_2041\sm_car_250206_2041_049_Ca130TrN_MaWOT_ode23t.png","figure")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 s="4">
        <v>36.920551500000002</v>
      </c>
      <c r="M51" s="4">
        <v>69.50595249179004</v>
      </c>
      <c r="N51" s="4">
        <v>-0.55254574140250667</v>
      </c>
      <c r="O51" s="1" t="str">
        <f>HYPERLINK(".\sm_car_250206_2041\sm_car_250206_2041_050_Ca130TrN_MaLSS_ode23t.png","figure")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 s="4">
        <v>7.9096747000000001</v>
      </c>
      <c r="M52" s="4">
        <v>232.70617777521358</v>
      </c>
      <c r="N52" s="4">
        <v>-2.7264010431169952E-2</v>
      </c>
      <c r="O52" s="1" t="str">
        <f>HYPERLINK(".\sm_car_250206_2041\sm_car_250206_2041_051_Ca131TrN_MaWOT_ode23t.png","figure")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 s="4">
        <v>9.3540653000000002</v>
      </c>
      <c r="M53" s="4">
        <v>71.701191661071974</v>
      </c>
      <c r="N53" s="4">
        <v>-0.55235980680759766</v>
      </c>
      <c r="O53" s="1" t="str">
        <f>HYPERLINK(".\sm_car_250206_2041\sm_car_250206_2041_052_Ca131TrN_MaLSS_ode23t.png","figure")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 s="4">
        <v>8.1062136000000002</v>
      </c>
      <c r="M54" s="4">
        <v>232.95338509889001</v>
      </c>
      <c r="N54" s="4">
        <v>6.0640254540741158E-3</v>
      </c>
      <c r="O54" s="1" t="str">
        <f>HYPERLINK(".\sm_car_250206_2041\sm_car_250206_2041_053_Ca132TrN_MaWOT_ode23t.png","figure")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9.3992909000000004</v>
      </c>
      <c r="M55" s="4">
        <v>71.717480099033281</v>
      </c>
      <c r="N55" s="4">
        <v>-0.54399503004711469</v>
      </c>
      <c r="O55" s="1" t="str">
        <f>HYPERLINK(".\sm_car_250206_2041\sm_car_250206_2041_054_Ca132TrN_MaLSS_ode23t.png","figure")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 s="4">
        <v>7.6567014000000002</v>
      </c>
      <c r="M56" s="4">
        <v>232.88532574206934</v>
      </c>
      <c r="N56" s="4">
        <v>1.1856956042277462E-3</v>
      </c>
      <c r="O56" s="1" t="str">
        <f>HYPERLINK(".\sm_car_250206_2041\sm_car_250206_2041_055_Ca133TrN_MaWOT_ode23t.png","figure")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 s="4">
        <v>9.1213105999999993</v>
      </c>
      <c r="M57" s="4">
        <v>71.712448330610542</v>
      </c>
      <c r="N57" s="4">
        <v>-0.54358106100229209</v>
      </c>
      <c r="O57" s="1" t="str">
        <f>HYPERLINK(".\sm_car_250206_2041\sm_car_250206_2041_056_Ca133TrN_MaLSS_ode23t.png","figure")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 s="4">
        <v>7.8952277000000004</v>
      </c>
      <c r="M58" s="4">
        <v>232.8107119905568</v>
      </c>
      <c r="N58" s="4">
        <v>2.1149404455813314E-3</v>
      </c>
      <c r="O58" s="1" t="str">
        <f>HYPERLINK(".\sm_car_250206_2041\sm_car_250206_2041_057_Ca134TrN_MaWOT_ode23t.png","figure")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9.6103584000000009</v>
      </c>
      <c r="M59" s="4">
        <v>71.713926091272867</v>
      </c>
      <c r="N59" s="4">
        <v>-0.54331770582094852</v>
      </c>
      <c r="O59" s="1" t="str">
        <f>HYPERLINK(".\sm_car_250206_2041\sm_car_250206_2041_058_Ca134TrN_MaLSS_ode23t.png","figure")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 s="4">
        <v>7.8188826999999996</v>
      </c>
      <c r="M60" s="4">
        <v>232.77203216616115</v>
      </c>
      <c r="N60" s="4">
        <v>1.6766223703461307E-3</v>
      </c>
      <c r="O60" s="1" t="str">
        <f>HYPERLINK(".\sm_car_250206_2041\sm_car_250206_2041_059_Ca135TrN_MaWOT_ode23t.png","figure")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 s="4">
        <v>9.7678527000000006</v>
      </c>
      <c r="M61" s="4">
        <v>71.708775354289841</v>
      </c>
      <c r="N61" s="4">
        <v>-0.54718707656632892</v>
      </c>
      <c r="O61" s="1" t="str">
        <f>HYPERLINK(".\sm_car_250206_2041\sm_car_250206_2041_060_Ca135TrN_MaLSS_ode23t.png","figure")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386</v>
      </c>
      <c r="L62" s="4">
        <v>9.1957201000000008</v>
      </c>
      <c r="M62" s="4">
        <v>232.85484861428728</v>
      </c>
      <c r="N62" s="4">
        <v>6.6166488710480142E-2</v>
      </c>
      <c r="O62" s="1" t="str">
        <f>HYPERLINK(".\sm_car_250206_2041\sm_car_250206_2041_061_Ca136TrN_MaWOT_ode23t.png","figure")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 s="4">
        <v>11.767393500000001</v>
      </c>
      <c r="M63" s="4">
        <v>71.704818814392638</v>
      </c>
      <c r="N63" s="4">
        <v>-0.5427228497151646</v>
      </c>
      <c r="O63" s="1" t="str">
        <f>HYPERLINK(".\sm_car_250206_2041\sm_car_250206_2041_062_Ca136TrN_MaLSS_ode23t.png","figure")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 s="4">
        <v>6.8017839999999996</v>
      </c>
      <c r="M64" s="4">
        <v>233.73993533018017</v>
      </c>
      <c r="N64" s="4">
        <v>0.14880973483755017</v>
      </c>
      <c r="O64" s="1" t="str">
        <f>HYPERLINK(".\sm_car_250206_2041\sm_car_250206_2041_063_Ca137TrN_MaWOT_ode23t.png","figure")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 s="4">
        <v>7.5764465999999997</v>
      </c>
      <c r="M65" s="4">
        <v>71.982576966126331</v>
      </c>
      <c r="N65" s="4">
        <v>-0.52380632896316204</v>
      </c>
      <c r="O65" s="1" t="str">
        <f>HYPERLINK(".\sm_car_250206_2041\sm_car_250206_2041_064_Ca137TrN_MaLSS_ode23t.png","figure")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 s="4">
        <v>10.0023626</v>
      </c>
      <c r="M66" s="4">
        <v>233.74316643091058</v>
      </c>
      <c r="N66" s="4">
        <v>0.15803724155663446</v>
      </c>
      <c r="O66" s="1" t="str">
        <f>HYPERLINK(".\sm_car_250206_2041\sm_car_250206_2041_065_Ca138TrN_MaWOT_ode23t.png","figure")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 s="4">
        <v>11.933129599999999</v>
      </c>
      <c r="M67" s="4">
        <v>71.874476791961897</v>
      </c>
      <c r="N67" s="4">
        <v>-0.83785886681305333</v>
      </c>
      <c r="O67" s="1" t="str">
        <f>HYPERLINK(".\sm_car_250206_2041\sm_car_250206_2041_066_Ca138TrN_MaLSS_ode23t.png","figure")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638</v>
      </c>
      <c r="L68" s="4">
        <v>41.165368999999998</v>
      </c>
      <c r="M68" s="4">
        <v>411.19316143608631</v>
      </c>
      <c r="N68" s="4">
        <v>1.6362323155014251</v>
      </c>
      <c r="O68" s="1" t="str">
        <f>HYPERLINK(".\sm_car_250206_2041\sm_car_250206_2041_067_Ca139TrN_MaWOT_ode23t.png","figure")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629</v>
      </c>
      <c r="L69" s="4">
        <v>27.2343379</v>
      </c>
      <c r="M69" s="4">
        <v>157.02144616643739</v>
      </c>
      <c r="N69" s="4">
        <v>-0.56511263528860733</v>
      </c>
      <c r="O69" s="1" t="str">
        <f>HYPERLINK(".\sm_car_250206_2041\sm_car_250206_2041_068_Ca139TrN_MaLSS_ode23t.png","figure")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1931</v>
      </c>
      <c r="L70" s="4">
        <v>60.0927814</v>
      </c>
      <c r="M70" s="4">
        <v>411.32268824104608</v>
      </c>
      <c r="N70" s="4">
        <v>1.5842513895822417</v>
      </c>
      <c r="O70" s="1" t="str">
        <f>HYPERLINK(".\sm_car_250206_2041\sm_car_250206_2041_069_Ca141TrN_MaWOT_ode23t.png","figure")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1813</v>
      </c>
      <c r="L71" s="4">
        <v>39.899643500000003</v>
      </c>
      <c r="M71" s="4">
        <v>157.0806530577506</v>
      </c>
      <c r="N71" s="4">
        <v>-0.57319641771860508</v>
      </c>
      <c r="O71" s="1" t="str">
        <f>HYPERLINK(".\sm_car_250206_2041\sm_car_250206_2041_070_Ca141TrN_MaLSS_ode23t.png","figure")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359</v>
      </c>
      <c r="L72" s="4">
        <v>24.726380800000001</v>
      </c>
      <c r="M72" s="4">
        <v>96.638955148789279</v>
      </c>
      <c r="N72" s="4">
        <v>-3.7372902284725749E-2</v>
      </c>
      <c r="O72" s="1" t="str">
        <f>HYPERLINK(".\sm_car_250206_2041\sm_car_250206_2041_071_Ca143TrN_MaWOT_ode23t.png","figure")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26.920425999999999</v>
      </c>
      <c r="M73" s="4">
        <v>25.157078791387779</v>
      </c>
      <c r="N73" s="4">
        <v>-5.3032125904657001E-2</v>
      </c>
      <c r="O73" s="1" t="str">
        <f>HYPERLINK(".\sm_car_250206_2041\sm_car_250206_2041_072_Ca143TrN_MaLSS_ode23t.png","figure")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357</v>
      </c>
      <c r="L74" s="4">
        <v>18.093776699999999</v>
      </c>
      <c r="M74" s="4">
        <v>115.0097780266328</v>
      </c>
      <c r="N74" s="4">
        <v>0.53307228706477872</v>
      </c>
      <c r="O74" s="1" t="str">
        <f>HYPERLINK(".\sm_car_250206_2041\sm_car_250206_2041_073_Ca144TrN_MaWOT_ode23t.png","figure")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477</v>
      </c>
      <c r="L75" s="4">
        <v>19.8179588</v>
      </c>
      <c r="M75" s="4">
        <v>35.846799563923035</v>
      </c>
      <c r="N75" s="4">
        <v>-3.3420663464908081E-2</v>
      </c>
      <c r="O75" s="1" t="str">
        <f>HYPERLINK(".\sm_car_250206_2041\sm_car_250206_2041_074_Ca144TrN_MaLSS_ode23t.png","figure")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2224</v>
      </c>
      <c r="L76" s="4">
        <v>43.288280100000001</v>
      </c>
      <c r="M76" s="4">
        <v>400.88564399598624</v>
      </c>
      <c r="N76" s="4">
        <v>-64.808814850744767</v>
      </c>
      <c r="O76" s="1" t="str">
        <f>HYPERLINK(".\sm_car_250206_2041\sm_car_250206_2041_075_Ca147TrN_MaWOT_ode23t.png","figure")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1424</v>
      </c>
      <c r="L77" s="4">
        <v>30.494927199999999</v>
      </c>
      <c r="M77" s="4">
        <v>155.1847416414312</v>
      </c>
      <c r="N77" s="4">
        <v>-2.6744584945874328</v>
      </c>
      <c r="O77" s="1" t="str">
        <f>HYPERLINK(".\sm_car_250206_2041\sm_car_250206_2041_076_Ca147TrN_MaLSS_ode23t.png","figure")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 s="4">
        <v>57.063980700000002</v>
      </c>
      <c r="M78" s="4">
        <v>184.64317098711297</v>
      </c>
      <c r="N78" s="4">
        <v>2.5848941755374071</v>
      </c>
      <c r="O78" s="1" t="str">
        <f>HYPERLINK(".\sm_car_250206_2041\sm_car_250206_2041_077_Ca183TrN_MaWOT_ode23t.png","figure")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 s="4">
        <v>67.128141400000004</v>
      </c>
      <c r="M79" s="4">
        <v>57.736923979466475</v>
      </c>
      <c r="N79" s="4">
        <v>0.89690925772051533</v>
      </c>
      <c r="O79" s="1" t="str">
        <f>HYPERLINK(".\sm_car_250206_2041\sm_car_250206_2041_078_Ca183TrN_MaLSS_ode23t.png","figure")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16.348789</v>
      </c>
      <c r="M80" s="4">
        <v>233.80272938572833</v>
      </c>
      <c r="N80" s="4">
        <v>8.9002270409259277E-3</v>
      </c>
      <c r="O80" s="1" t="str">
        <f>HYPERLINK(".\sm_car_250206_2041\sm_car_250206_2041_079_Ca008TrN_MaWOT_ode23t_1.png","figure")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20.3973662</v>
      </c>
      <c r="M81" s="4">
        <v>71.997390159310498</v>
      </c>
      <c r="N81" s="4">
        <v>-0.54929209645507182</v>
      </c>
      <c r="O81" s="1" t="str">
        <f>HYPERLINK(".\sm_car_250206_2041\sm_car_250206_2041_080_Ca008TrN_MaLSS_ode23t_1.png","figure")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 s="4">
        <v>18.606845499999999</v>
      </c>
      <c r="M82" s="4">
        <v>232.8481414870715</v>
      </c>
      <c r="N82" s="4">
        <v>1.6098472826283669E-3</v>
      </c>
      <c r="O82" s="1" t="str">
        <f>HYPERLINK(".\sm_car_250206_2041\sm_car_250206_2041_081_Ca009TrN_MaWOT_ode23t_1.png","figure")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 s="4">
        <v>24.080163899999999</v>
      </c>
      <c r="M83" s="4">
        <v>71.705891131387588</v>
      </c>
      <c r="N83" s="4">
        <v>-0.54180363264710218</v>
      </c>
      <c r="O83" s="1" t="str">
        <f>HYPERLINK(".\sm_car_250206_2041\sm_car_250206_2041_082_Ca009TrN_MaLSS_ode23t_1.png","figure")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392</v>
      </c>
      <c r="L84" s="4">
        <v>20.420348300000001</v>
      </c>
      <c r="M84" s="4">
        <v>232.8276504361007</v>
      </c>
      <c r="N84" s="4">
        <v>6.7873722210355869E-2</v>
      </c>
      <c r="O84" s="1" t="str">
        <f>HYPERLINK(".\sm_car_250206_2041\sm_car_250206_2041_083_Ca010TrN_MaWOT_ode23t_1.png","figure")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546</v>
      </c>
      <c r="L85" s="4">
        <v>27.526075899999999</v>
      </c>
      <c r="M85" s="4">
        <v>71.701488700454178</v>
      </c>
      <c r="N85" s="4">
        <v>-0.54097879195150755</v>
      </c>
      <c r="O85" s="1" t="str">
        <f>HYPERLINK(".\sm_car_250206_2041\sm_car_250206_2041_084_Ca010TrN_MaLSS_ode23t_1.png","figure")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21.304513199999999</v>
      </c>
      <c r="M86" s="4">
        <v>232.31210418382651</v>
      </c>
      <c r="N86" s="4">
        <v>6.6002859242234674E-2</v>
      </c>
      <c r="O86" s="1" t="str">
        <f>HYPERLINK(".\sm_car_250206_2041\sm_car_250206_2041_085_Ca011TrN_MaWOT_ode23t_1.png","figure")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593</v>
      </c>
      <c r="L87" s="4">
        <v>28.508444000000001</v>
      </c>
      <c r="M87" s="4">
        <v>71.570553391277684</v>
      </c>
      <c r="N87" s="4">
        <v>-0.53696660606773117</v>
      </c>
      <c r="O87" s="1" t="str">
        <f>HYPERLINK(".\sm_car_250206_2041\sm_car_250206_2041_086_Ca011TrN_MaLSS_ode23t_1.png","figure")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 s="4">
        <v>18.079594499999999</v>
      </c>
      <c r="M88" s="4">
        <v>233.72965124638475</v>
      </c>
      <c r="N88" s="4">
        <v>9.4504212424993753E-3</v>
      </c>
      <c r="O88" s="1" t="str">
        <f>HYPERLINK(".\sm_car_250206_2041\sm_car_250206_2041_087_Ca012TrN_MaWOT_ode23t_1.png","figure")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 s="4">
        <v>22.5598986</v>
      </c>
      <c r="M89" s="4">
        <v>71.98584319791189</v>
      </c>
      <c r="N89" s="4">
        <v>-0.55623372726109177</v>
      </c>
      <c r="O89" s="1" t="str">
        <f>HYPERLINK(".\sm_car_250206_2041\sm_car_250206_2041_088_Ca012TrN_MaLSS_ode23t_1.png","figure")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 s="4">
        <v>20.959439199999998</v>
      </c>
      <c r="M90" s="4">
        <v>232.87883715254142</v>
      </c>
      <c r="N90" s="4">
        <v>1.1689862904993265E-3</v>
      </c>
      <c r="O90" s="1" t="str">
        <f>HYPERLINK(".\sm_car_250206_2041\sm_car_250206_2041_089_Ca013TrN_MaWOT_ode23t_1.png","figure")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 s="4">
        <v>22.874675400000001</v>
      </c>
      <c r="M91" s="4">
        <v>71.696184667281713</v>
      </c>
      <c r="N91" s="4">
        <v>-0.55024920060559146</v>
      </c>
      <c r="O91" s="1" t="str">
        <f>HYPERLINK(".\sm_car_250206_2041\sm_car_250206_2041_090_Ca013TrN_MaLSS_ode23t_1.png","figure")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894</v>
      </c>
      <c r="L92" s="4">
        <v>21.652046800000001</v>
      </c>
      <c r="M92" s="4">
        <v>232.82300432184903</v>
      </c>
      <c r="N92" s="4">
        <v>6.6350120911185126E-2</v>
      </c>
      <c r="O92" s="1" t="str">
        <f>HYPERLINK(".\sm_car_250206_2041\sm_car_250206_2041_091_Ca014TrN_MaWOT_ode23t_1.png","figure")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1022</v>
      </c>
      <c r="L93" s="4">
        <v>25.237192700000001</v>
      </c>
      <c r="M93" s="4">
        <v>71.693515313103475</v>
      </c>
      <c r="N93" s="4">
        <v>-0.54639146810044825</v>
      </c>
      <c r="O93" s="1" t="str">
        <f>HYPERLINK(".\sm_car_250206_2041\sm_car_250206_2041_092_Ca014TrN_MaLSS_ode23t_1.png","figure")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894</v>
      </c>
      <c r="L94" s="4">
        <v>21.990547400000001</v>
      </c>
      <c r="M94" s="4">
        <v>232.33122978680032</v>
      </c>
      <c r="N94" s="4">
        <v>6.6268243289930945E-2</v>
      </c>
      <c r="O94" s="1" t="str">
        <f>HYPERLINK(".\sm_car_250206_2041\sm_car_250206_2041_093_Ca015TrN_MaWOT_ode23t_1.png","figure")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1053</v>
      </c>
      <c r="L95" s="4">
        <v>28.8510411</v>
      </c>
      <c r="M95" s="4">
        <v>71.559385652640444</v>
      </c>
      <c r="N95" s="4">
        <v>-0.54180151385493436</v>
      </c>
      <c r="O95" s="1" t="str">
        <f>HYPERLINK(".\sm_car_250206_2041\sm_car_250206_2041_094_Ca015TrN_MaLSS_ode23t_1.png","figure")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 s="4">
        <v>5.4037309000000002</v>
      </c>
      <c r="M96" s="4">
        <v>242.41013556335344</v>
      </c>
      <c r="N96" s="4">
        <v>0.23168823158620061</v>
      </c>
      <c r="O96" s="1" t="str">
        <f>HYPERLINK(".\sm_car_250206_2041\sm_car_250206_2041_095_Ca120TrN_MaWOT_ode23t_1.png","figure")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 s="4">
        <v>6.3834267000000002</v>
      </c>
      <c r="M97" s="4">
        <v>74.681814564489031</v>
      </c>
      <c r="N97" s="4">
        <v>-0.33884395695811698</v>
      </c>
      <c r="O97" s="1" t="str">
        <f>HYPERLINK(".\sm_car_250206_2041\sm_car_250206_2041_096_Ca120TrN_MaLSS_ode23t_1.png","figure")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 s="4">
        <v>6.3557829999999997</v>
      </c>
      <c r="M98" s="4">
        <v>241.51406890531825</v>
      </c>
      <c r="N98" s="4">
        <v>0.2286100471060383</v>
      </c>
      <c r="O98" s="1" t="str">
        <f>HYPERLINK(".\sm_car_250206_2041\sm_car_250206_2041_097_Ca121TrN_MaWOT_ode23t_1.png","figure")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 s="4">
        <v>7.3168164000000004</v>
      </c>
      <c r="M99" s="4">
        <v>74.364181906162969</v>
      </c>
      <c r="N99" s="4">
        <v>-0.33033381376679871</v>
      </c>
      <c r="O99" s="1" t="str">
        <f>HYPERLINK(".\sm_car_250206_2041\sm_car_250206_2041_098_Ca121TrN_MaLSS_ode23t_1.png","figure")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401</v>
      </c>
      <c r="L100" s="4">
        <v>7.3434765999999998</v>
      </c>
      <c r="M100" s="4">
        <v>241.6244988391299</v>
      </c>
      <c r="N100" s="4">
        <v>0.22847642491724132</v>
      </c>
      <c r="O100" s="1" t="str">
        <f>HYPERLINK(".\sm_car_250206_2041\sm_car_250206_2041_099_Ca122TrN_MaWOT_ode23t_1.png","figure")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 s="4">
        <v>7.9090327</v>
      </c>
      <c r="M101" s="4">
        <v>74.372100614785026</v>
      </c>
      <c r="N101" s="4">
        <v>-0.33276540198113702</v>
      </c>
      <c r="O101" s="1" t="str">
        <f>HYPERLINK(".\sm_car_250206_2041\sm_car_250206_2041_100_Ca122TrN_MaLSS_ode23t_1.png","figure")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428</v>
      </c>
      <c r="L102" s="4">
        <v>7.2709032000000002</v>
      </c>
      <c r="M102" s="4">
        <v>241.22773560805183</v>
      </c>
      <c r="N102" s="4">
        <v>0.22661280130535486</v>
      </c>
      <c r="O102" s="1" t="str">
        <f>HYPERLINK(".\sm_car_250206_2041\sm_car_250206_2041_101_Ca123TrN_MaWOT_ode23t_1.png","figure")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544</v>
      </c>
      <c r="L103" s="4">
        <v>8.2865488000000003</v>
      </c>
      <c r="M103" s="4">
        <v>74.224701765097919</v>
      </c>
      <c r="N103" s="4">
        <v>-0.33124594258983786</v>
      </c>
      <c r="O103" s="1" t="str">
        <f>HYPERLINK(".\sm_car_250206_2041\sm_car_250206_2041_102_Ca123TrN_MaLSS_ode23t_1.png","figure")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 s="4">
        <v>7.4052043000000003</v>
      </c>
      <c r="M104" s="4">
        <v>242.69407047898562</v>
      </c>
      <c r="N104" s="4">
        <v>0.2331158683945955</v>
      </c>
      <c r="O104" s="1" t="str">
        <f>HYPERLINK(".\sm_car_250206_2041\sm_car_250206_2041_103_Ca124TrN_MaWOT_ode23t_1.png","figure")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 s="4">
        <v>8.8775901000000008</v>
      </c>
      <c r="M105" s="4">
        <v>74.65820712719345</v>
      </c>
      <c r="N105" s="4">
        <v>-0.34158246963019179</v>
      </c>
      <c r="O105" s="1" t="str">
        <f>HYPERLINK(".\sm_car_250206_2041\sm_car_250206_2041_104_Ca124TrN_MaLSS_ode23t_1.png","figure")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 s="4">
        <v>8.0733908000000003</v>
      </c>
      <c r="M106" s="4">
        <v>241.6295166031617</v>
      </c>
      <c r="N106" s="4">
        <v>0.2296381803970029</v>
      </c>
      <c r="O106" s="1" t="str">
        <f>HYPERLINK(".\sm_car_250206_2041\sm_car_250206_2041_105_Ca125TrN_MaWOT_ode23t_1.png","figure")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 s="4">
        <v>9.3514693999999992</v>
      </c>
      <c r="M107" s="4">
        <v>74.344754307038045</v>
      </c>
      <c r="N107" s="4">
        <v>-0.33729275655070329</v>
      </c>
      <c r="O107" s="1" t="str">
        <f>HYPERLINK(".\sm_car_250206_2041\sm_car_250206_2041_106_Ca125TrN_MaLSS_ode23t_1.png","figure")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1015</v>
      </c>
      <c r="L108" s="4">
        <v>8.6441587999999996</v>
      </c>
      <c r="M108" s="4">
        <v>241.67806156499347</v>
      </c>
      <c r="N108" s="4">
        <v>0.22971199946276488</v>
      </c>
      <c r="O108" s="1" t="str">
        <f>HYPERLINK(".\sm_car_250206_2041\sm_car_250206_2041_107_Ca126TrN_MaWOT_ode23t_1.png","figure")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1156</v>
      </c>
      <c r="L109" s="4">
        <v>10.678062000000001</v>
      </c>
      <c r="M109" s="4">
        <v>74.346621126148364</v>
      </c>
      <c r="N109" s="4">
        <v>-0.33674798543347534</v>
      </c>
      <c r="O109" s="1" t="str">
        <f>HYPERLINK(".\sm_car_250206_2041\sm_car_250206_2041_108_Ca126TrN_MaLSS_ode23t_1.png","figure")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1042</v>
      </c>
      <c r="L110" s="4">
        <v>9.2983607999999993</v>
      </c>
      <c r="M110" s="4">
        <v>241.09025399267392</v>
      </c>
      <c r="N110" s="4">
        <v>0.22867398719444104</v>
      </c>
      <c r="O110" s="1" t="str">
        <f>HYPERLINK(".\sm_car_250206_2041\sm_car_250206_2041_109_Ca127TrN_MaWOT_ode23t_1.png","figure")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1159</v>
      </c>
      <c r="L111" s="4">
        <v>9.8474196999999997</v>
      </c>
      <c r="M111" s="4">
        <v>74.196091681529282</v>
      </c>
      <c r="N111" s="4">
        <v>-0.33663830919890386</v>
      </c>
      <c r="O111" s="1" t="str">
        <f>HYPERLINK(".\sm_car_250206_2041\sm_car_250206_2041_110_Ca127TrN_MaLSS_ode23t_1.png","figure")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625</v>
      </c>
      <c r="L112" s="4">
        <v>54.6645307</v>
      </c>
      <c r="M112" s="4">
        <v>410.88198832749799</v>
      </c>
      <c r="N112" s="4">
        <v>1.6186317502976506</v>
      </c>
      <c r="O112" s="1" t="str">
        <f>HYPERLINK(".\sm_car_250206_2041\sm_car_250206_2041_111_Ca140TrN_MaWOT_ode23t_1.png","figure")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640</v>
      </c>
      <c r="L113" s="4">
        <v>38.744866899999998</v>
      </c>
      <c r="M113" s="4">
        <v>157.01684813116339</v>
      </c>
      <c r="N113" s="4">
        <v>-0.56778092590962725</v>
      </c>
      <c r="O113" s="1" t="str">
        <f>HYPERLINK(".\sm_car_250206_2041\sm_car_250206_2041_112_Ca140TrN_MaLSS_ode23t_1.png","figure")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1190</v>
      </c>
      <c r="L114" s="4">
        <v>59.388852900000003</v>
      </c>
      <c r="M114" s="4">
        <v>411.16259031026397</v>
      </c>
      <c r="N114" s="4">
        <v>1.5621595637335659</v>
      </c>
      <c r="O114" s="1" t="str">
        <f>HYPERLINK(".\sm_car_250206_2041\sm_car_250206_2041_113_Ca142TrN_MaWOT_ode23t_1.png","figure")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1183</v>
      </c>
      <c r="L115" s="4">
        <v>35.880155799999997</v>
      </c>
      <c r="M115" s="4">
        <v>157.1040214461068</v>
      </c>
      <c r="N115" s="4">
        <v>-0.57402972695354693</v>
      </c>
      <c r="O115" s="1" t="str">
        <f>HYPERLINK(".\sm_car_250206_2041\sm_car_250206_2041_114_Ca142TrN_MaLSS_ode23t_1.png","figure")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358</v>
      </c>
      <c r="L116" s="4">
        <v>23.532321400000001</v>
      </c>
      <c r="M116" s="4">
        <v>96.563348042026689</v>
      </c>
      <c r="N116" s="4">
        <v>-4.0321729967763301E-2</v>
      </c>
      <c r="O116" s="1" t="str">
        <f>HYPERLINK(".\sm_car_250206_2041\sm_car_250206_2041_115_Ca145TrN_MaWOT_ode23t_1.png","figure")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 s="4">
        <v>26.262729</v>
      </c>
      <c r="M117" s="4">
        <v>25.155087404624091</v>
      </c>
      <c r="N117" s="4">
        <v>-5.1521891725438695E-2</v>
      </c>
      <c r="O117" s="1" t="str">
        <f>HYPERLINK(".\sm_car_250206_2041\sm_car_250206_2041_116_Ca145TrN_MaLSS_ode23t_1.png","figure")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340</v>
      </c>
      <c r="L118" s="4">
        <v>17.824374500000001</v>
      </c>
      <c r="M118" s="4">
        <v>114.9285876657741</v>
      </c>
      <c r="N118" s="4">
        <v>0.5347882627561571</v>
      </c>
      <c r="O118" s="1" t="str">
        <f>HYPERLINK(".\sm_car_250206_2041\sm_car_250206_2041_117_Ca146TrN_MaWOT_ode23t_1.png","figure")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464</v>
      </c>
      <c r="L119" s="4">
        <v>19.737863099999998</v>
      </c>
      <c r="M119" s="4">
        <v>35.84245055785081</v>
      </c>
      <c r="N119" s="4">
        <v>-3.0641176199253762E-2</v>
      </c>
      <c r="O119" s="1" t="str">
        <f>HYPERLINK(".\sm_car_250206_2041\sm_car_250206_2041_118_Ca146TrN_MaLSS_ode23t_1.png","figure")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340</v>
      </c>
      <c r="L120" s="4">
        <v>17.707172799999999</v>
      </c>
      <c r="M120" s="4">
        <v>114.9285876657741</v>
      </c>
      <c r="N120" s="4">
        <v>0.5347882627561571</v>
      </c>
      <c r="O120" s="1" t="str">
        <f>HYPERLINK(".\sm_car_250206_2041\sm_car_250206_2041_119_Ca146TrN_MaWOT_ode23t_1.png","figure")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464</v>
      </c>
      <c r="L121" s="4">
        <v>19.693684999999999</v>
      </c>
      <c r="M121" s="4">
        <v>35.84245055785081</v>
      </c>
      <c r="N121" s="4">
        <v>-3.0641176199253762E-2</v>
      </c>
      <c r="O121" s="1" t="str">
        <f>HYPERLINK(".\sm_car_250206_2041\sm_car_250206_2041_120_Ca146TrN_MaLSS_ode23t_1.png","figure")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545</v>
      </c>
      <c r="L122" s="4">
        <v>41.585362699999997</v>
      </c>
      <c r="M122" s="4">
        <v>182.8416941481394</v>
      </c>
      <c r="N122" s="4">
        <v>0.31227251908426751</v>
      </c>
      <c r="O122" s="1" t="str">
        <f>HYPERLINK(".\sm_car_250206_2041\sm_car_250206_2041_121_Ca161TrN_MaWOT_ode23t_1.png","figure")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665</v>
      </c>
      <c r="L123" s="4">
        <v>46.137479999999996</v>
      </c>
      <c r="M123" s="4">
        <v>156.81203676730482</v>
      </c>
      <c r="N123" s="4">
        <v>-0.5751428501159076</v>
      </c>
      <c r="O123" s="1" t="str">
        <f>HYPERLINK(".\sm_car_250206_2041\sm_car_250206_2041_122_Ca161TrN_MaLSS_ode23t_1.png","figure")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 s="4">
        <v>51.220126399999998</v>
      </c>
      <c r="M124" s="4">
        <v>281.97740017487513</v>
      </c>
      <c r="N124" s="4">
        <v>0.72528283043841635</v>
      </c>
      <c r="O124" s="1" t="str">
        <f>HYPERLINK(".\sm_car_250206_2041\sm_car_250206_2041_123_Ca163TrN_MaWOT_ode23t_1.png","figure")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790</v>
      </c>
      <c r="L125" s="4">
        <v>62.177224099999997</v>
      </c>
      <c r="M125" s="4">
        <v>260.49750430420318</v>
      </c>
      <c r="N125" s="4">
        <v>-0.45164996497498372</v>
      </c>
      <c r="O125" s="1" t="str">
        <f>HYPERLINK(".\sm_car_250206_2041\sm_car_250206_2041_124_Ca163TrN_MaLSS_ode23t_1.png","figure")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 s="4">
        <v>26.343118199999999</v>
      </c>
      <c r="M126" s="4">
        <v>313.16501723772058</v>
      </c>
      <c r="N126" s="4">
        <v>1.1396312648144097E-4</v>
      </c>
      <c r="O126" s="1" t="str">
        <f>HYPERLINK(".\sm_car_250206_2041\sm_car_250206_2041_125_Ca184TrN_MaWOT_ode23t_1.png","figure")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 s="4">
        <v>19.103666400000002</v>
      </c>
      <c r="M127" s="4">
        <v>112.42984833398582</v>
      </c>
      <c r="N127" s="4">
        <v>-0.1888465613105888</v>
      </c>
      <c r="O127" s="1" t="str">
        <f>HYPERLINK(".\sm_car_250206_2041\sm_car_250206_2041_126_Ca184TrN_MaLSS_ode23t_1.png","figure")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 s="4">
        <v>51.906598700000004</v>
      </c>
      <c r="M128" s="4">
        <v>283.09295039638198</v>
      </c>
      <c r="N128" s="4">
        <v>0.76237753629349825</v>
      </c>
      <c r="O128" s="1" t="str">
        <f>HYPERLINK(".\sm_car_250206_2041\sm_car_250206_2041_127_Ca217TrN_MaWOT_ode23t_1.png","figure")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 s="4">
        <v>57.445252500000002</v>
      </c>
      <c r="M129" s="4">
        <v>111.92498585006001</v>
      </c>
      <c r="N129" s="4">
        <v>-0.36176950531000307</v>
      </c>
      <c r="O129" s="1" t="str">
        <f>HYPERLINK(".\sm_car_250206_2041\sm_car_250206_2041_128_Ca217TrN_MaLSS_ode23t_1.png","figure")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775</v>
      </c>
      <c r="L130" s="4">
        <v>19.817290199999999</v>
      </c>
      <c r="M130" s="4">
        <v>254.2692933451022</v>
      </c>
      <c r="N130" s="4">
        <v>4.0303687352301054E-3</v>
      </c>
      <c r="O130" s="1" t="str">
        <f>HYPERLINK(".\sm_car_250206_2041\sm_car_250206_2041_129_Ca012TrN_MaDLC_ode23t_1.png","figure")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 s="4">
        <v>24.590747400000001</v>
      </c>
      <c r="M131" s="4">
        <v>75.61484827573608</v>
      </c>
      <c r="N131" s="4">
        <v>0.7619707819463547</v>
      </c>
      <c r="O131" s="1" t="str">
        <f>HYPERLINK(".\sm_car_250206_2041\sm_car_250206_2041_130_Ca012TrN_MaIPA_ode23t_1.png","figure")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24.406772100000001</v>
      </c>
      <c r="M132" s="4">
        <v>253.24950676543568</v>
      </c>
      <c r="N132" s="4">
        <v>-2.5729268335430433E-3</v>
      </c>
      <c r="O132" s="1" t="str">
        <f>HYPERLINK(".\sm_car_250206_2041\sm_car_250206_2041_131_Ca142TrN_MaDLC_ode23t_1.png","figure")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1626</v>
      </c>
      <c r="L133" s="4">
        <v>88.506936899999999</v>
      </c>
      <c r="M133" s="4">
        <v>84.927480323276825</v>
      </c>
      <c r="N133" s="4">
        <v>0.83045066739320683</v>
      </c>
      <c r="O133" s="1" t="str">
        <f>HYPERLINK(".\sm_car_250206_2041\sm_car_250206_2041_132_Ca142TrN_MaIPA_ode23t_1.png","figure")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496</v>
      </c>
      <c r="L134" s="4">
        <v>31.218897900000002</v>
      </c>
      <c r="M134" s="4">
        <v>254.52222599324892</v>
      </c>
      <c r="N134" s="4">
        <v>4.494810786844905E-2</v>
      </c>
      <c r="O134" s="1" t="str">
        <f>HYPERLINK(".\sm_car_250206_2041\sm_car_250206_2041_133_Ca145TrN_MaDLC_ode23t_1.png","figure")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318</v>
      </c>
      <c r="L135" s="4">
        <v>20.152555199999998</v>
      </c>
      <c r="M135" s="4">
        <v>28.25711617455822</v>
      </c>
      <c r="N135" s="4">
        <v>1.5651222543142565E-2</v>
      </c>
      <c r="O135" s="1" t="str">
        <f>HYPERLINK(".\sm_car_250206_2041\sm_car_250206_2041_134_Ca145TrN_MaIPA_ode23t_1.png","figure")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409</v>
      </c>
      <c r="L136" s="4">
        <v>19.2281792</v>
      </c>
      <c r="M136" s="4">
        <v>253.58959767256692</v>
      </c>
      <c r="N136" s="4">
        <v>1.3579555271111765E-2</v>
      </c>
      <c r="O136" s="1" t="str">
        <f>HYPERLINK(".\sm_car_250206_2041\sm_car_250206_2041_135_Ca184TrN_MaDLC_ode23t_1.png","figure")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 s="4">
        <v>25.769370899999998</v>
      </c>
      <c r="M137" s="4">
        <v>61.804634552458211</v>
      </c>
      <c r="N137" s="4">
        <v>0.55435410169170307</v>
      </c>
      <c r="O137" s="1" t="str">
        <f>HYPERLINK(".\sm_car_250206_2041\sm_car_250206_2041_136_Ca184TrN_MaIPA_ode23t_1.png","figure")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1851</v>
      </c>
      <c r="L138" s="4">
        <v>44.738545899999998</v>
      </c>
      <c r="M138" s="4">
        <v>254.88302392878325</v>
      </c>
      <c r="N138" s="4">
        <v>1.4793100735787768E-2</v>
      </c>
      <c r="O138" s="1" t="str">
        <f>HYPERLINK(".\sm_car_250206_2041\sm_car_250206_2041_137_Ca204TrN_MaDLC_ode23t_1.png","figure")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 s="4">
        <v>20.829401399999998</v>
      </c>
      <c r="M139" s="4">
        <v>26.038370561198473</v>
      </c>
      <c r="N139" s="4">
        <v>9.6718355082770959E-3</v>
      </c>
      <c r="O139" s="1" t="str">
        <f>HYPERLINK(".\sm_car_250206_2041\sm_car_250206_2041_138_Ca204TrN_MaIPA_ode23t_1.png","figure")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2524</v>
      </c>
      <c r="L140" s="4">
        <v>51.084793099999999</v>
      </c>
      <c r="M140" s="4">
        <v>-2.1234351778073771E-2</v>
      </c>
      <c r="N140" s="4">
        <v>-0.6247793985636183</v>
      </c>
      <c r="O140" s="1" t="str">
        <f>HYPERLINK(".\sm_car_250206_2041\sm_car_250206_2041_139_Ca012TrN_MaMPK_ode23t_1.png","figure")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3417</v>
      </c>
      <c r="L141" s="4">
        <v>72.228544999999997</v>
      </c>
      <c r="M141" s="4">
        <v>0.78948309944834349</v>
      </c>
      <c r="N141" s="4">
        <v>-0.31824321339933442</v>
      </c>
      <c r="O141" s="1" t="str">
        <f>HYPERLINK(".\sm_car_250206_2041\sm_car_250206_2041_140_Ca012TrN_MaMPC_ode23t_1.png","figure")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2479</v>
      </c>
      <c r="L142" s="4">
        <v>91.198283099999998</v>
      </c>
      <c r="M142" s="4">
        <v>-1.9887878190232675E-2</v>
      </c>
      <c r="N142" s="4">
        <v>-0.54847111969721773</v>
      </c>
      <c r="O142" s="1" t="str">
        <f>HYPERLINK(".\sm_car_250206_2041\sm_car_250206_2041_141_Ca142TrN_MaMPK_ode23t_1.png","figure")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3261</v>
      </c>
      <c r="L143" s="4">
        <v>127.2862593</v>
      </c>
      <c r="M143" s="4">
        <v>0.78948309945391237</v>
      </c>
      <c r="N143" s="4">
        <v>-0.36154024348961789</v>
      </c>
      <c r="O143" s="1" t="str">
        <f>HYPERLINK(".\sm_car_250206_2041\sm_car_250206_2041_142_Ca142TrN_MaMPC_ode23t_1.png","figure")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2838</v>
      </c>
      <c r="L144" s="4">
        <v>23.799811800000001</v>
      </c>
      <c r="M144" s="4">
        <v>-1.9491413017653739E-2</v>
      </c>
      <c r="N144" s="4">
        <v>-0.52600237398372285</v>
      </c>
      <c r="O144" s="1" t="str">
        <f>HYPERLINK(".\sm_car_250206_2041\sm_car_250206_2041_143_Ca116TrN_MaMPK_ode23t_1.png","figure")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3308</v>
      </c>
      <c r="L145" s="4">
        <v>27.419778300000001</v>
      </c>
      <c r="M145" s="4">
        <v>0.78948309942486361</v>
      </c>
      <c r="N145" s="4">
        <v>-0.33081792951648115</v>
      </c>
      <c r="O145" s="1" t="str">
        <f>HYPERLINK(".\sm_car_250206_2041\sm_car_250206_2041_144_Ca116TrN_MaMPC_ode23t_1.png","figure")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2651</v>
      </c>
      <c r="L146" s="4">
        <v>93.272187500000001</v>
      </c>
      <c r="M146" s="4">
        <v>-1.7098491953823708E-2</v>
      </c>
      <c r="N146" s="4">
        <v>-0.39038910632851126</v>
      </c>
      <c r="O146" s="1" t="str">
        <f>HYPERLINK(".\sm_car_250206_2041\sm_car_250206_2041_145_Ca143TrN_MaMPK_ode23t_1.png","figure")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3059</v>
      </c>
      <c r="L147" s="4">
        <v>136.4162312</v>
      </c>
      <c r="M147" s="4">
        <v>0.78948309944641437</v>
      </c>
      <c r="N147" s="4">
        <v>-0.25268278603577782</v>
      </c>
      <c r="O147" s="1" t="str">
        <f>HYPERLINK(".\sm_car_250206_2041\sm_car_250206_2041_146_Ca143TrN_MaMPC_ode23t_1.png","figure")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3095</v>
      </c>
      <c r="L148" s="4">
        <v>79.535739899999996</v>
      </c>
      <c r="M148" s="4">
        <v>-2.0042257386688342E-2</v>
      </c>
      <c r="N148" s="4">
        <v>-0.55722020357351409</v>
      </c>
      <c r="O148" s="1" t="str">
        <f>HYPERLINK(".\sm_car_250206_2041\sm_car_250206_2041_147_Ca166TrN_MaMPK_ode23t_1.png","figure")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3374</v>
      </c>
      <c r="L149" s="4">
        <v>92.2391504</v>
      </c>
      <c r="M149" s="4">
        <v>0.78948309943138106</v>
      </c>
      <c r="N149" s="4">
        <v>-0.35207033938502863</v>
      </c>
      <c r="O149" s="1" t="str">
        <f>HYPERLINK(".\sm_car_250206_2041\sm_car_250206_2041_148_Ca166TrN_MaMPC_ode23t_1.png","figure")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2915</v>
      </c>
      <c r="L150" s="4">
        <v>69.459175599999995</v>
      </c>
      <c r="M150" s="4">
        <v>-2.0056166437229503E-2</v>
      </c>
      <c r="N150" s="4">
        <v>-0.55800846868031351</v>
      </c>
      <c r="O150" s="1" t="str">
        <f>HYPERLINK(".\sm_car_250206_2041\sm_car_250206_2041_149_Ca169TrN_MaMPK_ode23t_1.png","figure")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3124</v>
      </c>
      <c r="L151" s="4">
        <v>79.612192500000006</v>
      </c>
      <c r="M151" s="4">
        <v>0.78948309945533346</v>
      </c>
      <c r="N151" s="4">
        <v>-0.3538824498955026</v>
      </c>
      <c r="O151" s="1" t="str">
        <f>HYPERLINK(".\sm_car_250206_2041\sm_car_250206_2041_150_Ca169TrN_MaMPC_ode23t_1.png","figure")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1992</v>
      </c>
      <c r="L152" s="4">
        <v>92.147113000000004</v>
      </c>
      <c r="M152" s="4">
        <v>-2.2608501175349557E-2</v>
      </c>
      <c r="N152" s="4">
        <v>-0.70265613675779715</v>
      </c>
      <c r="O152" s="1" t="str">
        <f>HYPERLINK(".\sm_car_250206_2041\sm_car_250206_2041_151_Ca184TrN_MaMPK_ode23t_1.png","figure")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2384</v>
      </c>
      <c r="L153" s="4">
        <v>118.98404650000001</v>
      </c>
      <c r="M153" s="4">
        <v>0.78948309943772621</v>
      </c>
      <c r="N153" s="4">
        <v>-0.33116541893824486</v>
      </c>
      <c r="O153" s="1" t="str">
        <f>HYPERLINK(".\sm_car_250206_2041\sm_car_250206_2041_152_Ca184TrN_MaMPC_ode23t_1.png","figure")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2895</v>
      </c>
      <c r="L154" s="4">
        <v>68.389781600000006</v>
      </c>
      <c r="M154" s="4">
        <v>-2.0057016046687234E-2</v>
      </c>
      <c r="N154" s="4">
        <v>-0.55805661925436345</v>
      </c>
      <c r="O154" s="1" t="str">
        <f>HYPERLINK(".\sm_car_250206_2041\sm_car_250206_2041_153_Ca195TrN_MaMPK_ode23t_1.png","figure")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3220</v>
      </c>
      <c r="L155" s="4">
        <v>76.825727700000002</v>
      </c>
      <c r="M155" s="4">
        <v>0.78948309945102046</v>
      </c>
      <c r="N155" s="4">
        <v>-0.34710385467156346</v>
      </c>
      <c r="O155" s="1" t="str">
        <f>HYPERLINK(".\sm_car_250206_2041\sm_car_250206_2041_154_Ca195TrN_MaMPC_ode23t_1.png","figure")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2017</v>
      </c>
      <c r="L156" s="4">
        <v>54.901636000000003</v>
      </c>
      <c r="M156" s="4">
        <v>-2.2612638157058468E-2</v>
      </c>
      <c r="N156" s="4">
        <v>-0.70289059077407579</v>
      </c>
      <c r="O156" s="1" t="str">
        <f>HYPERLINK(".\sm_car_250206_2041\sm_car_250206_2041_155_Ca198TrN_MaMPK_ode23t_1.png","figure")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2753</v>
      </c>
      <c r="L157" s="4">
        <v>77.1822248</v>
      </c>
      <c r="M157" s="4">
        <v>0.78948309945764628</v>
      </c>
      <c r="N157" s="4">
        <v>-0.27936914123706419</v>
      </c>
      <c r="O157" s="1" t="str">
        <f>HYPERLINK(".\sm_car_250206_2041\sm_car_250206_2041_156_Ca198TrN_MaMPC_ode23t_1.png","figure")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20.9492513</v>
      </c>
      <c r="M158" s="4">
        <v>73.370156036568744</v>
      </c>
      <c r="N158" s="4">
        <v>-0.84492755734355585</v>
      </c>
      <c r="O158" s="1" t="str">
        <f>HYPERLINK(".\sm_car_250206_2041\sm_car_250206_2041_157_Ca151TrN_MaLSS_ode23t_1.png","figure")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534</v>
      </c>
      <c r="L159" s="4">
        <v>20.690302599999999</v>
      </c>
      <c r="M159" s="4">
        <v>71.688760005898644</v>
      </c>
      <c r="N159" s="4">
        <v>-0.5431630902951935</v>
      </c>
      <c r="O159" s="1" t="str">
        <f>HYPERLINK(".\sm_car_250206_2041\sm_car_250206_2041_158_Ca152TrN_MaLSS_ode23t_1.png","figure")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554</v>
      </c>
      <c r="L160" s="4">
        <v>21.637995499999999</v>
      </c>
      <c r="M160" s="4">
        <v>71.527811568155073</v>
      </c>
      <c r="N160" s="4">
        <v>-0.88568506055996976</v>
      </c>
      <c r="O160" s="1" t="str">
        <f>HYPERLINK(".\sm_car_250206_2041\sm_car_250206_2041_159_Ca153TrN_MaLSS_ode23t_1.png","figure")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503</v>
      </c>
      <c r="L161" s="4">
        <v>27.852819700000001</v>
      </c>
      <c r="M161" s="4">
        <v>71.751098556478524</v>
      </c>
      <c r="N161" s="4">
        <v>-0.36821343271415535</v>
      </c>
      <c r="O161" s="1" t="str">
        <f>HYPERLINK(".\sm_car_250206_2041\sm_car_250206_2041_160_Ca154TrN_MaLSS_ode23t_1.png","figure")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547</v>
      </c>
      <c r="L162" s="4">
        <v>29.9784696</v>
      </c>
      <c r="M162" s="4">
        <v>71.560224212815527</v>
      </c>
      <c r="N162" s="4">
        <v>-0.86547736406154729</v>
      </c>
      <c r="O162" s="1" t="str">
        <f>HYPERLINK(".\sm_car_250206_2041\sm_car_250206_2041_161_Ca155TrN_MaLSS_ode23t_1.png","figure")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14.492284400000001</v>
      </c>
      <c r="M163" s="4">
        <v>233.86868495957117</v>
      </c>
      <c r="N163" s="4">
        <v>1.5279868512777874E-2</v>
      </c>
      <c r="O163" s="1" t="str">
        <f>HYPERLINK(".\sm_car_250206_2041\sm_car_250206_2041_162_Ca004TrN_MaWOT_ode3_1.png","figure")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11.7329063</v>
      </c>
      <c r="M164" s="4">
        <v>71.992416552873522</v>
      </c>
      <c r="N164" s="4">
        <v>-0.55216478985760642</v>
      </c>
      <c r="O164" s="1" t="str">
        <f>HYPERLINK(".\sm_car_250206_2041\sm_car_250206_2041_163_Ca004TrN_MaLSS_ode3_1.png","figure")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11.7686872</v>
      </c>
      <c r="M165" s="4">
        <v>64.314286423663845</v>
      </c>
      <c r="N165" s="4">
        <v>-25.500994053949178</v>
      </c>
      <c r="O165" s="1" t="str">
        <f>HYPERLINK(".\sm_car_250206_2041\sm_car_250206_2041_164_Ca004TrN_MaTUR_ode3_1.png","figure")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6.4740269000000001</v>
      </c>
      <c r="M166" s="4">
        <v>242.70379484028024</v>
      </c>
      <c r="N166" s="4">
        <v>0.23327776238073167</v>
      </c>
      <c r="O166" s="1" t="str">
        <f>HYPERLINK(".\sm_car_250206_2041\sm_car_250206_2041_165_Ca116TrN_MaWOT_ode3_1.png","figure")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5.4283165000000002</v>
      </c>
      <c r="M167" s="4">
        <v>74.659492312085277</v>
      </c>
      <c r="N167" s="4">
        <v>-0.3409373419552838</v>
      </c>
      <c r="O167" s="1" t="str">
        <f>HYPERLINK(".\sm_car_250206_2041\sm_car_250206_2041_166_Ca116TrN_MaLSS_ode3_1.png","figure")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5.5193984</v>
      </c>
      <c r="M168" s="4">
        <v>71.323971744596435</v>
      </c>
      <c r="N168" s="4">
        <v>-17.591550619585405</v>
      </c>
      <c r="O168" s="1" t="str">
        <f>HYPERLINK(".\sm_car_250206_2041\sm_car_250206_2041_167_Ca116TrN_MaTUR_ode3_1.png","figure")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4.1450180999999997</v>
      </c>
      <c r="M169" s="4">
        <v>242.88013077860754</v>
      </c>
      <c r="N169" s="4">
        <v>0.23308389745535354</v>
      </c>
      <c r="O169" s="1" t="str">
        <f>HYPERLINK(".\sm_car_250206_2041\sm_car_250206_2041_168_Ca124TrN_MaWOT_ode3_1.png","figure")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3.3244817000000002</v>
      </c>
      <c r="M170" s="4">
        <v>74.798394842303935</v>
      </c>
      <c r="N170" s="4">
        <v>-0.34251601798828973</v>
      </c>
      <c r="O170" s="1" t="str">
        <f>HYPERLINK(".\sm_car_250206_2041\sm_car_250206_2041_169_Ca124TrN_MaLSS_ode3_1.png","figure")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3.2744976000000001</v>
      </c>
      <c r="M171" s="4">
        <v>71.449353367437823</v>
      </c>
      <c r="N171" s="4">
        <v>-17.637595535505195</v>
      </c>
      <c r="O171" s="1" t="str">
        <f>HYPERLINK(".\sm_car_250206_2041\sm_car_250206_2041_170_Ca124TrN_MaTUR_ode3_1.png","figure")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19.874671200000002</v>
      </c>
      <c r="M172" s="4">
        <v>411.22792847602506</v>
      </c>
      <c r="N172" s="4">
        <v>1.5233271513306836</v>
      </c>
      <c r="O172" s="1" t="str">
        <f>HYPERLINK(".\sm_car_250206_2041\sm_car_250206_2041_171_Ca141TrN_MaWOT_ode3_1.png","figure")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17.034217399999999</v>
      </c>
      <c r="M173" s="4">
        <v>157.12815752213527</v>
      </c>
      <c r="N173" s="4">
        <v>-0.5645994055756246</v>
      </c>
      <c r="O173" s="1" t="str">
        <f>HYPERLINK(".\sm_car_250206_2041\sm_car_250206_2041_172_Ca141TrN_MaLSS_ode3_1.png","figure")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16.675226200000001</v>
      </c>
      <c r="M174" s="4">
        <v>99.142812471287741</v>
      </c>
      <c r="N174" s="4">
        <v>-89.336781381079831</v>
      </c>
      <c r="O174" s="1" t="str">
        <f>HYPERLINK(".\sm_car_250206_2041\sm_car_250206_2041_173_Ca141TrN_MaTUR_ode3_1.png","figure")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12.830325</v>
      </c>
      <c r="M175" s="4">
        <v>96.916334895944843</v>
      </c>
      <c r="N175" s="4">
        <v>8.561370597194301E-2</v>
      </c>
      <c r="O175" s="1" t="str">
        <f>HYPERLINK(".\sm_car_250206_2041\sm_car_250206_2041_174_Ca145TrN_MaWOT_ode3_1.png","figure")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10.741420700000001</v>
      </c>
      <c r="M176" s="4">
        <v>25.406467285427112</v>
      </c>
      <c r="N176" s="4">
        <v>-4.2611053323550682E-2</v>
      </c>
      <c r="O176" s="1" t="str">
        <f>HYPERLINK(".\sm_car_250206_2041\sm_car_250206_2041_175_Ca145TrN_MaLSS_ode3_1.png","figure")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10.7251426</v>
      </c>
      <c r="M177" s="4">
        <v>25.252817023767324</v>
      </c>
      <c r="N177" s="4">
        <v>-2.6278209780660262</v>
      </c>
      <c r="O177" s="1" t="str">
        <f>HYPERLINK(".\sm_car_250206_2041\sm_car_250206_2041_176_Ca145TrN_MaTUR_ode3_1.png","figure")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14.4184985</v>
      </c>
      <c r="M178" s="4">
        <v>97.72769805979955</v>
      </c>
      <c r="N178" s="4">
        <v>-5.0716881747819013E-2</v>
      </c>
      <c r="O178" s="1" t="str">
        <f>HYPERLINK(".\sm_car_250206_2041\sm_car_250206_2041_177_Ca199TrN_MaWOT_ode3_1.png","figure")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12.1109148</v>
      </c>
      <c r="M179" s="4">
        <v>26.092676274625305</v>
      </c>
      <c r="N179" s="4">
        <v>-5.5248795523061167E-2</v>
      </c>
      <c r="O179" s="1" t="str">
        <f>HYPERLINK(".\sm_car_250206_2041\sm_car_250206_2041_178_Ca199TrN_MaLSS_ode3_1.png","figure")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12.105354200000001</v>
      </c>
      <c r="M180" s="4">
        <v>25.92677454518039</v>
      </c>
      <c r="N180" s="4">
        <v>-2.7324566843135929</v>
      </c>
      <c r="O180" s="1" t="str">
        <f>HYPERLINK(".\sm_car_250206_2041\sm_car_250206_2041_179_Ca199TrN_MaTUR_ode3_1.png","figure")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525</v>
      </c>
      <c r="L181" s="4">
        <v>16.393472899999999</v>
      </c>
      <c r="M181" s="4">
        <v>253.92019697118138</v>
      </c>
      <c r="N181" s="4">
        <v>-3.5031657014705786E-3</v>
      </c>
      <c r="O181" s="1" t="str">
        <f>HYPERLINK(".\sm_car_250206_2041\sm_car_250206_2041_180_Ca139TrN_MaDLC_ode23t_1.png","figure")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1104</v>
      </c>
      <c r="L182" s="4">
        <v>66.813958099999994</v>
      </c>
      <c r="M182" s="4">
        <v>253.21970002247485</v>
      </c>
      <c r="N182" s="4">
        <v>0.83780670316389383</v>
      </c>
      <c r="O182" s="1" t="str">
        <f>HYPERLINK(".\sm_car_250206_2041\sm_car_250206_2041_181_Ca139TrE_MaDLC_ode23t_1.png","figure")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957</v>
      </c>
      <c r="L183" s="4">
        <v>57.005100400000003</v>
      </c>
      <c r="M183" s="4">
        <v>254.91024443931025</v>
      </c>
      <c r="N183" s="4">
        <v>-2.9435258797931851E-3</v>
      </c>
      <c r="O183" s="1" t="str">
        <f>HYPERLINK(".\sm_car_250206_2041\sm_car_250206_2041_182_Ca139TrT_MaDLC_ode23t_1.png","figure")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1198</v>
      </c>
      <c r="L184" s="4">
        <v>47.759157000000002</v>
      </c>
      <c r="M184" s="4">
        <v>253.2377748298822</v>
      </c>
      <c r="N184" s="4">
        <v>2.9562298321404712</v>
      </c>
      <c r="O184" s="1" t="str">
        <f>HYPERLINK(".\sm_car_250206_2041\sm_car_250206_2041_183_Ca139TrE_MaDLC_ode23t_1.png","figure")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621</v>
      </c>
      <c r="L185" s="4">
        <v>18.230334800000001</v>
      </c>
      <c r="M185" s="4">
        <v>253.67486109186973</v>
      </c>
      <c r="N185" s="4">
        <v>3.9547423011274674E-3</v>
      </c>
      <c r="O185" s="1" t="str">
        <f>HYPERLINK(".\sm_car_250206_2041\sm_car_250206_2041_184_Ca002TrN_MaDLC_ode23t_1.png","figure")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812</v>
      </c>
      <c r="L186" s="4">
        <v>42.189607600000002</v>
      </c>
      <c r="M186" s="4">
        <v>253.64059676974244</v>
      </c>
      <c r="N186" s="4">
        <v>3.9089584014622147E-3</v>
      </c>
      <c r="O186" s="1" t="str">
        <f>HYPERLINK(".\sm_car_250206_2041\sm_car_250206_2041_185_Ca002TrE_MaDLC_ode23t_1.png","figure")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931</v>
      </c>
      <c r="L187" s="4">
        <v>49.987216199999999</v>
      </c>
      <c r="M187" s="4">
        <v>253.53036106896235</v>
      </c>
      <c r="N187" s="4">
        <v>4.0522536043017254E-3</v>
      </c>
      <c r="O187" s="1" t="str">
        <f>HYPERLINK(".\sm_car_250206_2041\sm_car_250206_2041_186_Ca002TrT_MaDLC_ode23t_1.png","figure")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814</v>
      </c>
      <c r="L188" s="4">
        <v>34.525449100000003</v>
      </c>
      <c r="M188" s="4">
        <v>253.67544298929209</v>
      </c>
      <c r="N188" s="4">
        <v>3.8860930114479331E-3</v>
      </c>
      <c r="O188" s="1" t="str">
        <f>HYPERLINK(".\sm_car_250206_2041\sm_car_250206_2041_187_Ca002TrE_MaDLC_ode23t_1.png","figure")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496</v>
      </c>
      <c r="L189" s="4">
        <v>31.622571600000001</v>
      </c>
      <c r="M189" s="4">
        <v>254.52222599324892</v>
      </c>
      <c r="N189" s="4">
        <v>4.494810786844905E-2</v>
      </c>
      <c r="O189" s="1" t="str">
        <f>HYPERLINK(".\sm_car_250206_2041\sm_car_250206_2041_188_Ca145TrN_MaDLC_ode23t_1.png","figure")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577</v>
      </c>
      <c r="L190" s="4">
        <v>61.5996928</v>
      </c>
      <c r="M190" s="4">
        <v>253.88290114259479</v>
      </c>
      <c r="N190" s="4">
        <v>4.7904300290795732E-2</v>
      </c>
      <c r="O190" s="1" t="str">
        <f>HYPERLINK(".\sm_car_250206_2041\sm_car_250206_2041_189_Ca145TrE_MaDLC_ode23t_1.png","figure")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720</v>
      </c>
      <c r="L191" s="4">
        <v>73.143173599999997</v>
      </c>
      <c r="M191" s="4">
        <v>254.33038929646801</v>
      </c>
      <c r="N191" s="4">
        <v>4.6088813425440023E-2</v>
      </c>
      <c r="O191" s="1" t="str">
        <f>HYPERLINK(".\sm_car_250206_2041\sm_car_250206_2041_190_Ca145TrT_MaDLC_ode23t_1.png","figure")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566</v>
      </c>
      <c r="L192" s="4">
        <v>51.812130699999997</v>
      </c>
      <c r="M192" s="4">
        <v>253.29528697187772</v>
      </c>
      <c r="N192" s="4">
        <v>5.0188699654770907E-2</v>
      </c>
      <c r="O192" s="1" t="str">
        <f>HYPERLINK(".\sm_car_250206_2041\sm_car_250206_2041_191_Ca145TrE_MaDLC_ode23t_1.png","figure")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489</v>
      </c>
      <c r="L193" s="4">
        <v>13.7345489</v>
      </c>
      <c r="M193" s="4">
        <v>255.42357409843339</v>
      </c>
      <c r="N193" s="4">
        <v>4.1416720360332171E-2</v>
      </c>
      <c r="O193" s="1" t="str">
        <f>HYPERLINK(".\sm_car_250206_2041\sm_car_250206_2041_192_Ca199TrN_MaDLC_ode23t_1.png","figure")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578</v>
      </c>
      <c r="L194" s="4">
        <v>32.518426599999998</v>
      </c>
      <c r="M194" s="4">
        <v>254.19930842928875</v>
      </c>
      <c r="N194" s="4">
        <v>4.6715774641105767E-2</v>
      </c>
      <c r="O194" s="1" t="str">
        <f>HYPERLINK(".\sm_car_250206_2041\sm_car_250206_2041_193_Ca199TrE_MaDLC_ode23t_1.png","figure")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731</v>
      </c>
      <c r="L195" s="4">
        <v>34.338051700000001</v>
      </c>
      <c r="M195" s="4">
        <v>255.06294377922848</v>
      </c>
      <c r="N195" s="4">
        <v>4.3276409037210861E-2</v>
      </c>
      <c r="O195" s="1" t="str">
        <f>HYPERLINK(".\sm_car_250206_2041\sm_car_250206_2041_194_Ca199TrT_MaDLC_ode23t_1.png","figure")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563</v>
      </c>
      <c r="L196" s="4">
        <v>23.314815599999999</v>
      </c>
      <c r="M196" s="4">
        <v>253.21766283579137</v>
      </c>
      <c r="N196" s="4">
        <v>5.0482562124821051E-2</v>
      </c>
      <c r="O196" s="1" t="str">
        <f>HYPERLINK(".\sm_car_250206_2041\sm_car_250206_2041_195_Ca199TrE_MaDLC_ode23t_1.png","figure")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433</v>
      </c>
      <c r="L197" s="4">
        <v>20.798684099999999</v>
      </c>
      <c r="M197" s="4">
        <v>261.003428738845</v>
      </c>
      <c r="N197" s="4">
        <v>2.5014198637030192</v>
      </c>
      <c r="O197" s="1" t="str">
        <f>HYPERLINK(".\sm_car_250206_2041\sm_car_250206_2041_196_Ca139TrE_MaTRD_ode23t_1.png","figure")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511</v>
      </c>
      <c r="L198" s="4">
        <v>23.610025700000001</v>
      </c>
      <c r="M198" s="4">
        <v>260.98410973435654</v>
      </c>
      <c r="N198" s="4">
        <v>2.5011836937262992</v>
      </c>
      <c r="O198" s="1" t="str">
        <f>HYPERLINK(".\sm_car_250206_2041\sm_car_250206_2041_197_Ca139TrU_MaTRD_ode23t_1.png","figure")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 s="4">
        <v>20.729887099999999</v>
      </c>
      <c r="M199" s="4">
        <v>-5.4183080522892226E-3</v>
      </c>
      <c r="N199" s="4">
        <v>-7.1187824721700272E-4</v>
      </c>
      <c r="O199" s="1" t="str">
        <f>HYPERLINK(".\sm_car_250206_2041\sm_car_250206_2041_198_Ca149TrN_MaPST_ode23t_1.png","figure")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1698</v>
      </c>
      <c r="L200" s="4">
        <v>73.426433700000004</v>
      </c>
      <c r="M200" s="4">
        <v>36.610023020665807</v>
      </c>
      <c r="N200" s="4">
        <v>0.32154918205411392</v>
      </c>
      <c r="O200" s="1" t="str">
        <f>HYPERLINK(".\sm_car_250206_2041\sm_car_250206_2041_199_Ca139TrN_MaSKD_ode23t_1.png","figure")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1431</v>
      </c>
      <c r="L201" s="4">
        <v>90.238415000000003</v>
      </c>
      <c r="M201" s="4">
        <v>3.3067182378000304</v>
      </c>
      <c r="N201" s="4">
        <v>26.611831714485184</v>
      </c>
      <c r="O201" s="1" t="str">
        <f>HYPERLINK(".\sm_car_250206_2041\sm_car_250206_2041_200_Ca139TrN_MaRAD_ode23t_1.png","figure")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1477</v>
      </c>
      <c r="L202" s="4">
        <v>102.6389374</v>
      </c>
      <c r="M202" s="4">
        <v>36.472894482253778</v>
      </c>
      <c r="N202" s="4">
        <v>0.22605533874837039</v>
      </c>
      <c r="O202" s="1" t="str">
        <f>HYPERLINK(".\sm_car_250206_2041\sm_car_250206_2041_201_Ca184TrN_MaSKD_ode23t_1.png","figure")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724</v>
      </c>
      <c r="L203" s="4">
        <v>49.731245100000002</v>
      </c>
      <c r="M203" s="4">
        <v>12.431497139191107</v>
      </c>
      <c r="N203" s="4">
        <v>21.911527595703902</v>
      </c>
      <c r="O203" s="1" t="str">
        <f>HYPERLINK(".\sm_car_250206_2041\sm_car_250206_2041_202_Ca184TrN_MaRAD_ode23t_1.png","figure")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1530</v>
      </c>
      <c r="L204" s="4">
        <v>62.312056800000001</v>
      </c>
      <c r="M204" s="4">
        <v>36.344558999766178</v>
      </c>
      <c r="N204" s="4">
        <v>0.23049666411012004</v>
      </c>
      <c r="O204" s="1" t="str">
        <f>HYPERLINK(".\sm_car_250206_2041\sm_car_250206_2041_203_Ca198TrN_MaSKD_ode23t_1.png","figure")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873</v>
      </c>
      <c r="L205" s="4">
        <v>32.408465399999997</v>
      </c>
      <c r="M205" s="4">
        <v>12.415739032920596</v>
      </c>
      <c r="N205" s="4">
        <v>21.86001756674187</v>
      </c>
      <c r="O205" s="1" t="str">
        <f>HYPERLINK(".\sm_car_250206_2041\sm_car_250206_2041_204_Ca198TrN_MaRAD_ode23t_1.png","figure")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27414</v>
      </c>
      <c r="L206" s="4">
        <v>719.07309510000005</v>
      </c>
      <c r="M206" s="4">
        <v>20.037735959239342</v>
      </c>
      <c r="N206" s="4">
        <v>3.163882090606517</v>
      </c>
      <c r="O206" s="1" t="str">
        <f>HYPERLINK(".\sm_car_250206_2041\sm_car_250206_2041_205_Ca156TrN_MaIPA_ode23t.png","figure")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 s="4">
        <v>458.39537660000002</v>
      </c>
      <c r="M207" s="4">
        <v>16.625055162622296</v>
      </c>
      <c r="N207" s="4">
        <v>0.59449847260109856</v>
      </c>
      <c r="O207" s="1" t="str">
        <f>HYPERLINK(".\sm_car_250206_2041\sm_car_250206_2041_206_Ca130TrN_MaIPA_ode23t.png","figure")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1372</v>
      </c>
      <c r="L208" s="4">
        <v>38.3055825</v>
      </c>
      <c r="M208" s="4">
        <v>346.54107619579457</v>
      </c>
      <c r="N208" s="4">
        <v>0.77462424267364405</v>
      </c>
      <c r="O208" s="1" t="str">
        <f>HYPERLINK(".\sm_car_250206_2041\sm_car_250206_2041_207_Ca171TrN_MaRDP_ode23t_1.png","figure")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1327</v>
      </c>
      <c r="L209" s="4">
        <v>18.9506017</v>
      </c>
      <c r="M209" s="4">
        <v>142.02142980174008</v>
      </c>
      <c r="N209" s="4">
        <v>3.7321352363797515E-2</v>
      </c>
      <c r="O209" s="1" t="str">
        <f>HYPERLINK(".\sm_car_250206_2041\sm_car_250206_2041_208_Ca172TrN_MaRDP_ode23t_1.png","figure")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1475</v>
      </c>
      <c r="L210" s="4">
        <v>32.395872500000003</v>
      </c>
      <c r="M210" s="4">
        <v>371.05849440621427</v>
      </c>
      <c r="N210" s="4">
        <v>0.80071148959293315</v>
      </c>
      <c r="O210" s="1" t="str">
        <f>HYPERLINK(".\sm_car_250206_2041\sm_car_250206_2041_209_Ca139TrN_MaZPL_ode23t_1.png","figure")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2125</v>
      </c>
      <c r="L211" s="4">
        <v>16.752563500000001</v>
      </c>
      <c r="M211" s="4">
        <v>397.52510994230084</v>
      </c>
      <c r="N211" s="4">
        <v>0.33444882343834759</v>
      </c>
      <c r="O211" s="1" t="str">
        <f>HYPERLINK(".\sm_car_250206_2041\sm_car_250206_2041_210_Ca165TrN_MaZPL_ode23t_1.png","figure")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1458</v>
      </c>
      <c r="L212" s="4">
        <v>38.495431000000004</v>
      </c>
      <c r="M212" s="4">
        <v>370.6274374865136</v>
      </c>
      <c r="N212" s="4">
        <v>0.84269799911112919</v>
      </c>
      <c r="O212" s="1" t="str">
        <f>HYPERLINK(".\sm_car_250206_2041\sm_car_250206_2041_211_Ca171TrN_MaZPL_ode23t_1.png","figure")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515</v>
      </c>
      <c r="L213" s="4">
        <v>6.9075316000000004</v>
      </c>
      <c r="M213" s="4">
        <v>378.17175522328199</v>
      </c>
      <c r="N213" s="4">
        <v>0.3218364930673957</v>
      </c>
      <c r="O213" s="1" t="str">
        <f>HYPERLINK(".\sm_car_250206_2041\sm_car_250206_2041_212_Ca165TrN_MaCPL_ode23t_1.png","figure")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467</v>
      </c>
      <c r="L214" s="4">
        <v>4.1884541999999998</v>
      </c>
      <c r="M214" s="4">
        <v>380.7128608420258</v>
      </c>
      <c r="N214" s="4">
        <v>0.3273717666978323</v>
      </c>
      <c r="O214" s="1" t="str">
        <f>HYPERLINK(".\sm_car_250206_2041\sm_car_250206_2041_213_Ca170TrN_MaCPL_ode23t_1.png","figure")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2496</v>
      </c>
      <c r="L215" s="4">
        <v>70.114605100000006</v>
      </c>
      <c r="M215" s="4">
        <v>152.42931888603408</v>
      </c>
      <c r="N215" s="4">
        <v>1.9785899401816489E-3</v>
      </c>
      <c r="O215" s="1" t="str">
        <f>HYPERLINK(".\sm_car_250206_2041\sm_car_250206_2041_214_Ca171TrN_MaRDR_ode23t_1.png","figure")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2913</v>
      </c>
      <c r="L216" s="4">
        <v>47.9987827</v>
      </c>
      <c r="M216" s="4">
        <v>146.51868469726642</v>
      </c>
      <c r="N216" s="4">
        <v>-4.9134635460379075E-3</v>
      </c>
      <c r="O216" s="1" t="str">
        <f>HYPERLINK(".\sm_car_250206_2041\sm_car_250206_2041_215_Ca172TrN_MaRDR_ode23t_1.png","figure")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3050</v>
      </c>
      <c r="L217" s="4">
        <v>62.216165199999999</v>
      </c>
      <c r="M217" s="4">
        <v>176.5396657789027</v>
      </c>
      <c r="N217" s="4">
        <v>8.6994407109135111E-4</v>
      </c>
      <c r="O217" s="1" t="str">
        <f>HYPERLINK(".\sm_car_250206_2041\sm_car_250206_2041_216_Ca139TrN_MaZRR_ode23t_1.png","figure")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3547</v>
      </c>
      <c r="L218" s="4">
        <v>37.803032199999997</v>
      </c>
      <c r="M218" s="4">
        <v>176.81721221980365</v>
      </c>
      <c r="N218" s="4">
        <v>8.1799708173457546E-5</v>
      </c>
      <c r="O218" s="1" t="str">
        <f>HYPERLINK(".\sm_car_250206_2041\sm_car_250206_2041_217_Ca165TrN_MaZRR_ode23t_1.png","figure")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3023</v>
      </c>
      <c r="L219" s="4">
        <v>87.393472299999999</v>
      </c>
      <c r="M219" s="4">
        <v>176.54704628803105</v>
      </c>
      <c r="N219" s="4">
        <v>8.8584708801940626E-4</v>
      </c>
      <c r="O219" s="1" t="str">
        <f>HYPERLINK(".\sm_car_250206_2041\sm_car_250206_2041_218_Ca171TrN_MaZRR_ode23t_1.png","figure")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5141</v>
      </c>
      <c r="L220" s="4">
        <v>32.928095300000003</v>
      </c>
      <c r="M220" s="4">
        <v>-5.9999994659865834</v>
      </c>
      <c r="N220" s="4">
        <v>3.7014635726593513E-3</v>
      </c>
      <c r="O220" s="1" t="str">
        <f>HYPERLINK(".\sm_car_250206_2041\sm_car_250206_2041_219_Ca170TrN_MaCMP_ode23t_1.png","figure")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1807</v>
      </c>
      <c r="L221" s="4">
        <v>20.9919555</v>
      </c>
      <c r="M221" s="4">
        <v>-5.9999994811497812</v>
      </c>
      <c r="N221" s="4">
        <v>3.5963195672124226E-3</v>
      </c>
      <c r="O221" s="1" t="str">
        <f>HYPERLINK(".\sm_car_250206_2041\sm_car_250206_2041_220_Ca170TrN_MaCMF_ode23t_1.png","figure")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4576</v>
      </c>
      <c r="L222" s="4">
        <v>69.993974499999993</v>
      </c>
      <c r="M222" s="4">
        <v>-329.46019261165731</v>
      </c>
      <c r="N222" s="4">
        <v>5.9335066428054537</v>
      </c>
      <c r="O222" s="1" t="str">
        <f>HYPERLINK(".\sm_car_250206_2041\sm_car_250206_2041_221_Ca170TrN_MaMPO_ode23t_1.png","figure")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1111</v>
      </c>
      <c r="L223" s="4">
        <v>17.847862800000001</v>
      </c>
      <c r="M223" s="4">
        <v>-13.988019409546567</v>
      </c>
      <c r="N223" s="4">
        <v>0.15552899997854297</v>
      </c>
      <c r="O223" s="1" t="str">
        <f>HYPERLINK(".\sm_car_250206_2041\sm_car_250206_2041_222_Ca170TrN_MaMCI_ode23t_1.png","figure")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5975</v>
      </c>
      <c r="L224" s="4">
        <v>38.472654300000002</v>
      </c>
      <c r="M224" s="4">
        <v>-6.0000031398619793</v>
      </c>
      <c r="N224" s="4">
        <v>-3.726073663337535E-3</v>
      </c>
      <c r="O224" s="1" t="str">
        <f>HYPERLINK(".\sm_car_250206_2041\sm_car_250206_2041_223_Ca170TrN_MaCHO_ode23t_1.png","figure")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3423</v>
      </c>
      <c r="L225" s="4">
        <v>39.2024337</v>
      </c>
      <c r="M225" s="4">
        <v>-6.0000034906751374</v>
      </c>
      <c r="N225" s="4">
        <v>-4.1423768419273756E-3</v>
      </c>
      <c r="O225" s="1" t="str">
        <f>HYPERLINK(".\sm_car_250206_2041\sm_car_250206_2041_224_Ca170TrN_MaCHF_ode23t_1.png","figure")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7148</v>
      </c>
      <c r="L226" s="4">
        <v>52.9437797</v>
      </c>
      <c r="M226" s="4">
        <v>-751.70687579937248</v>
      </c>
      <c r="N226" s="4">
        <v>628.18055798978105</v>
      </c>
      <c r="O226" s="1" t="str">
        <f>HYPERLINK(".\sm_car_250206_2041\sm_car_250206_2041_225_Ca170TrN_MaCKY_ode23t_1.png","figure")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2232</v>
      </c>
      <c r="L227" s="4">
        <v>28.637817600000002</v>
      </c>
      <c r="M227" s="4">
        <v>-758.34996246345406</v>
      </c>
      <c r="N227" s="4">
        <v>632.50011512235767</v>
      </c>
      <c r="O227" s="1" t="str">
        <f>HYPERLINK(".\sm_car_250206_2041\sm_car_250206_2041_226_Ca170TrN_MaCKF_ode23t_1.png","figure")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2792</v>
      </c>
      <c r="L228" s="4">
        <v>28.5055972</v>
      </c>
      <c r="M228" s="4">
        <v>177.27832855885163</v>
      </c>
      <c r="N228" s="4">
        <v>288.12665340615126</v>
      </c>
      <c r="O228" s="1" t="str">
        <f>HYPERLINK(".\sm_car_250206_2041\sm_car_250206_2041_227_Ca170TrN_MaCNN_ode23t_1.png","figure")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4555</v>
      </c>
      <c r="L229" s="4">
        <v>121.3148817</v>
      </c>
      <c r="M229" s="4">
        <v>2996.1869870578871</v>
      </c>
      <c r="N229" s="4">
        <v>-3063.5974011697972</v>
      </c>
      <c r="O229" s="1" t="str">
        <f>HYPERLINK(".\sm_car_250206_2041\sm_car_250206_2041_228_Ca170TrN_MaCNF_ode23t_1.png","figure")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2941</v>
      </c>
      <c r="L230" s="4">
        <v>26.150441300000001</v>
      </c>
      <c r="M230" s="4">
        <v>522.32815807928841</v>
      </c>
      <c r="N230" s="4">
        <v>-164.25202399960114</v>
      </c>
      <c r="O230" s="1" t="str">
        <f>HYPERLINK(".\sm_car_250206_2041\sm_car_250206_2041_229_Ca170TrN_MaCSZ_ode23t_1.png","figure")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5663</v>
      </c>
      <c r="L231" s="4">
        <v>161.76368769999999</v>
      </c>
      <c r="M231" s="4">
        <v>-8.9703776069949068</v>
      </c>
      <c r="N231" s="4">
        <v>1.1085152554071573E-2</v>
      </c>
      <c r="O231" s="1" t="str">
        <f>HYPERLINK(".\sm_car_250206_2041\sm_car_250206_2041_230_Ca170TrN_MaCSF_ode23t_1.png","figure")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2158</v>
      </c>
      <c r="L232" s="4">
        <v>25.216769599999999</v>
      </c>
      <c r="M232" s="4">
        <v>208.94476740207006</v>
      </c>
      <c r="N232" s="4">
        <v>379.21997760876752</v>
      </c>
      <c r="O232" s="1" t="str">
        <f>HYPERLINK(".\sm_car_250206_2041\sm_car_250206_2041_231_Ca170TrN_MaCPU_ode23t_1.png","figure")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2710</v>
      </c>
      <c r="L233" s="4">
        <v>40.511178100000002</v>
      </c>
      <c r="M233" s="4">
        <v>195.27478355011044</v>
      </c>
      <c r="N233" s="4">
        <v>-134.09910961643254</v>
      </c>
      <c r="O233" s="1" t="str">
        <f>HYPERLINK(".\sm_car_250206_2041\sm_car_250206_2041_232_Ca170TrN_MaCPD_ode23t_1.png","figure")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1771</v>
      </c>
      <c r="L234" s="4">
        <v>8.6249541999999995</v>
      </c>
      <c r="M234" s="4">
        <v>-5.9999994708619289</v>
      </c>
      <c r="N234" s="4">
        <v>3.667534728363358E-3</v>
      </c>
      <c r="O234" s="1" t="str">
        <f>HYPERLINK(".\sm_car_250206_2041\sm_car_250206_2041_233_Ca202TrN_MaCMF_ode23t_1.png","figure")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4362</v>
      </c>
      <c r="L235" s="4">
        <v>41.044940699999998</v>
      </c>
      <c r="M235" s="4">
        <v>-329.5018579296725</v>
      </c>
      <c r="N235" s="4">
        <v>6.0426048996224386</v>
      </c>
      <c r="O235" s="1" t="str">
        <f>HYPERLINK(".\sm_car_250206_2041\sm_car_250206_2041_234_Ca202TrN_MaMPO_ode23t_1.png","figure")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1106</v>
      </c>
      <c r="L236" s="4">
        <v>11.289813199999999</v>
      </c>
      <c r="M236" s="4">
        <v>-13.989825618939257</v>
      </c>
      <c r="N236" s="4">
        <v>0.15482335560170668</v>
      </c>
      <c r="O236" s="1" t="str">
        <f>HYPERLINK(".\sm_car_250206_2041\sm_car_250206_2041_235_Ca202TrN_MaMCI_ode23t_1.png","figure")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3692</v>
      </c>
      <c r="L237" s="4">
        <v>21.1809555</v>
      </c>
      <c r="M237" s="4">
        <v>-5.999990712663358</v>
      </c>
      <c r="N237" s="4">
        <v>-7.1366328200655662E-3</v>
      </c>
      <c r="O237" s="1" t="str">
        <f>HYPERLINK(".\sm_car_250206_2041\sm_car_250206_2041_236_Ca202TrN_MaCKF_ode23t_1.png","figure")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10282</v>
      </c>
      <c r="L238" s="4">
        <v>192.84453600000001</v>
      </c>
      <c r="M238" s="4">
        <v>-8.9997847515307683</v>
      </c>
      <c r="N238" s="4">
        <v>5.1152491085645589E-2</v>
      </c>
      <c r="O238" s="1" t="str">
        <f>HYPERLINK(".\sm_car_250206_2041\sm_car_250206_2041_237_Ca202TrN_MaCNF_ode23t_1.png","figure")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5488</v>
      </c>
      <c r="L239" s="4">
        <v>93.485598999999993</v>
      </c>
      <c r="M239" s="4">
        <v>-8.9633990595600093</v>
      </c>
      <c r="N239" s="4">
        <v>1.1053784818688408E-2</v>
      </c>
      <c r="O239" s="1" t="str">
        <f>HYPERLINK(".\sm_car_250206_2041\sm_car_250206_2041_238_Ca202TrN_MaCSF_ode23t_1.png","figure")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5415</v>
      </c>
      <c r="L240" s="4">
        <v>34.052493200000001</v>
      </c>
      <c r="M240" s="4">
        <v>-5.9999994613199563</v>
      </c>
      <c r="N240" s="4">
        <v>3.7337138351867362E-3</v>
      </c>
      <c r="O240" s="1" t="str">
        <f>HYPERLINK(".\sm_car_250206_2041\sm_car_250206_2041_239_Ca202TrN_MaCMP_ode23t_1.png","figure")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15001</v>
      </c>
      <c r="L241" s="4">
        <v>98.5214505</v>
      </c>
      <c r="M241" s="4">
        <v>-5.9999884602655076</v>
      </c>
      <c r="N241" s="4">
        <v>-8.8673928639248986E-3</v>
      </c>
      <c r="O241" s="1" t="str">
        <f>HYPERLINK(".\sm_car_250206_2041\sm_car_250206_2041_240_Ca202TrN_MaCKY_ode23t_1.png","figure")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449</v>
      </c>
      <c r="L242" s="4">
        <v>4.0028170999999997</v>
      </c>
      <c r="M242" s="4">
        <v>382.01010181410669</v>
      </c>
      <c r="N242" s="4">
        <v>0.33011250771322009</v>
      </c>
      <c r="O242" s="1" t="str">
        <f>HYPERLINK(".\sm_car_250206_2041\sm_car_250206_2041_241_Ca202TrN_MaCPL_ode23t_1.png","figure")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2737</v>
      </c>
      <c r="L243" s="4">
        <v>76.483970200000002</v>
      </c>
      <c r="M243" s="4">
        <v>176.34385763459147</v>
      </c>
      <c r="N243" s="4">
        <v>7.3913689748047301E-4</v>
      </c>
      <c r="O243" s="1" t="str">
        <f>HYPERLINK(".\sm_car_250206_2041\sm_car_250206_2041_242_Ca140TrN_MaCRR_ode23t_1.png","figure")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3451</v>
      </c>
      <c r="L244" s="4">
        <v>73.6282365</v>
      </c>
      <c r="M244" s="4">
        <v>176.40476016139272</v>
      </c>
      <c r="N244" s="4">
        <v>7.8896793593799031E-4</v>
      </c>
      <c r="O244" s="1" t="str">
        <f>HYPERLINK(".\sm_car_250206_2041\sm_car_250206_2041_243_Ca189TrN_MaCRR_ode23t_1.png","figure")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10628</v>
      </c>
      <c r="L245" s="4">
        <v>192.8362027</v>
      </c>
      <c r="M245" s="4">
        <v>208.80846311122127</v>
      </c>
      <c r="N245" s="4">
        <v>-0.7708947516660114</v>
      </c>
      <c r="O245" s="1" t="str">
        <f>HYPERLINK(".\sm_car_250206_2041\sm_car_250206_2041_244_Ca189TrN_MaGSU_ode23t_1.png","figure")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1575</v>
      </c>
      <c r="L246" s="4">
        <v>103.7432204</v>
      </c>
      <c r="M246" s="4">
        <v>51.300643852883454</v>
      </c>
      <c r="N246" s="4">
        <v>9.0092040400757412E-3</v>
      </c>
      <c r="O246" s="1" t="str">
        <f>HYPERLINK(".\sm_car_250206_2041\sm_car_250206_2041_245_Ca173TrN_MaDCA_daessc_1.png","figure")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4074</v>
      </c>
      <c r="L247" s="4">
        <v>167.54584149999999</v>
      </c>
      <c r="M247" s="4">
        <v>980.46987814058627</v>
      </c>
      <c r="N247" s="4">
        <v>0.72224145841945364</v>
      </c>
      <c r="O247" s="1" t="str">
        <f>HYPERLINK(".\sm_car_250206_2041\sm_car_250206_2041_246_Ca173TrN_MaDC1_daessc_1.png","figure")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329</v>
      </c>
      <c r="L248" s="4">
        <v>4.5842432999999998</v>
      </c>
      <c r="M248" s="4">
        <v>53.508195494883061</v>
      </c>
      <c r="N248" s="4">
        <v>1.0155685109871582E-2</v>
      </c>
      <c r="O248" s="1" t="str">
        <f>HYPERLINK(".\sm_car_250206_2041\sm_car_250206_2041_247_Ca165TrN_MaDCA_ode23t_1.png","figure")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1202</v>
      </c>
      <c r="L249" s="4">
        <v>11.560408000000001</v>
      </c>
      <c r="M249" s="4">
        <v>992.65423170336271</v>
      </c>
      <c r="N249" s="4">
        <v>0.80703257537742201</v>
      </c>
      <c r="O249" s="1" t="str">
        <f>HYPERLINK(".\sm_car_250206_2041\sm_car_250206_2041_248_Ca165TrN_MaDC1_ode23t_1.png","figure")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4116</v>
      </c>
      <c r="L250" s="4">
        <v>88.463627200000005</v>
      </c>
      <c r="M250" s="4">
        <v>980.46365822727137</v>
      </c>
      <c r="N250" s="4">
        <v>0.72247252449797206</v>
      </c>
      <c r="O250" s="1" t="str">
        <f>HYPERLINK(".\sm_car_250206_2041\sm_car_250206_2041_249_Ca196TrN_MaDC1_daessc_1.png","figure")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500</v>
      </c>
      <c r="L251" s="4">
        <v>8.0897109999999994</v>
      </c>
      <c r="M251" s="4">
        <v>147.84746046080457</v>
      </c>
      <c r="N251" s="4">
        <v>9.4963825026777804E-2</v>
      </c>
      <c r="O251" s="1" t="str">
        <f>HYPERLINK(".\sm_car_250206_2041\sm_car_250206_2041_250_Ca179TrN_MaWOT_ode23t_1.png","figure")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 s="4">
        <v>9.8923895000000002</v>
      </c>
      <c r="M252" s="4">
        <v>147.86505593283817</v>
      </c>
      <c r="N252" s="4">
        <v>9.4534446320888296E-2</v>
      </c>
      <c r="O252" s="1" t="str">
        <f>HYPERLINK(".\sm_car_250206_2041\sm_car_250206_2041_251_Ca180TrN_MaWOT_ode23t_1.png","figure")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461</v>
      </c>
      <c r="L253" s="4">
        <v>3.0403137999999998</v>
      </c>
      <c r="M253" s="4">
        <v>147.86099140047705</v>
      </c>
      <c r="N253" s="4">
        <v>9.453819687776123E-2</v>
      </c>
      <c r="O253" s="1" t="str">
        <f>HYPERLINK(".\sm_car_250206_2041\sm_car_250206_2041_252_Ca197TrN_MaWOT_ode23t_1.png","figure")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18.690010699999998</v>
      </c>
      <c r="M254" s="4">
        <v>63.170402740877307</v>
      </c>
      <c r="N254" s="4">
        <v>-25.339355432324108</v>
      </c>
      <c r="O254" s="1" t="str">
        <f>HYPERLINK(".\sm_car_250206_2041\sm_car_250206_2041_253_Ca182TrN_MaTUR_ode23t_1.png","figure")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 s="4">
        <v>7.1527292999999998</v>
      </c>
      <c r="M255" s="4">
        <v>63.138233776362142</v>
      </c>
      <c r="N255" s="4">
        <v>-25.32535124567821</v>
      </c>
      <c r="O255" s="1" t="str">
        <f>HYPERLINK(".\sm_car_250206_2041\sm_car_250206_2041_254_Ca203TrN_MaTUR_ode23t_1.png","figure")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516</v>
      </c>
      <c r="L256" s="4">
        <v>32.5833978</v>
      </c>
      <c r="M256" s="4">
        <v>114.15551505643933</v>
      </c>
      <c r="N256" s="4">
        <v>-80.774676918131249</v>
      </c>
      <c r="O256" s="1" t="str">
        <f>HYPERLINK(".\sm_car_250206_2041\sm_car_250206_2041_255_Ca185TrN_MaTUR_ode23t_1.png","figure")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549</v>
      </c>
      <c r="L257" s="4">
        <v>11.0285861</v>
      </c>
      <c r="M257" s="4">
        <v>140.64269177641691</v>
      </c>
      <c r="N257" s="4">
        <v>-71.770608037448014</v>
      </c>
      <c r="O257" s="1" t="str">
        <f>HYPERLINK(".\sm_car_250206_2041\sm_car_250206_2041_256_Ca188TrN_MaTUR_ode23t_1.png","figure")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 s="4">
        <v>20.968152199999999</v>
      </c>
      <c r="M258" s="4">
        <v>79.191327424578944</v>
      </c>
      <c r="N258" s="4">
        <v>-0.33364403886283883</v>
      </c>
      <c r="O258" s="1" t="str">
        <f>HYPERLINK(".\sm_car_250206_2041\sm_car_Axle3_250206_2041_257_CaAxle3_000TrN_MaWOT_ode23t_1.png","figure")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21.428241400000001</v>
      </c>
      <c r="M259" s="4">
        <v>69.133372940784071</v>
      </c>
      <c r="N259" s="4">
        <v>8.3860847378028749E-2</v>
      </c>
      <c r="O259" s="1" t="str">
        <f>HYPERLINK(".\sm_car_250206_2041\sm_car_Axle3_250206_2041_258_CaAxle3_008TrN_MaWOT_ode23t_1.png","figure")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419</v>
      </c>
      <c r="L260" s="4">
        <v>16.320561399999999</v>
      </c>
      <c r="M260" s="4">
        <v>79.21847757950583</v>
      </c>
      <c r="N260" s="4">
        <v>-0.31293150515290025</v>
      </c>
      <c r="O260" s="1" t="str">
        <f>HYPERLINK(".\sm_car_250206_2041\sm_car_Axle3_250206_2041_259_CaAxle3_003TrN_MaWOT_ode23t_1.png","figure")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446</v>
      </c>
      <c r="L261" s="4">
        <v>3.0126624</v>
      </c>
      <c r="M261" s="4">
        <v>80.153764493054638</v>
      </c>
      <c r="N261" s="4">
        <v>-0.31969993301800259</v>
      </c>
      <c r="O261" s="1" t="str">
        <f>HYPERLINK(".\sm_car_250206_2041\sm_car_Axle3_250206_2041_260_CaAxle3_017TrN_MaWOT_ode23t_1.png","figure")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40.006273899999997</v>
      </c>
      <c r="M262" s="4">
        <v>23.326591154260509</v>
      </c>
      <c r="N262" s="4">
        <v>2.4825691196431639E-3</v>
      </c>
      <c r="O262" s="1" t="str">
        <f>HYPERLINK(".\sm_car_250206_2041\sm_car_Axle3_250206_2041_261_CaAxle3_010TrK_MaWOT_ode23t_1.png","figure")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41.070159400000001</v>
      </c>
      <c r="M263" s="4">
        <v>23.441152687124056</v>
      </c>
      <c r="N263" s="4">
        <v>2.5318358314709612E-3</v>
      </c>
      <c r="O263" s="1" t="str">
        <f>HYPERLINK(".\sm_car_250206_2041\sm_car_Axle3_250206_2041_262_CaAxle3_010TrK_MaWOT_ode23t_1.png","figure")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 s="4">
        <v>3.4666293000000001</v>
      </c>
      <c r="M264" s="4">
        <v>26.913958990499282</v>
      </c>
      <c r="N264" s="4">
        <v>3.6183864110100536E-3</v>
      </c>
      <c r="O264" s="1" t="str">
        <f>HYPERLINK(".\sm_car_250206_2041\sm_car_Axle3_250206_2041_263_CaAxle3_019TrK_MaWOT_ode23t_1.png","figure")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3.4048942000000002</v>
      </c>
      <c r="M265" s="4">
        <v>26.904152377674187</v>
      </c>
      <c r="N265" s="4">
        <v>3.6114656021636327E-3</v>
      </c>
      <c r="O265" s="1" t="str">
        <f>HYPERLINK(".\sm_car_250206_2041\sm_car_Axle3_250206_2041_264_CaAxle3_019TrK_MaWOT_ode23t_1.png","figure")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631</v>
      </c>
      <c r="L266" s="4">
        <v>27.982595</v>
      </c>
      <c r="M266" s="4">
        <v>253.85092008552175</v>
      </c>
      <c r="N266" s="4">
        <v>-0.10243824047078132</v>
      </c>
      <c r="O266" s="1" t="str">
        <f>HYPERLINK(".\sm_car_250206_2041\sm_car_Axle3_250206_2041_265_CaAxle3_012TrK_MaDLC_ode23t_1.png","figure")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723</v>
      </c>
      <c r="L267" s="4">
        <v>31.730193199999999</v>
      </c>
      <c r="M267" s="4">
        <v>254.49094810935463</v>
      </c>
      <c r="N267" s="4">
        <v>-0.1017975034102907</v>
      </c>
      <c r="O267" s="1" t="str">
        <f>HYPERLINK(".\sm_car_250206_2041\sm_car_Axle3_250206_2041_266_CaAxle3_012TrK_MaDLC_ode23t_1.png","figure")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621</v>
      </c>
      <c r="L268" s="4">
        <v>28.766607799999999</v>
      </c>
      <c r="M268" s="4">
        <v>254.30237916630597</v>
      </c>
      <c r="N268" s="4">
        <v>-0.10295107353296284</v>
      </c>
      <c r="O268" s="1" t="str">
        <f>HYPERLINK(".\sm_car_250206_2041\sm_car_Axle3_250206_2041_267_CaAxle3_012TrK_MaDLC_ode23t_1.png","figure")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890</v>
      </c>
      <c r="L269" s="4">
        <v>32.206355899999998</v>
      </c>
      <c r="M269" s="4">
        <v>253.25168084154552</v>
      </c>
      <c r="N269" s="4">
        <v>-9.1923930925139175E-2</v>
      </c>
      <c r="O269" s="1" t="str">
        <f>HYPERLINK(".\sm_car_250206_2041\sm_car_Axle3_250206_2041_268_CaAxle3_012TrK_MaDLC_ode23t_1.png","figure")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C52F-69AE-40E4-9575-B4FFF9193917}">
  <dimension ref="A1:R269"/>
  <sheetViews>
    <sheetView workbookViewId="0">
      <selection activeCell="L1" sqref="L1:L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129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>
        <v>10.850955000000001</v>
      </c>
      <c r="M2">
        <v>233.79053871522763</v>
      </c>
      <c r="N2">
        <v>8.5166174716322686E-3</v>
      </c>
      <c r="O2" s="1" t="str">
        <f>HYPERLINK(".\sm_car_250207_0944\sm_car_250207_0944_001_Ca000TrN_MaWOT_ode23t.png","figure")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>
        <v>12.2377132</v>
      </c>
      <c r="M3">
        <v>71.998953347170115</v>
      </c>
      <c r="N3">
        <v>-0.55205888211535659</v>
      </c>
      <c r="O3" s="1" t="str">
        <f>HYPERLINK(".\sm_car_250207_0944\sm_car_250207_0944_002_Ca000TrN_MaLSS_ode23t.png","figure")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>
        <v>13.4900299</v>
      </c>
      <c r="M4">
        <v>232.8695985609981</v>
      </c>
      <c r="N4">
        <v>-2.8266789140661322E-3</v>
      </c>
      <c r="O4" s="1" t="str">
        <f>HYPERLINK(".\sm_car_250207_0944\sm_car_250207_0944_003_Ca001TrN_MaWOT_ode23t.png","figure")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>
        <v>14.520382</v>
      </c>
      <c r="M5">
        <v>71.690935212696928</v>
      </c>
      <c r="N5">
        <v>-0.54557020050784599</v>
      </c>
      <c r="O5" s="1" t="str">
        <f>HYPERLINK(".\sm_car_250207_0944\sm_car_250207_0944_004_Ca001TrN_MaLSS_ode23t.png","figure")</f>
        <v>figure</v>
      </c>
      <c r="P5" t="s">
        <v>15</v>
      </c>
      <c r="R5" t="s">
        <v>130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428</v>
      </c>
      <c r="L6">
        <v>15.9918256</v>
      </c>
      <c r="M6">
        <v>232.88667538292597</v>
      </c>
      <c r="N6">
        <v>6.6982036040531379E-2</v>
      </c>
      <c r="O6" s="1" t="str">
        <f>HYPERLINK(".\sm_car_250207_0944\sm_car_250207_0944_005_Ca002TrN_MaWOT_ode23t.png","figure")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540</v>
      </c>
      <c r="L7">
        <v>19.276278399999999</v>
      </c>
      <c r="M7">
        <v>71.691781506514147</v>
      </c>
      <c r="N7">
        <v>-0.5442576383304677</v>
      </c>
      <c r="O7" s="1" t="str">
        <f>HYPERLINK(".\sm_car_250207_0944\sm_car_250207_0944_006_Ca002TrN_MaLSS_ode23t.png","figure")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471</v>
      </c>
      <c r="L8">
        <v>19.2514006</v>
      </c>
      <c r="M8">
        <v>232.2105058796254</v>
      </c>
      <c r="N8">
        <v>6.6276324164008832E-2</v>
      </c>
      <c r="O8" s="1" t="str">
        <f>HYPERLINK(".\sm_car_250207_0944\sm_car_250207_0944_007_Ca003TrN_MaWOT_ode23t.png","figure")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546</v>
      </c>
      <c r="L9">
        <v>18.4890051</v>
      </c>
      <c r="M9">
        <v>71.552329343266166</v>
      </c>
      <c r="N9">
        <v>-0.53637097919619514</v>
      </c>
      <c r="O9" s="1" t="str">
        <f>HYPERLINK(".\sm_car_250207_0944\sm_car_250207_0944_008_Ca003TrN_MaLSS_ode23t.png","figure")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>
        <v>19.664640500000001</v>
      </c>
      <c r="M10">
        <v>233.68780712455009</v>
      </c>
      <c r="N10">
        <v>9.3239494886280059E-3</v>
      </c>
      <c r="O10" s="1" t="str">
        <f>HYPERLINK(".\sm_car_250207_0944\sm_car_250207_0944_009_Ca004TrN_MaWOT_ode23t.png","figure")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>
        <v>21.4810464</v>
      </c>
      <c r="M11">
        <v>71.990938634393132</v>
      </c>
      <c r="N11">
        <v>-0.55294633300084961</v>
      </c>
      <c r="O11" s="1" t="str">
        <f>HYPERLINK(".\sm_car_250207_0944\sm_car_250207_0944_010_Ca004TrN_MaLSS_ode23t.png","figure")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>
        <v>21.5998722</v>
      </c>
      <c r="M12">
        <v>232.65399751504947</v>
      </c>
      <c r="N12">
        <v>1.1935054036319925E-3</v>
      </c>
      <c r="O12" s="1" t="str">
        <f>HYPERLINK(".\sm_car_250207_0944\sm_car_250207_0944_011_Ca005TrN_MaWOT_ode23t.png","figure")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>
        <v>24.298393999999998</v>
      </c>
      <c r="M13">
        <v>71.709383827437776</v>
      </c>
      <c r="N13">
        <v>-0.54969866509088439</v>
      </c>
      <c r="O13" s="1" t="str">
        <f>HYPERLINK(".\sm_car_250207_0944\sm_car_250207_0944_012_Ca005TrN_MaLSS_ode23t.png","figure")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1214</v>
      </c>
      <c r="L14">
        <v>27.7856253</v>
      </c>
      <c r="M14">
        <v>232.75373783441134</v>
      </c>
      <c r="N14">
        <v>6.7236042890736633E-2</v>
      </c>
      <c r="O14" s="1" t="str">
        <f>HYPERLINK(".\sm_car_250207_0944\sm_car_250207_0944_013_Ca006TrN_MaWOT_ode23t.png","figure")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1279</v>
      </c>
      <c r="L15">
        <v>26.157011399999998</v>
      </c>
      <c r="M15">
        <v>71.687524762990535</v>
      </c>
      <c r="N15">
        <v>-0.54471825560044118</v>
      </c>
      <c r="O15" s="1" t="str">
        <f>HYPERLINK(".\sm_car_250207_0944\sm_car_250207_0944_014_Ca006TrN_MaLSS_ode23t.png","figure")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1192</v>
      </c>
      <c r="L16">
        <v>28.464791399999999</v>
      </c>
      <c r="M16">
        <v>232.43231411350911</v>
      </c>
      <c r="N16">
        <v>6.4898917002076659E-2</v>
      </c>
      <c r="O16" s="1" t="str">
        <f>HYPERLINK(".\sm_car_250207_0944\sm_car_250207_0944_015_Ca007TrN_MaWOT_ode23t.png","figure")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1288</v>
      </c>
      <c r="L17">
        <v>26.411062399999999</v>
      </c>
      <c r="M17">
        <v>71.567741189836781</v>
      </c>
      <c r="N17">
        <v>-0.54015159517993483</v>
      </c>
      <c r="O17" s="1" t="str">
        <f>HYPERLINK(".\sm_car_250207_0944\sm_car_250207_0944_016_Ca007TrN_MaLSS_ode23t.png","figure")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>
        <v>9.4355226000000005</v>
      </c>
      <c r="M18">
        <v>234.41682999512</v>
      </c>
      <c r="N18">
        <v>-7.2878906682592337E-2</v>
      </c>
      <c r="O18" s="1" t="str">
        <f>HYPERLINK(".\sm_car_250207_0944\sm_car_250207_0944_017_Ca016TrN_MaWOT_ode23t.png","figure")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>
        <v>9.4302893000000001</v>
      </c>
      <c r="M19">
        <v>72.261290113895086</v>
      </c>
      <c r="N19">
        <v>-2.1482782123695796E-2</v>
      </c>
      <c r="O19" s="1" t="str">
        <f>HYPERLINK(".\sm_car_250207_0944\sm_car_250207_0944_018_Ca016TrN_MaLSS_ode23t.png","figure")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>
        <v>12.821671500000001</v>
      </c>
      <c r="M20">
        <v>233.82224604929445</v>
      </c>
      <c r="N20">
        <v>1.9808031039209188E-2</v>
      </c>
      <c r="O20" s="1" t="str">
        <f>HYPERLINK(".\sm_car_250207_0944\sm_car_250207_0944_019_Ca032TrN_MaWOT_ode23t.png","figure")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>
        <v>14.7486139</v>
      </c>
      <c r="M21">
        <v>71.991559845477411</v>
      </c>
      <c r="N21">
        <v>-0.53381183146908617</v>
      </c>
      <c r="O21" s="1" t="str">
        <f>HYPERLINK(".\sm_car_250207_0944\sm_car_250207_0944_020_Ca032TrN_MaLSS_ode23t.png","figure")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>
        <v>13.175632200000001</v>
      </c>
      <c r="M22">
        <v>233.79023873360038</v>
      </c>
      <c r="N22">
        <v>-4.3287235390389294E-3</v>
      </c>
      <c r="O22" s="1" t="str">
        <f>HYPERLINK(".\sm_car_250207_0944\sm_car_250207_0944_021_Ca048TrN_MaWOT_ode23t.png","figure")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>
        <v>14.377313300000001</v>
      </c>
      <c r="M23">
        <v>71.996472549669079</v>
      </c>
      <c r="N23">
        <v>-0.53930412243158932</v>
      </c>
      <c r="O23" s="1" t="str">
        <f>HYPERLINK(".\sm_car_250207_0944\sm_car_250207_0944_022_Ca048TrN_MaLSS_ode23t.png","figure")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>
        <v>12.9826164</v>
      </c>
      <c r="M24">
        <v>233.88731727120779</v>
      </c>
      <c r="N24">
        <v>2.2156052301772415E-2</v>
      </c>
      <c r="O24" s="1" t="str">
        <f>HYPERLINK(".\sm_car_250207_0944\sm_car_250207_0944_023_Ca064TrN_MaWOT_ode23t.png","figure")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>
        <v>14.8149833</v>
      </c>
      <c r="M25">
        <v>72.003110945660254</v>
      </c>
      <c r="N25">
        <v>-0.52832568162436777</v>
      </c>
      <c r="O25" s="1" t="str">
        <f>HYPERLINK(".\sm_car_250207_0944\sm_car_250207_0944_024_Ca064TrN_MaLSS_ode23t.png","figure")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>
        <v>14.0568244</v>
      </c>
      <c r="M26">
        <v>233.82803785826508</v>
      </c>
      <c r="N26">
        <v>-7.5001243469563434E-3</v>
      </c>
      <c r="O26" s="1" t="str">
        <f>HYPERLINK(".\sm_car_250207_0944\sm_car_250207_0944_025_Ca080TrN_MaWOT_ode23t.png","figure")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>
        <v>15.199715899999999</v>
      </c>
      <c r="M27">
        <v>71.986666880207594</v>
      </c>
      <c r="N27">
        <v>-0.53755342228612613</v>
      </c>
      <c r="O27" s="1" t="str">
        <f>HYPERLINK(".\sm_car_250207_0944\sm_car_250207_0944_026_Ca080TrN_MaLSS_ode23t.png","figure")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>
        <v>10.4378229</v>
      </c>
      <c r="M28">
        <v>235.24616491365265</v>
      </c>
      <c r="N28">
        <v>3.1894977017335513E-2</v>
      </c>
      <c r="O28" s="1" t="str">
        <f>HYPERLINK(".\sm_car_250207_0944\sm_car_250207_0944_027_Ca096TrN_MaWOT_ode23t.png","figure")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>
        <v>10.746866600000001</v>
      </c>
      <c r="M29">
        <v>72.51294933219728</v>
      </c>
      <c r="N29">
        <v>-0.54015208307476126</v>
      </c>
      <c r="O29" s="1" t="str">
        <f>HYPERLINK(".\sm_car_250207_0944\sm_car_250207_0944_028_Ca096TrN_MaLSS_ode23t.png","figure")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>
        <v>4.0534148999999999</v>
      </c>
      <c r="M30">
        <v>242.70539930702489</v>
      </c>
      <c r="N30">
        <v>0.23254276639307536</v>
      </c>
      <c r="O30" s="1" t="str">
        <f>HYPERLINK(".\sm_car_250207_0944\sm_car_250207_0944_029_Ca112TrN_MaWOT_ode23t.png","figure")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>
        <v>4.1252664000000001</v>
      </c>
      <c r="M31">
        <v>74.660342536288326</v>
      </c>
      <c r="N31">
        <v>-0.33818976315539567</v>
      </c>
      <c r="O31" s="1" t="str">
        <f>HYPERLINK(".\sm_car_250207_0944\sm_car_250207_0944_030_Ca112TrN_MaLSS_ode23t.png","figure")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>
        <v>4.6892347000000001</v>
      </c>
      <c r="M32">
        <v>241.58891102753998</v>
      </c>
      <c r="N32">
        <v>0.22834243472749641</v>
      </c>
      <c r="O32" s="1" t="str">
        <f>HYPERLINK(".\sm_car_250207_0944\sm_car_250207_0944_031_Ca113TrN_MaWOT_ode23t.png","figure")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>
        <v>5.2132123999999997</v>
      </c>
      <c r="M33">
        <v>74.352237163629994</v>
      </c>
      <c r="N33">
        <v>-0.3341886340916379</v>
      </c>
      <c r="O33" s="1" t="str">
        <f>HYPERLINK(".\sm_car_250207_0944\sm_car_250207_0944_032_Ca113TrN_MaLSS_ode23t.png","figure")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370</v>
      </c>
      <c r="L34">
        <v>5.2901642999999998</v>
      </c>
      <c r="M34">
        <v>241.64919976911483</v>
      </c>
      <c r="N34">
        <v>0.23016956401232419</v>
      </c>
      <c r="O34" s="1" t="str">
        <f>HYPERLINK(".\sm_car_250207_0944\sm_car_250207_0944_033_Ca114TrN_MaWOT_ode23t.png","figure")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477</v>
      </c>
      <c r="L35">
        <v>5.2921395000000002</v>
      </c>
      <c r="M35">
        <v>74.367834277190624</v>
      </c>
      <c r="N35">
        <v>-0.33547535512778792</v>
      </c>
      <c r="O35" s="1" t="str">
        <f>HYPERLINK(".\sm_car_250207_0944\sm_car_250207_0944_034_Ca114TrN_MaLSS_ode23t.png","figure")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391</v>
      </c>
      <c r="L36">
        <v>5.2355197999999996</v>
      </c>
      <c r="M36">
        <v>241.00630039652765</v>
      </c>
      <c r="N36">
        <v>0.22730517838997888</v>
      </c>
      <c r="O36" s="1" t="str">
        <f>HYPERLINK(".\sm_car_250207_0944\sm_car_250207_0944_035_Ca115TrN_MaWOT_ode23t.png","figure")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492</v>
      </c>
      <c r="L37">
        <v>5.4497511999999997</v>
      </c>
      <c r="M37">
        <v>74.212489569931662</v>
      </c>
      <c r="N37">
        <v>-0.33228518859238454</v>
      </c>
      <c r="O37" s="1" t="str">
        <f>HYPERLINK(".\sm_car_250207_0944\sm_car_250207_0944_036_Ca115TrN_MaLSS_ode23t.png","figure")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>
        <v>6.8958142999999996</v>
      </c>
      <c r="M38">
        <v>242.55390172681132</v>
      </c>
      <c r="N38">
        <v>0.23242638729101917</v>
      </c>
      <c r="O38" s="1" t="str">
        <f>HYPERLINK(".\sm_car_250207_0944\sm_car_250207_0944_037_Ca116TrN_MaWOT_ode23t.png","figure")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>
        <v>8.0903746000000005</v>
      </c>
      <c r="M39">
        <v>74.660225279277512</v>
      </c>
      <c r="N39">
        <v>-0.33991363421718063</v>
      </c>
      <c r="O39" s="1" t="str">
        <f>HYPERLINK(".\sm_car_250207_0944\sm_car_250207_0944_038_Ca116TrN_MaLSS_ode23t.png","figure")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>
        <v>8.1129239000000002</v>
      </c>
      <c r="M40">
        <v>241.5105944943486</v>
      </c>
      <c r="N40">
        <v>0.23050765497767506</v>
      </c>
      <c r="O40" s="1" t="str">
        <f>HYPERLINK(".\sm_car_250207_0944\sm_car_250207_0944_039_Ca117TrN_MaWOT_ode23t.png","figure")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>
        <v>9.2178047000000003</v>
      </c>
      <c r="M41">
        <v>74.352188025993414</v>
      </c>
      <c r="N41">
        <v>-0.33609494963958109</v>
      </c>
      <c r="O41" s="1" t="str">
        <f>HYPERLINK(".\sm_car_250207_0944\sm_car_250207_0944_040_Ca117TrN_MaLSS_ode23t.png","figure")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952</v>
      </c>
      <c r="L42">
        <v>8.2910208000000001</v>
      </c>
      <c r="M42">
        <v>241.64048172442267</v>
      </c>
      <c r="N42">
        <v>0.22808817470681522</v>
      </c>
      <c r="O42" s="1" t="str">
        <f>HYPERLINK(".\sm_car_250207_0944\sm_car_250207_0944_041_Ca118TrN_MaWOT_ode23t.png","figure")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1068</v>
      </c>
      <c r="L43">
        <v>9.2818001999999993</v>
      </c>
      <c r="M43">
        <v>74.350708061895375</v>
      </c>
      <c r="N43">
        <v>-0.33791526471913563</v>
      </c>
      <c r="O43" s="1" t="str">
        <f>HYPERLINK(".\sm_car_250207_0944\sm_car_250207_0944_042_Ca118TrN_MaLSS_ode23t.png","figure")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981</v>
      </c>
      <c r="L44">
        <v>8.3087087999999998</v>
      </c>
      <c r="M44">
        <v>240.97234431915265</v>
      </c>
      <c r="N44">
        <v>0.22731558203628582</v>
      </c>
      <c r="O44" s="1" t="str">
        <f>HYPERLINK(".\sm_car_250207_0944\sm_car_250207_0944_043_Ca119TrN_MaWOT_ode23t.png","figure")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1096</v>
      </c>
      <c r="L45">
        <v>9.5710647000000009</v>
      </c>
      <c r="M45">
        <v>74.204454677669787</v>
      </c>
      <c r="N45">
        <v>-0.33463887811267801</v>
      </c>
      <c r="O45" s="1" t="str">
        <f>HYPERLINK(".\sm_car_250207_0944\sm_car_250207_0944_044_Ca119TrN_MaLSS_ode23t.png","figure")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>
        <v>9.5787958</v>
      </c>
      <c r="M46">
        <v>100.58046855105475</v>
      </c>
      <c r="N46">
        <v>-1.4485266037007194E-2</v>
      </c>
      <c r="O46" s="1" t="str">
        <f>HYPERLINK(".\sm_car_250207_0944\sm_car_250207_0944_045_Ca128TrN_MaWOT_ode23t.png","figure")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>
        <v>12.117948500000001</v>
      </c>
      <c r="M47">
        <v>37.246666547884018</v>
      </c>
      <c r="N47">
        <v>-0.13417337469147728</v>
      </c>
      <c r="O47" s="1" t="str">
        <f>HYPERLINK(".\sm_car_250207_0944\sm_car_250207_0944_046_Ca128TrN_MaLSS_ode23t.png","figure")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338</v>
      </c>
      <c r="L48">
        <v>10.4998375</v>
      </c>
      <c r="M48">
        <v>232.68443045902981</v>
      </c>
      <c r="N48">
        <v>7.5190848309313399E-2</v>
      </c>
      <c r="O48" s="1" t="str">
        <f>HYPERLINK(".\sm_car_250207_0944\sm_car_250207_0944_047_Ca129TrN_MaWOT_ode23t.png","figure")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483</v>
      </c>
      <c r="L49">
        <v>14.121977599999999</v>
      </c>
      <c r="M49">
        <v>71.612926544725255</v>
      </c>
      <c r="N49">
        <v>-0.54122224406353103</v>
      </c>
      <c r="O49" s="1" t="str">
        <f>HYPERLINK(".\sm_car_250207_0944\sm_car_250207_0944_048_Ca129TrN_MaLSS_ode23t.png","figure")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>
        <v>40.397944899999999</v>
      </c>
      <c r="M50">
        <v>220.1054077891589</v>
      </c>
      <c r="N50">
        <v>-1.4702553980461026</v>
      </c>
      <c r="O50" s="1" t="str">
        <f>HYPERLINK(".\sm_car_250207_0944\sm_car_250207_0944_049_Ca130TrN_MaWOT_ode23t.png","figure")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>
        <v>36.568560400000003</v>
      </c>
      <c r="M51">
        <v>69.50595249179004</v>
      </c>
      <c r="N51">
        <v>-0.55254574140250667</v>
      </c>
      <c r="O51" s="1" t="str">
        <f>HYPERLINK(".\sm_car_250207_0944\sm_car_250207_0944_050_Ca130TrN_MaLSS_ode23t.png","figure")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>
        <v>7.8955611000000001</v>
      </c>
      <c r="M52">
        <v>232.70617777521358</v>
      </c>
      <c r="N52">
        <v>-2.7264010431169952E-2</v>
      </c>
      <c r="O52" s="1" t="str">
        <f>HYPERLINK(".\sm_car_250207_0944\sm_car_250207_0944_051_Ca131TrN_MaWOT_ode23t.png","figure")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>
        <v>9.3433212999999995</v>
      </c>
      <c r="M53">
        <v>71.701191661071974</v>
      </c>
      <c r="N53">
        <v>-0.55235980680759766</v>
      </c>
      <c r="O53" s="1" t="str">
        <f>HYPERLINK(".\sm_car_250207_0944\sm_car_250207_0944_052_Ca131TrN_MaLSS_ode23t.png","figure")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>
        <v>7.8868912</v>
      </c>
      <c r="M54">
        <v>232.95338509889001</v>
      </c>
      <c r="N54">
        <v>6.0640254540741158E-3</v>
      </c>
      <c r="O54" s="1" t="str">
        <f>HYPERLINK(".\sm_car_250207_0944\sm_car_250207_0944_053_Ca132TrN_MaWOT_ode23t.png","figure")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>
        <v>9.3196294999999996</v>
      </c>
      <c r="M55">
        <v>71.717480099033281</v>
      </c>
      <c r="N55">
        <v>-0.54399503004711469</v>
      </c>
      <c r="O55" s="1" t="str">
        <f>HYPERLINK(".\sm_car_250207_0944\sm_car_250207_0944_054_Ca132TrN_MaLSS_ode23t.png","figure")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>
        <v>7.6690642999999996</v>
      </c>
      <c r="M56">
        <v>232.88532574206934</v>
      </c>
      <c r="N56">
        <v>1.1856956042277462E-3</v>
      </c>
      <c r="O56" s="1" t="str">
        <f>HYPERLINK(".\sm_car_250207_0944\sm_car_250207_0944_055_Ca133TrN_MaWOT_ode23t.png","figure")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>
        <v>9.0548307000000001</v>
      </c>
      <c r="M57">
        <v>71.712448330610542</v>
      </c>
      <c r="N57">
        <v>-0.54358106100229209</v>
      </c>
      <c r="O57" s="1" t="str">
        <f>HYPERLINK(".\sm_car_250207_0944\sm_car_250207_0944_056_Ca133TrN_MaLSS_ode23t.png","figure")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>
        <v>7.7822905000000002</v>
      </c>
      <c r="M58">
        <v>232.8107119905568</v>
      </c>
      <c r="N58">
        <v>2.1149404455813314E-3</v>
      </c>
      <c r="O58" s="1" t="str">
        <f>HYPERLINK(".\sm_car_250207_0944\sm_car_250207_0944_057_Ca134TrN_MaWOT_ode23t.png","figure")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>
        <v>9.4823644999999992</v>
      </c>
      <c r="M59">
        <v>71.713926091272867</v>
      </c>
      <c r="N59">
        <v>-0.54331770582094852</v>
      </c>
      <c r="O59" s="1" t="str">
        <f>HYPERLINK(".\sm_car_250207_0944\sm_car_250207_0944_058_Ca134TrN_MaLSS_ode23t.png","figure")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>
        <v>7.7108901999999997</v>
      </c>
      <c r="M60">
        <v>232.77203216616115</v>
      </c>
      <c r="N60">
        <v>1.6766223703461307E-3</v>
      </c>
      <c r="O60" s="1" t="str">
        <f>HYPERLINK(".\sm_car_250207_0944\sm_car_250207_0944_059_Ca135TrN_MaWOT_ode23t.png","figure")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>
        <v>9.4994662999999999</v>
      </c>
      <c r="M61">
        <v>71.708775354289841</v>
      </c>
      <c r="N61">
        <v>-0.54718707656632892</v>
      </c>
      <c r="O61" s="1" t="str">
        <f>HYPERLINK(".\sm_car_250207_0944\sm_car_250207_0944_060_Ca135TrN_MaLSS_ode23t.png","figure")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372</v>
      </c>
      <c r="L62">
        <v>9.5144297000000009</v>
      </c>
      <c r="M62">
        <v>232.76135653365074</v>
      </c>
      <c r="N62">
        <v>6.6559359071218446E-2</v>
      </c>
      <c r="O62" s="1" t="str">
        <f>HYPERLINK(".\sm_car_250207_0944\sm_car_250207_0944_061_Ca136TrN_MaWOT_ode23t.png","figure")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>
        <v>12.1267098</v>
      </c>
      <c r="M63">
        <v>71.702862011593695</v>
      </c>
      <c r="N63">
        <v>-0.542375191237224</v>
      </c>
      <c r="O63" s="1" t="str">
        <f>HYPERLINK(".\sm_car_250207_0944\sm_car_250207_0944_062_Ca136TrN_MaLSS_ode23t.png","figure")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>
        <v>6.7259415000000002</v>
      </c>
      <c r="M64">
        <v>233.73993533018017</v>
      </c>
      <c r="N64">
        <v>0.14880973483755017</v>
      </c>
      <c r="O64" s="1" t="str">
        <f>HYPERLINK(".\sm_car_250207_0944\sm_car_250207_0944_063_Ca137TrN_MaWOT_ode23t.png","figure")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>
        <v>7.5362</v>
      </c>
      <c r="M65">
        <v>71.982576966126331</v>
      </c>
      <c r="N65">
        <v>-0.52380632896316204</v>
      </c>
      <c r="O65" s="1" t="str">
        <f>HYPERLINK(".\sm_car_250207_0944\sm_car_250207_0944_064_Ca137TrN_MaLSS_ode23t.png","figure")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>
        <v>9.8965843000000007</v>
      </c>
      <c r="M66">
        <v>233.74316643091058</v>
      </c>
      <c r="N66">
        <v>0.15803724155663446</v>
      </c>
      <c r="O66" s="1" t="str">
        <f>HYPERLINK(".\sm_car_250207_0944\sm_car_250207_0944_065_Ca138TrN_MaWOT_ode23t.png","figure")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>
        <v>11.9514332</v>
      </c>
      <c r="M67">
        <v>71.874476791961897</v>
      </c>
      <c r="N67">
        <v>-0.83785886681305333</v>
      </c>
      <c r="O67" s="1" t="str">
        <f>HYPERLINK(".\sm_car_250207_0944\sm_car_250207_0944_066_Ca138TrN_MaLSS_ode23t.png","figure")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641</v>
      </c>
      <c r="L68">
        <v>39.4208651</v>
      </c>
      <c r="M68">
        <v>411.19298310103062</v>
      </c>
      <c r="N68">
        <v>1.6517504235305662</v>
      </c>
      <c r="O68" s="1" t="str">
        <f>HYPERLINK(".\sm_car_250207_0944\sm_car_250207_0944_067_Ca139TrN_MaWOT_ode23t.png","figure")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610</v>
      </c>
      <c r="L69">
        <v>26.1128757</v>
      </c>
      <c r="M69">
        <v>157.01275547142941</v>
      </c>
      <c r="N69">
        <v>-0.57120149312077206</v>
      </c>
      <c r="O69" s="1" t="str">
        <f>HYPERLINK(".\sm_car_250207_0944\sm_car_250207_0944_068_Ca139TrN_MaLSS_ode23t.png","figure")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1868</v>
      </c>
      <c r="L70">
        <v>52.716074999999996</v>
      </c>
      <c r="M70">
        <v>411.26735171650841</v>
      </c>
      <c r="N70">
        <v>1.5069529600783964</v>
      </c>
      <c r="O70" s="1" t="str">
        <f>HYPERLINK(".\sm_car_250207_0944\sm_car_250207_0944_069_Ca141TrN_MaWOT_ode23t.png","figure")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1803</v>
      </c>
      <c r="L71">
        <v>39.121489199999999</v>
      </c>
      <c r="M71">
        <v>157.0706018831369</v>
      </c>
      <c r="N71">
        <v>-0.5631239744429094</v>
      </c>
      <c r="O71" s="1" t="str">
        <f>HYPERLINK(".\sm_car_250207_0944\sm_car_250207_0944_070_Ca141TrN_MaLSS_ode23t.png","figure")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378</v>
      </c>
      <c r="L72">
        <v>27.728835199999999</v>
      </c>
      <c r="M72">
        <v>96.633251987427201</v>
      </c>
      <c r="N72">
        <v>-3.8997750958781385E-2</v>
      </c>
      <c r="O72" s="1" t="str">
        <f>HYPERLINK(".\sm_car_250207_0944\sm_car_250207_0944_071_Ca143TrN_MaWOT_ode23t.png","figure")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487</v>
      </c>
      <c r="L73">
        <v>30.990482100000001</v>
      </c>
      <c r="M73">
        <v>25.155781071396309</v>
      </c>
      <c r="N73">
        <v>-5.4472002219602578E-2</v>
      </c>
      <c r="O73" s="1" t="str">
        <f>HYPERLINK(".\sm_car_250207_0944\sm_car_250207_0944_072_Ca143TrN_MaLSS_ode23t.png","figure")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351</v>
      </c>
      <c r="L74">
        <v>18.7570117</v>
      </c>
      <c r="M74">
        <v>115.01692586237854</v>
      </c>
      <c r="N74">
        <v>0.53496475974758206</v>
      </c>
      <c r="O74" s="1" t="str">
        <f>HYPERLINK(".\sm_car_250207_0944\sm_car_250207_0944_073_Ca144TrN_MaWOT_ode23t.png","figure")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476</v>
      </c>
      <c r="L75">
        <v>20.5355782</v>
      </c>
      <c r="M75">
        <v>35.842399162916756</v>
      </c>
      <c r="N75">
        <v>-3.4673492434114619E-2</v>
      </c>
      <c r="O75" s="1" t="str">
        <f>HYPERLINK(".\sm_car_250207_0944\sm_car_250207_0944_074_Ca144TrN_MaLSS_ode23t.png","figure")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2647</v>
      </c>
      <c r="L76">
        <v>47.8923439</v>
      </c>
      <c r="M76">
        <v>400.58652836222171</v>
      </c>
      <c r="N76">
        <v>-66.467759378629651</v>
      </c>
      <c r="O76" s="1" t="str">
        <f>HYPERLINK(".\sm_car_250207_0944\sm_car_250207_0944_075_Ca147TrN_MaWOT_ode23t.png","figure")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1312</v>
      </c>
      <c r="L77">
        <v>29.991076700000001</v>
      </c>
      <c r="M77">
        <v>155.2174700320914</v>
      </c>
      <c r="N77">
        <v>-2.7803819155809761</v>
      </c>
      <c r="O77" s="1" t="str">
        <f>HYPERLINK(".\sm_car_250207_0944\sm_car_250207_0944_076_Ca147TrN_MaLSS_ode23t.png","figure")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>
        <v>56.668033700000002</v>
      </c>
      <c r="M78">
        <v>184.64317098711297</v>
      </c>
      <c r="N78">
        <v>2.5848941755374071</v>
      </c>
      <c r="O78" s="1" t="str">
        <f>HYPERLINK(".\sm_car_250207_0944\sm_car_250207_0944_077_Ca183TrN_MaWOT_ode23t.png","figure")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>
        <v>66.882655099999994</v>
      </c>
      <c r="M79">
        <v>57.736923979466475</v>
      </c>
      <c r="N79">
        <v>0.89690925772051533</v>
      </c>
      <c r="O79" s="1" t="str">
        <f>HYPERLINK(".\sm_car_250207_0944\sm_car_250207_0944_078_Ca183TrN_MaLSS_ode23t.png","figure")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>
        <v>16.359259900000001</v>
      </c>
      <c r="M80">
        <v>233.80272938572833</v>
      </c>
      <c r="N80">
        <v>8.9002270409259277E-3</v>
      </c>
      <c r="O80" s="1" t="str">
        <f>HYPERLINK(".\sm_car_250207_0944\sm_car_250207_0944_079_Ca008TrN_MaWOT_ode23t_1.png","figure")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>
        <v>20.475400199999999</v>
      </c>
      <c r="M81">
        <v>71.997390159310498</v>
      </c>
      <c r="N81">
        <v>-0.54929209645507182</v>
      </c>
      <c r="O81" s="1" t="str">
        <f>HYPERLINK(".\sm_car_250207_0944\sm_car_250207_0944_080_Ca008TrN_MaLSS_ode23t_1.png","figure")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>
        <v>18.699204900000002</v>
      </c>
      <c r="M82">
        <v>232.8481414870715</v>
      </c>
      <c r="N82">
        <v>1.6098472826283669E-3</v>
      </c>
      <c r="O82" s="1" t="str">
        <f>HYPERLINK(".\sm_car_250207_0944\sm_car_250207_0944_081_Ca009TrN_MaWOT_ode23t_1.png","figure")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>
        <v>23.907416099999999</v>
      </c>
      <c r="M83">
        <v>71.705891131387588</v>
      </c>
      <c r="N83">
        <v>-0.54180363264710218</v>
      </c>
      <c r="O83" s="1" t="str">
        <f>HYPERLINK(".\sm_car_250207_0944\sm_car_250207_0944_082_Ca009TrN_MaLSS_ode23t_1.png","figure")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395</v>
      </c>
      <c r="L84">
        <v>19.978650399999999</v>
      </c>
      <c r="M84">
        <v>232.83632912627112</v>
      </c>
      <c r="N84">
        <v>6.9178486473574288E-2</v>
      </c>
      <c r="O84" s="1" t="str">
        <f>HYPERLINK(".\sm_car_250207_0944\sm_car_250207_0944_083_Ca010TrN_MaWOT_ode23t_1.png","figure")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566</v>
      </c>
      <c r="L85">
        <v>26.851352200000001</v>
      </c>
      <c r="M85">
        <v>71.700305902299704</v>
      </c>
      <c r="N85">
        <v>-0.54209349474976742</v>
      </c>
      <c r="O85" s="1" t="str">
        <f>HYPERLINK(".\sm_car_250207_0944\sm_car_250207_0944_084_Ca010TrN_MaLSS_ode23t_1.png","figure")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427</v>
      </c>
      <c r="L86">
        <v>21.0081056</v>
      </c>
      <c r="M86">
        <v>232.38774346764458</v>
      </c>
      <c r="N86">
        <v>6.5744506903851696E-2</v>
      </c>
      <c r="O86" s="1" t="str">
        <f>HYPERLINK(".\sm_car_250207_0944\sm_car_250207_0944_085_Ca011TrN_MaWOT_ode23t_1.png","figure")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564</v>
      </c>
      <c r="L87">
        <v>26.748503800000002</v>
      </c>
      <c r="M87">
        <v>71.576116826745434</v>
      </c>
      <c r="N87">
        <v>-0.5314509312149831</v>
      </c>
      <c r="O87" s="1" t="str">
        <f>HYPERLINK(".\sm_car_250207_0944\sm_car_250207_0944_086_Ca011TrN_MaLSS_ode23t_1.png","figure")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>
        <v>17.4523659</v>
      </c>
      <c r="M88">
        <v>233.72965124638475</v>
      </c>
      <c r="N88">
        <v>9.4504212424993753E-3</v>
      </c>
      <c r="O88" s="1" t="str">
        <f>HYPERLINK(".\sm_car_250207_0944\sm_car_250207_0944_087_Ca012TrN_MaWOT_ode23t_1.png","figure")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>
        <v>21.971621200000001</v>
      </c>
      <c r="M89">
        <v>71.98584319791189</v>
      </c>
      <c r="N89">
        <v>-0.55623372726109177</v>
      </c>
      <c r="O89" s="1" t="str">
        <f>HYPERLINK(".\sm_car_250207_0944\sm_car_250207_0944_088_Ca012TrN_MaLSS_ode23t_1.png","figure")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>
        <v>20.4428521</v>
      </c>
      <c r="M90">
        <v>232.87883715254142</v>
      </c>
      <c r="N90">
        <v>1.1689862904993265E-3</v>
      </c>
      <c r="O90" s="1" t="str">
        <f>HYPERLINK(".\sm_car_250207_0944\sm_car_250207_0944_089_Ca013TrN_MaWOT_ode23t_1.png","figure")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>
        <v>22.333698600000002</v>
      </c>
      <c r="M91">
        <v>71.696184667281713</v>
      </c>
      <c r="N91">
        <v>-0.55024920060559146</v>
      </c>
      <c r="O91" s="1" t="str">
        <f>HYPERLINK(".\sm_car_250207_0944\sm_car_250207_0944_090_Ca013TrN_MaLSS_ode23t_1.png","figure")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>
        <v>21.099742899999999</v>
      </c>
      <c r="M92">
        <v>232.60223056058294</v>
      </c>
      <c r="N92">
        <v>6.581208301671955E-2</v>
      </c>
      <c r="O92" s="1" t="str">
        <f>HYPERLINK(".\sm_car_250207_0944\sm_car_250207_0944_091_Ca014TrN_MaWOT_ode23t_1.png","figure")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1004</v>
      </c>
      <c r="L93">
        <v>25.0236567</v>
      </c>
      <c r="M93">
        <v>71.693693024448123</v>
      </c>
      <c r="N93">
        <v>-0.54524384790539815</v>
      </c>
      <c r="O93" s="1" t="str">
        <f>HYPERLINK(".\sm_car_250207_0944\sm_car_250207_0944_092_Ca014TrN_MaLSS_ode23t_1.png","figure")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891</v>
      </c>
      <c r="L94">
        <v>21.093034200000002</v>
      </c>
      <c r="M94">
        <v>232.20217001054436</v>
      </c>
      <c r="N94">
        <v>6.5461983821594183E-2</v>
      </c>
      <c r="O94" s="1" t="str">
        <f>HYPERLINK(".\sm_car_250207_0944\sm_car_250207_0944_093_Ca015TrN_MaWOT_ode23t_1.png","figure")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1043</v>
      </c>
      <c r="L95">
        <v>26.443603</v>
      </c>
      <c r="M95">
        <v>71.559151276490809</v>
      </c>
      <c r="N95">
        <v>-0.54247277516571313</v>
      </c>
      <c r="O95" s="1" t="str">
        <f>HYPERLINK(".\sm_car_250207_0944\sm_car_250207_0944_094_Ca015TrN_MaLSS_ode23t_1.png","figure")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>
        <v>5.3742168000000001</v>
      </c>
      <c r="M96">
        <v>242.41013556335344</v>
      </c>
      <c r="N96">
        <v>0.23168823158620061</v>
      </c>
      <c r="O96" s="1" t="str">
        <f>HYPERLINK(".\sm_car_250207_0944\sm_car_250207_0944_095_Ca120TrN_MaWOT_ode23t_1.png","figure")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>
        <v>6.1096085000000002</v>
      </c>
      <c r="M97">
        <v>74.681814564489031</v>
      </c>
      <c r="N97">
        <v>-0.33884395695811698</v>
      </c>
      <c r="O97" s="1" t="str">
        <f>HYPERLINK(".\sm_car_250207_0944\sm_car_250207_0944_096_Ca120TrN_MaLSS_ode23t_1.png","figure")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>
        <v>6.1621085000000004</v>
      </c>
      <c r="M98">
        <v>241.51406890531825</v>
      </c>
      <c r="N98">
        <v>0.2286100471060383</v>
      </c>
      <c r="O98" s="1" t="str">
        <f>HYPERLINK(".\sm_car_250207_0944\sm_car_250207_0944_097_Ca121TrN_MaWOT_ode23t_1.png","figure")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>
        <v>7.1818593000000002</v>
      </c>
      <c r="M99">
        <v>74.364181906162969</v>
      </c>
      <c r="N99">
        <v>-0.33033381376679871</v>
      </c>
      <c r="O99" s="1" t="str">
        <f>HYPERLINK(".\sm_car_250207_0944\sm_car_250207_0944_098_Ca121TrN_MaLSS_ode23t_1.png","figure")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407</v>
      </c>
      <c r="L100">
        <v>7.0250687999999997</v>
      </c>
      <c r="M100">
        <v>241.73141927810903</v>
      </c>
      <c r="N100">
        <v>0.22866907502562517</v>
      </c>
      <c r="O100" s="1" t="str">
        <f>HYPERLINK(".\sm_car_250207_0944\sm_car_250207_0944_099_Ca122TrN_MaWOT_ode23t_1.png","figure")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>
        <v>7.7731491000000004</v>
      </c>
      <c r="M101">
        <v>74.370257020098251</v>
      </c>
      <c r="N101">
        <v>-0.33312530997077683</v>
      </c>
      <c r="O101" s="1" t="str">
        <f>HYPERLINK(".\sm_car_250207_0944\sm_car_250207_0944_100_Ca122TrN_MaLSS_ode23t_1.png","figure")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424</v>
      </c>
      <c r="L102">
        <v>7.2213675999999998</v>
      </c>
      <c r="M102">
        <v>241.14459487274121</v>
      </c>
      <c r="N102">
        <v>0.22645233790235203</v>
      </c>
      <c r="O102" s="1" t="str">
        <f>HYPERLINK(".\sm_car_250207_0944\sm_car_250207_0944_101_Ca123TrN_MaWOT_ode23t_1.png","figure")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556</v>
      </c>
      <c r="L103">
        <v>7.8856112999999999</v>
      </c>
      <c r="M103">
        <v>74.223833985061418</v>
      </c>
      <c r="N103">
        <v>-0.33188170988539795</v>
      </c>
      <c r="O103" s="1" t="str">
        <f>HYPERLINK(".\sm_car_250207_0944\sm_car_250207_0944_102_Ca123TrN_MaLSS_ode23t_1.png","figure")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>
        <v>7.3017808000000004</v>
      </c>
      <c r="M104">
        <v>242.69407047898562</v>
      </c>
      <c r="N104">
        <v>0.2331158683945955</v>
      </c>
      <c r="O104" s="1" t="str">
        <f>HYPERLINK(".\sm_car_250207_0944\sm_car_250207_0944_103_Ca124TrN_MaWOT_ode23t_1.png","figure")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>
        <v>8.2504197999999995</v>
      </c>
      <c r="M105">
        <v>74.65820712719345</v>
      </c>
      <c r="N105">
        <v>-0.34158246963019179</v>
      </c>
      <c r="O105" s="1" t="str">
        <f>HYPERLINK(".\sm_car_250207_0944\sm_car_250207_0944_104_Ca124TrN_MaLSS_ode23t_1.png","figure")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>
        <v>7.7973847999999997</v>
      </c>
      <c r="M106">
        <v>241.6295166031617</v>
      </c>
      <c r="N106">
        <v>0.2296381803970029</v>
      </c>
      <c r="O106" s="1" t="str">
        <f>HYPERLINK(".\sm_car_250207_0944\sm_car_250207_0944_105_Ca125TrN_MaWOT_ode23t_1.png","figure")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>
        <v>8.9928869000000002</v>
      </c>
      <c r="M107">
        <v>74.344754307038045</v>
      </c>
      <c r="N107">
        <v>-0.33729275655070329</v>
      </c>
      <c r="O107" s="1" t="str">
        <f>HYPERLINK(".\sm_car_250207_0944\sm_car_250207_0944_106_Ca125TrN_MaLSS_ode23t_1.png","figure")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1025</v>
      </c>
      <c r="L108">
        <v>8.7970424000000005</v>
      </c>
      <c r="M108">
        <v>241.68117921791114</v>
      </c>
      <c r="N108">
        <v>0.2297324277168129</v>
      </c>
      <c r="O108" s="1" t="str">
        <f>HYPERLINK(".\sm_car_250207_0944\sm_car_250207_0944_107_Ca126TrN_MaWOT_ode23t_1.png","figure")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1148</v>
      </c>
      <c r="L109">
        <v>9.7454316999999993</v>
      </c>
      <c r="M109">
        <v>74.347417635094999</v>
      </c>
      <c r="N109">
        <v>-0.33701074044815138</v>
      </c>
      <c r="O109" s="1" t="str">
        <f>HYPERLINK(".\sm_car_250207_0944\sm_car_250207_0944_108_Ca126TrN_MaLSS_ode23t_1.png","figure")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1031</v>
      </c>
      <c r="L110">
        <v>8.5157931999999992</v>
      </c>
      <c r="M110">
        <v>241.09467870044614</v>
      </c>
      <c r="N110">
        <v>0.22866321169011405</v>
      </c>
      <c r="O110" s="1" t="str">
        <f>HYPERLINK(".\sm_car_250207_0944\sm_car_250207_0944_109_Ca127TrN_MaWOT_ode23t_1.png","figure")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1154</v>
      </c>
      <c r="L111">
        <v>9.8119288999999998</v>
      </c>
      <c r="M111">
        <v>74.196417217860102</v>
      </c>
      <c r="N111">
        <v>-0.33202372452479689</v>
      </c>
      <c r="O111" s="1" t="str">
        <f>HYPERLINK(".\sm_car_250207_0944\sm_car_250207_0944_110_Ca127TrN_MaLSS_ode23t_1.png","figure")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656</v>
      </c>
      <c r="L112">
        <v>57.856835099999998</v>
      </c>
      <c r="M112">
        <v>410.95719626348102</v>
      </c>
      <c r="N112">
        <v>1.4562443071398596</v>
      </c>
      <c r="O112" s="1" t="str">
        <f>HYPERLINK(".\sm_car_250207_0944\sm_car_250207_0944_111_Ca140TrN_MaWOT_ode23t_1.png","figure")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617</v>
      </c>
      <c r="L113">
        <v>34.831378100000002</v>
      </c>
      <c r="M113">
        <v>156.99182453804062</v>
      </c>
      <c r="N113">
        <v>-0.5648467262298027</v>
      </c>
      <c r="O113" s="1" t="str">
        <f>HYPERLINK(".\sm_car_250207_0944\sm_car_250207_0944_112_Ca140TrN_MaLSS_ode23t_1.png","figure")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1188</v>
      </c>
      <c r="L114">
        <v>53.913699000000001</v>
      </c>
      <c r="M114">
        <v>411.2242814676348</v>
      </c>
      <c r="N114">
        <v>1.6420161617823779</v>
      </c>
      <c r="O114" s="1" t="str">
        <f>HYPERLINK(".\sm_car_250207_0944\sm_car_250207_0944_113_Ca142TrN_MaWOT_ode23t_1.png","figure")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1170</v>
      </c>
      <c r="L115">
        <v>36.4862629</v>
      </c>
      <c r="M115">
        <v>157.08950506786158</v>
      </c>
      <c r="N115">
        <v>-0.57325706714109115</v>
      </c>
      <c r="O115" s="1" t="str">
        <f>HYPERLINK(".\sm_car_250207_0944\sm_car_250207_0944_114_Ca142TrN_MaLSS_ode23t_1.png","figure")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351</v>
      </c>
      <c r="L116">
        <v>24.825586399999999</v>
      </c>
      <c r="M116">
        <v>96.577399528721202</v>
      </c>
      <c r="N116">
        <v>-4.0299019160169355E-2</v>
      </c>
      <c r="O116" s="1" t="str">
        <f>HYPERLINK(".\sm_car_250207_0944\sm_car_250207_0944_115_Ca145TrN_MaWOT_ode23t_1.png","figure")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>
        <v>26.452943600000001</v>
      </c>
      <c r="M117">
        <v>25.15434513750456</v>
      </c>
      <c r="N117">
        <v>-5.1323762297126631E-2</v>
      </c>
      <c r="O117" s="1" t="str">
        <f>HYPERLINK(".\sm_car_250207_0944\sm_car_250207_0944_116_Ca145TrN_MaLSS_ode23t_1.png","figure")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>
        <v>16.910385300000002</v>
      </c>
      <c r="M118">
        <v>114.92824278339789</v>
      </c>
      <c r="N118">
        <v>0.53510530514385679</v>
      </c>
      <c r="O118" s="1" t="str">
        <f>HYPERLINK(".\sm_car_250207_0944\sm_car_250207_0944_117_Ca146TrN_MaWOT_ode23t_1.png","figure")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481</v>
      </c>
      <c r="L119">
        <v>21.643911599999999</v>
      </c>
      <c r="M119">
        <v>35.842385320361231</v>
      </c>
      <c r="N119">
        <v>-3.0555248838133087E-2</v>
      </c>
      <c r="O119" s="1" t="str">
        <f>HYPERLINK(".\sm_car_250207_0944\sm_car_250207_0944_118_Ca146TrN_MaLSS_ode23t_1.png","figure")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>
        <v>16.895206300000002</v>
      </c>
      <c r="M120">
        <v>114.92824278339789</v>
      </c>
      <c r="N120">
        <v>0.53510530514385679</v>
      </c>
      <c r="O120" s="1" t="str">
        <f>HYPERLINK(".\sm_car_250207_0944\sm_car_250207_0944_119_Ca146TrN_MaWOT_ode23t_1.png","figure")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481</v>
      </c>
      <c r="L121">
        <v>21.655655500000002</v>
      </c>
      <c r="M121">
        <v>35.842385320361231</v>
      </c>
      <c r="N121">
        <v>-3.0555248838133087E-2</v>
      </c>
      <c r="O121" s="1" t="str">
        <f>HYPERLINK(".\sm_car_250207_0944\sm_car_250207_0944_120_Ca146TrN_MaLSS_ode23t_1.png","figure")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560</v>
      </c>
      <c r="L122">
        <v>42.157125100000002</v>
      </c>
      <c r="M122">
        <v>182.8502010806144</v>
      </c>
      <c r="N122">
        <v>0.31812962884583651</v>
      </c>
      <c r="O122" s="1" t="str">
        <f>HYPERLINK(".\sm_car_250207_0944\sm_car_250207_0944_121_Ca161TrN_MaWOT_ode23t_1.png","figure")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673</v>
      </c>
      <c r="L123">
        <v>47.061525400000001</v>
      </c>
      <c r="M123">
        <v>156.81024273975714</v>
      </c>
      <c r="N123">
        <v>-0.57627800933778273</v>
      </c>
      <c r="O123" s="1" t="str">
        <f>HYPERLINK(".\sm_car_250207_0944\sm_car_250207_0944_122_Ca161TrN_MaLSS_ode23t_1.png","figure")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>
        <v>49.935811999999999</v>
      </c>
      <c r="M124">
        <v>281.97740017487513</v>
      </c>
      <c r="N124">
        <v>0.72528283043841635</v>
      </c>
      <c r="O124" s="1" t="str">
        <f>HYPERLINK(".\sm_car_250207_0944\sm_car_250207_0944_123_Ca163TrN_MaWOT_ode23t_1.png","figure")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793</v>
      </c>
      <c r="L125">
        <v>58.802327099999999</v>
      </c>
      <c r="M125">
        <v>260.51531792729236</v>
      </c>
      <c r="N125">
        <v>-0.45064468701779797</v>
      </c>
      <c r="O125" s="1" t="str">
        <f>HYPERLINK(".\sm_car_250207_0944\sm_car_250207_0944_124_Ca163TrN_MaLSS_ode23t_1.png","figure")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>
        <v>26.003077300000001</v>
      </c>
      <c r="M126">
        <v>313.16501723772058</v>
      </c>
      <c r="N126">
        <v>1.1396312648144097E-4</v>
      </c>
      <c r="O126" s="1" t="str">
        <f>HYPERLINK(".\sm_car_250207_0944\sm_car_250207_0944_125_Ca184TrN_MaWOT_ode23t_1.png","figure")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>
        <v>19.182870300000001</v>
      </c>
      <c r="M127">
        <v>112.42984833398582</v>
      </c>
      <c r="N127">
        <v>-0.1888465613105888</v>
      </c>
      <c r="O127" s="1" t="str">
        <f>HYPERLINK(".\sm_car_250207_0944\sm_car_250207_0944_126_Ca184TrN_MaLSS_ode23t_1.png","figure")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>
        <v>51.8152987</v>
      </c>
      <c r="M128">
        <v>283.09295039638198</v>
      </c>
      <c r="N128">
        <v>0.76237753629349825</v>
      </c>
      <c r="O128" s="1" t="str">
        <f>HYPERLINK(".\sm_car_250207_0944\sm_car_250207_0944_127_Ca217TrN_MaWOT_ode23t_1.png","figure")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>
        <v>57.084557099999998</v>
      </c>
      <c r="M129">
        <v>111.92498585006001</v>
      </c>
      <c r="N129">
        <v>-0.36176950531000307</v>
      </c>
      <c r="O129" s="1" t="str">
        <f>HYPERLINK(".\sm_car_250207_0944\sm_car_250207_0944_128_Ca217TrN_MaLSS_ode23t_1.png","figure")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790</v>
      </c>
      <c r="L130">
        <v>17.6338741</v>
      </c>
      <c r="M130">
        <v>254.6340781764755</v>
      </c>
      <c r="N130">
        <v>3.434538354592398E-3</v>
      </c>
      <c r="O130" s="1" t="str">
        <f>HYPERLINK(".\sm_car_250207_0944\sm_car_250207_0944_129_Ca012TrN_MaDLC_ode23t_1.png","figure")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>
        <v>24.074806299999999</v>
      </c>
      <c r="M131">
        <v>75.61484827573608</v>
      </c>
      <c r="N131">
        <v>0.7619707819463547</v>
      </c>
      <c r="O131" s="1" t="str">
        <f>HYPERLINK(".\sm_car_250207_0944\sm_car_250207_0944_130_Ca012TrN_MaIPA_ode23t_1.png","figure")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745</v>
      </c>
      <c r="L132">
        <v>22.8620713</v>
      </c>
      <c r="M132">
        <v>254.06187382242092</v>
      </c>
      <c r="N132">
        <v>-5.3755941487487746E-3</v>
      </c>
      <c r="O132" s="1" t="str">
        <f>HYPERLINK(".\sm_car_250207_0944\sm_car_250207_0944_131_Ca142TrN_MaDLC_ode23t_1.png","figure")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2791</v>
      </c>
      <c r="L133">
        <v>209.65289010000001</v>
      </c>
      <c r="M133">
        <v>84.925235165291767</v>
      </c>
      <c r="N133">
        <v>0.83371159855647547</v>
      </c>
      <c r="O133" s="1" t="str">
        <f>HYPERLINK(".\sm_car_250207_0944\sm_car_250207_0944_132_Ca142TrN_MaIPA_ode23t_1.png","figure")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480</v>
      </c>
      <c r="L134">
        <v>27.991193200000001</v>
      </c>
      <c r="M134">
        <v>255.43503019572074</v>
      </c>
      <c r="N134">
        <v>4.0749695576731249E-2</v>
      </c>
      <c r="O134" s="1" t="str">
        <f>HYPERLINK(".\sm_car_250207_0944\sm_car_250207_0944_133_Ca145TrN_MaDLC_ode23t_1.png","figure")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325</v>
      </c>
      <c r="L135">
        <v>19.638168499999999</v>
      </c>
      <c r="M135">
        <v>28.256928527350865</v>
      </c>
      <c r="N135">
        <v>1.5655188242691746E-2</v>
      </c>
      <c r="O135" s="1" t="str">
        <f>HYPERLINK(".\sm_car_250207_0944\sm_car_250207_0944_134_Ca145TrN_MaIPA_ode23t_1.png","figure")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430</v>
      </c>
      <c r="L136">
        <v>18.892583599999998</v>
      </c>
      <c r="M136">
        <v>253.67292497956157</v>
      </c>
      <c r="N136">
        <v>1.3145057306295449E-2</v>
      </c>
      <c r="O136" s="1" t="str">
        <f>HYPERLINK(".\sm_car_250207_0944\sm_car_250207_0944_135_Ca184TrN_MaDLC_ode23t_1.png","figure")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>
        <v>25.187997500000002</v>
      </c>
      <c r="M137">
        <v>61.804634552458211</v>
      </c>
      <c r="N137">
        <v>0.55435410169170307</v>
      </c>
      <c r="O137" s="1" t="str">
        <f>HYPERLINK(".\sm_car_250207_0944\sm_car_250207_0944_136_Ca184TrN_MaIPA_ode23t_1.png","figure")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1963</v>
      </c>
      <c r="L138">
        <v>43.594445899999997</v>
      </c>
      <c r="M138">
        <v>255.77835644769658</v>
      </c>
      <c r="N138">
        <v>1.4199261615422287E-2</v>
      </c>
      <c r="O138" s="1" t="str">
        <f>HYPERLINK(".\sm_car_250207_0944\sm_car_250207_0944_137_Ca204TrN_MaDLC_ode23t_1.png","figure")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>
        <v>20.774467999999999</v>
      </c>
      <c r="M139">
        <v>26.038370561198473</v>
      </c>
      <c r="N139">
        <v>9.6718355082770959E-3</v>
      </c>
      <c r="O139" s="1" t="str">
        <f>HYPERLINK(".\sm_car_250207_0944\sm_car_250207_0944_138_Ca204TrN_MaIPA_ode23t_1.png","figure")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2712</v>
      </c>
      <c r="L140">
        <v>48.618132899999999</v>
      </c>
      <c r="M140">
        <v>-1.7144527751758593E-2</v>
      </c>
      <c r="N140">
        <v>-0.62249926475761297</v>
      </c>
      <c r="O140" s="1" t="str">
        <f>HYPERLINK(".\sm_car_250207_0944\sm_car_250207_0944_139_Ca012TrN_MaMPK_ode23t_1.png","figure")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3139</v>
      </c>
      <c r="L141">
        <v>60.7684468</v>
      </c>
      <c r="M141">
        <v>0.77703774367937584</v>
      </c>
      <c r="N141">
        <v>-0.32244246979059127</v>
      </c>
      <c r="O141" s="1" t="str">
        <f>HYPERLINK(".\sm_car_250207_0944\sm_car_250207_0944_140_Ca012TrN_MaMPC_ode23t_1.png","figure")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2558</v>
      </c>
      <c r="L142">
        <v>102.52409780000001</v>
      </c>
      <c r="M142">
        <v>-4.4231810932614385E-3</v>
      </c>
      <c r="N142">
        <v>-0.54713025662028814</v>
      </c>
      <c r="O142" s="1" t="str">
        <f>HYPERLINK(".\sm_car_250207_0944\sm_car_250207_0944_141_Ca142TrN_MaMPK_ode23t_1.png","figure")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3157</v>
      </c>
      <c r="L143">
        <v>125.2723697</v>
      </c>
      <c r="M143">
        <v>0.7873179892104627</v>
      </c>
      <c r="N143">
        <v>-0.36609214964623504</v>
      </c>
      <c r="O143" s="1" t="str">
        <f>HYPERLINK(".\sm_car_250207_0944\sm_car_250207_0944_142_Ca142TrN_MaMPC_ode23t_1.png","figure")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2850</v>
      </c>
      <c r="L144">
        <v>23.793153799999999</v>
      </c>
      <c r="M144">
        <v>-1.7530714224614483E-2</v>
      </c>
      <c r="N144">
        <v>-0.52487387527942597</v>
      </c>
      <c r="O144" s="1" t="str">
        <f>HYPERLINK(".\sm_car_250207_0944\sm_car_250207_0944_143_Ca116TrN_MaMPK_ode23t_1.png","figure")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3400</v>
      </c>
      <c r="L145">
        <v>26.2416692</v>
      </c>
      <c r="M145">
        <v>0.78883499465506546</v>
      </c>
      <c r="N145">
        <v>-0.35485549244918907</v>
      </c>
      <c r="O145" s="1" t="str">
        <f>HYPERLINK(".\sm_car_250207_0944\sm_car_250207_0944_144_Ca116TrN_MaMPC_ode23t_1.png","figure")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2743</v>
      </c>
      <c r="L146">
        <v>94.432395799999995</v>
      </c>
      <c r="M146">
        <v>-1.4350164463956094E-2</v>
      </c>
      <c r="N146">
        <v>-0.38984056926113875</v>
      </c>
      <c r="O146" s="1" t="str">
        <f>HYPERLINK(".\sm_car_250207_0944\sm_car_250207_0944_145_Ca143TrN_MaMPK_ode23t_1.png","figure")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2879</v>
      </c>
      <c r="L147">
        <v>115.94248260000001</v>
      </c>
      <c r="M147">
        <v>0.7883925351182608</v>
      </c>
      <c r="N147">
        <v>-0.25848634674681903</v>
      </c>
      <c r="O147" s="1" t="str">
        <f>HYPERLINK(".\sm_car_250207_0944\sm_car_250207_0944_146_Ca143TrN_MaMPC_ode23t_1.png","figure")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3170</v>
      </c>
      <c r="L148">
        <v>76.2268179</v>
      </c>
      <c r="M148">
        <v>-1.9596131629873587E-2</v>
      </c>
      <c r="N148">
        <v>-0.55569439981258983</v>
      </c>
      <c r="O148" s="1" t="str">
        <f>HYPERLINK(".\sm_car_250207_0944\sm_car_250207_0944_147_Ca166TrN_MaMPK_ode23t_1.png","figure")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3545</v>
      </c>
      <c r="L149">
        <v>88.048860599999998</v>
      </c>
      <c r="M149">
        <v>0.78817560788809615</v>
      </c>
      <c r="N149">
        <v>-0.35628438233999404</v>
      </c>
      <c r="O149" s="1" t="str">
        <f>HYPERLINK(".\sm_car_250207_0944\sm_car_250207_0944_148_Ca166TrN_MaMPC_ode23t_1.png","figure")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3156</v>
      </c>
      <c r="L150">
        <v>69.346392600000001</v>
      </c>
      <c r="M150">
        <v>-1.8418888543510675E-2</v>
      </c>
      <c r="N150">
        <v>-0.55645753906351092</v>
      </c>
      <c r="O150" s="1" t="str">
        <f>HYPERLINK(".\sm_car_250207_0944\sm_car_250207_0944_149_Ca169TrN_MaMPK_ode23t_1.png","figure")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3382</v>
      </c>
      <c r="L151">
        <v>70.569772099999994</v>
      </c>
      <c r="M151">
        <v>0.77922976387602283</v>
      </c>
      <c r="N151">
        <v>-0.35555337961404981</v>
      </c>
      <c r="O151" s="1" t="str">
        <f>HYPERLINK(".\sm_car_250207_0944\sm_car_250207_0944_150_Ca169TrN_MaMPC_ode23t_1.png","figure")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2127</v>
      </c>
      <c r="L152">
        <v>92.262275000000002</v>
      </c>
      <c r="M152">
        <v>-2.1748277633819688E-2</v>
      </c>
      <c r="N152">
        <v>-0.69851467549422663</v>
      </c>
      <c r="O152" s="1" t="str">
        <f>HYPERLINK(".\sm_car_250207_0944\sm_car_250207_0944_151_Ca184TrN_MaMPK_ode23t_1.png","figure")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2194</v>
      </c>
      <c r="L153">
        <v>90.043694200000004</v>
      </c>
      <c r="M153">
        <v>0.78904500286361312</v>
      </c>
      <c r="N153">
        <v>-0.33000550073725299</v>
      </c>
      <c r="O153" s="1" t="str">
        <f>HYPERLINK(".\sm_car_250207_0944\sm_car_250207_0944_152_Ca184TrN_MaMPC_ode23t_1.png","figure")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3129</v>
      </c>
      <c r="L154">
        <v>66.791360800000007</v>
      </c>
      <c r="M154">
        <v>-1.946573648236237E-2</v>
      </c>
      <c r="N154">
        <v>-0.55644472966557934</v>
      </c>
      <c r="O154" s="1" t="str">
        <f>HYPERLINK(".\sm_car_250207_0944\sm_car_250207_0944_153_Ca195TrN_MaMPK_ode23t_1.png","figure")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3388</v>
      </c>
      <c r="L155">
        <v>68.969851599999998</v>
      </c>
      <c r="M155">
        <v>0.78437358207277263</v>
      </c>
      <c r="N155">
        <v>-0.35559530886368196</v>
      </c>
      <c r="O155" s="1" t="str">
        <f>HYPERLINK(".\sm_car_250207_0944\sm_car_250207_0944_154_Ca195TrN_MaMPC_ode23t_1.png","figure")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2136</v>
      </c>
      <c r="L156">
        <v>57.162443199999998</v>
      </c>
      <c r="M156">
        <v>-2.0284417601492702E-2</v>
      </c>
      <c r="N156">
        <v>-0.69884424506663778</v>
      </c>
      <c r="O156" s="1" t="str">
        <f>HYPERLINK(".\sm_car_250207_0944\sm_car_250207_0944_155_Ca198TrN_MaMPK_ode23t_1.png","figure")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2166</v>
      </c>
      <c r="L157">
        <v>53.960787400000001</v>
      </c>
      <c r="M157">
        <v>0.78314047308280621</v>
      </c>
      <c r="N157">
        <v>-0.32990039253436687</v>
      </c>
      <c r="O157" s="1" t="str">
        <f>HYPERLINK(".\sm_car_250207_0944\sm_car_250207_0944_156_Ca198TrN_MaMPC_ode23t_1.png","figure")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519</v>
      </c>
      <c r="L158">
        <v>19.650362099999999</v>
      </c>
      <c r="M158">
        <v>73.369940954848573</v>
      </c>
      <c r="N158">
        <v>-0.84324138676305516</v>
      </c>
      <c r="O158" s="1" t="str">
        <f>HYPERLINK(".\sm_car_250207_0944\sm_car_250207_0944_157_Ca151TrN_MaLSS_ode23t_1.png","figure")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540</v>
      </c>
      <c r="L159">
        <v>20.831531200000001</v>
      </c>
      <c r="M159">
        <v>71.691781506514147</v>
      </c>
      <c r="N159">
        <v>-0.5442576383304677</v>
      </c>
      <c r="O159" s="1" t="str">
        <f>HYPERLINK(".\sm_car_250207_0944\sm_car_250207_0944_158_Ca152TrN_MaLSS_ode23t_1.png","figure")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551</v>
      </c>
      <c r="L160">
        <v>22.286923399999999</v>
      </c>
      <c r="M160">
        <v>71.535483050457287</v>
      </c>
      <c r="N160">
        <v>-0.88911969724889162</v>
      </c>
      <c r="O160" s="1" t="str">
        <f>HYPERLINK(".\sm_car_250207_0944\sm_car_250207_0944_159_Ca153TrN_MaLSS_ode23t_1.png","figure")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500</v>
      </c>
      <c r="L161">
        <v>25.602935500000001</v>
      </c>
      <c r="M161">
        <v>71.713676345375646</v>
      </c>
      <c r="N161">
        <v>-0.36494807365203968</v>
      </c>
      <c r="O161" s="1" t="str">
        <f>HYPERLINK(".\sm_car_250207_0944\sm_car_250207_0944_160_Ca154TrN_MaLSS_ode23t_1.png","figure")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554</v>
      </c>
      <c r="L162">
        <v>30.365443899999999</v>
      </c>
      <c r="M162">
        <v>71.563366644467493</v>
      </c>
      <c r="N162">
        <v>-0.86643547357455508</v>
      </c>
      <c r="O162" s="1" t="str">
        <f>HYPERLINK(".\sm_car_250207_0944\sm_car_250207_0944_161_Ca155TrN_MaLSS_ode23t_1.png","figure")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>
        <v>14.5752661</v>
      </c>
      <c r="M163">
        <v>233.86868495957117</v>
      </c>
      <c r="N163">
        <v>1.5279868512777874E-2</v>
      </c>
      <c r="O163" s="1" t="str">
        <f>HYPERLINK(".\sm_car_250207_0944\sm_car_250207_0944_162_Ca004TrN_MaWOT_ode3_1.png","figure")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>
        <v>11.7839422</v>
      </c>
      <c r="M164">
        <v>71.992416552873522</v>
      </c>
      <c r="N164">
        <v>-0.55216478985760642</v>
      </c>
      <c r="O164" s="1" t="str">
        <f>HYPERLINK(".\sm_car_250207_0944\sm_car_250207_0944_163_Ca004TrN_MaLSS_ode3_1.png","figure")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>
        <v>11.7880205</v>
      </c>
      <c r="M165">
        <v>64.314286423663845</v>
      </c>
      <c r="N165">
        <v>-25.500994053949178</v>
      </c>
      <c r="O165" s="1" t="str">
        <f>HYPERLINK(".\sm_car_250207_0944\sm_car_250207_0944_164_Ca004TrN_MaTUR_ode3_1.png","figure")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>
        <v>6.6414447000000001</v>
      </c>
      <c r="M166">
        <v>242.70379484028024</v>
      </c>
      <c r="N166">
        <v>0.23327776238073167</v>
      </c>
      <c r="O166" s="1" t="str">
        <f>HYPERLINK(".\sm_car_250207_0944\sm_car_250207_0944_165_Ca116TrN_MaWOT_ode3_1.png","figure")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>
        <v>5.5383224000000002</v>
      </c>
      <c r="M167">
        <v>74.659492312085277</v>
      </c>
      <c r="N167">
        <v>-0.3409373419552838</v>
      </c>
      <c r="O167" s="1" t="str">
        <f>HYPERLINK(".\sm_car_250207_0944\sm_car_250207_0944_166_Ca116TrN_MaLSS_ode3_1.png","figure")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>
        <v>5.4320966000000004</v>
      </c>
      <c r="M168">
        <v>71.323971744596435</v>
      </c>
      <c r="N168">
        <v>-17.591550619585405</v>
      </c>
      <c r="O168" s="1" t="str">
        <f>HYPERLINK(".\sm_car_250207_0944\sm_car_250207_0944_167_Ca116TrN_MaTUR_ode3_1.png","figure")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>
        <v>4.0228754999999996</v>
      </c>
      <c r="M169">
        <v>242.88013077860754</v>
      </c>
      <c r="N169">
        <v>0.23308389745535354</v>
      </c>
      <c r="O169" s="1" t="str">
        <f>HYPERLINK(".\sm_car_250207_0944\sm_car_250207_0944_168_Ca124TrN_MaWOT_ode3_1.png","figure")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>
        <v>3.2420293</v>
      </c>
      <c r="M170">
        <v>74.798394842303935</v>
      </c>
      <c r="N170">
        <v>-0.34251601798828973</v>
      </c>
      <c r="O170" s="1" t="str">
        <f>HYPERLINK(".\sm_car_250207_0944\sm_car_250207_0944_169_Ca124TrN_MaLSS_ode3_1.png","figure")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>
        <v>3.2483089000000001</v>
      </c>
      <c r="M171">
        <v>71.449353367437823</v>
      </c>
      <c r="N171">
        <v>-17.637595535505195</v>
      </c>
      <c r="O171" s="1" t="str">
        <f>HYPERLINK(".\sm_car_250207_0944\sm_car_250207_0944_170_Ca124TrN_MaTUR_ode3_1.png","figure")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>
        <v>20.077400799999999</v>
      </c>
      <c r="M172">
        <v>411.22792842874566</v>
      </c>
      <c r="N172">
        <v>1.5233271281385474</v>
      </c>
      <c r="O172" s="1" t="str">
        <f>HYPERLINK(".\sm_car_250207_0944\sm_car_250207_0944_171_Ca141TrN_MaWOT_ode3_1.png","figure")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>
        <v>17.196797700000001</v>
      </c>
      <c r="M173">
        <v>157.12815749209099</v>
      </c>
      <c r="N173">
        <v>-0.56459940494640726</v>
      </c>
      <c r="O173" s="1" t="str">
        <f>HYPERLINK(".\sm_car_250207_0944\sm_car_250207_0944_172_Ca141TrN_MaLSS_ode3_1.png","figure")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>
        <v>16.798007999999999</v>
      </c>
      <c r="M174">
        <v>99.142812460916517</v>
      </c>
      <c r="N174">
        <v>-89.336781358168466</v>
      </c>
      <c r="O174" s="1" t="str">
        <f>HYPERLINK(".\sm_car_250207_0944\sm_car_250207_0944_173_Ca141TrN_MaTUR_ode3_1.png","figure")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>
        <v>12.889253500000001</v>
      </c>
      <c r="M175">
        <v>96.916279937825891</v>
      </c>
      <c r="N175">
        <v>8.5627190902576852E-2</v>
      </c>
      <c r="O175" s="1" t="str">
        <f>HYPERLINK(".\sm_car_250207_0944\sm_car_250207_0944_174_Ca145TrN_MaWOT_ode3_1.png","figure")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>
        <v>10.846223</v>
      </c>
      <c r="M176">
        <v>25.406467397181345</v>
      </c>
      <c r="N176">
        <v>-4.2611171860884478E-2</v>
      </c>
      <c r="O176" s="1" t="str">
        <f>HYPERLINK(".\sm_car_250207_0944\sm_car_250207_0944_175_Ca145TrN_MaLSS_ode3_1.png","figure")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2379</v>
      </c>
      <c r="L177">
        <v>10.7253015</v>
      </c>
      <c r="M177">
        <v>25.2514855091604</v>
      </c>
      <c r="N177">
        <v>-2.6274573206840954</v>
      </c>
      <c r="O177" s="1" t="str">
        <f>HYPERLINK(".\sm_car_250207_0944\sm_car_250207_0944_176_Ca145TrN_MaTUR_ode3_1.png","figure")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2855</v>
      </c>
      <c r="L178">
        <v>14.567450600000001</v>
      </c>
      <c r="M178">
        <v>97.728205313995915</v>
      </c>
      <c r="N178">
        <v>-5.0752762636622338E-2</v>
      </c>
      <c r="O178" s="1" t="str">
        <f>HYPERLINK(".\sm_car_250207_0944\sm_car_250207_0944_177_Ca199TrN_MaWOT_ode3_1.png","figure")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>
        <v>12.0729524</v>
      </c>
      <c r="M179">
        <v>26.092669870012813</v>
      </c>
      <c r="N179">
        <v>-5.5253079629266788E-2</v>
      </c>
      <c r="O179" s="1" t="str">
        <f>HYPERLINK(".\sm_car_250207_0944\sm_car_250207_0944_178_Ca199TrN_MaLSS_ode3_1.png","figure")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>
        <v>12.500965799999999</v>
      </c>
      <c r="M180">
        <v>25.926774452485255</v>
      </c>
      <c r="N180">
        <v>-2.7324562674464201</v>
      </c>
      <c r="O180" s="1" t="str">
        <f>HYPERLINK(".\sm_car_250207_0944\sm_car_250207_0944_179_Ca199TrN_MaTUR_ode3_1.png","figure")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542</v>
      </c>
      <c r="L181">
        <v>15.776858900000001</v>
      </c>
      <c r="M181">
        <v>255.0657851345419</v>
      </c>
      <c r="N181">
        <v>-5.6741547217287192E-3</v>
      </c>
      <c r="O181" s="1" t="str">
        <f>HYPERLINK(".\sm_car_250207_0944\sm_car_250207_0944_180_Ca139TrN_MaDLC_ode23t_1.png","figure")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898</v>
      </c>
      <c r="L182">
        <v>54.172240199999997</v>
      </c>
      <c r="M182">
        <v>253.29022074509248</v>
      </c>
      <c r="N182">
        <v>0.17768960459371641</v>
      </c>
      <c r="O182" s="1" t="str">
        <f>HYPERLINK(".\sm_car_250207_0944\sm_car_250207_0944_181_Ca139TrE_MaDLC_ode23t_1.png","figure")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943</v>
      </c>
      <c r="L183">
        <v>52.760499000000003</v>
      </c>
      <c r="M183">
        <v>255.76323667972065</v>
      </c>
      <c r="N183">
        <v>-5.1675692729542533E-3</v>
      </c>
      <c r="O183" s="1" t="str">
        <f>HYPERLINK(".\sm_car_250207_0944\sm_car_250207_0944_182_Ca139TrT_MaDLC_ode23t_1.png","figure")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757</v>
      </c>
      <c r="L184">
        <v>36.309417799999999</v>
      </c>
      <c r="M184">
        <v>253.35766792900489</v>
      </c>
      <c r="N184">
        <v>1.2653040013272054E-2</v>
      </c>
      <c r="O184" s="1" t="str">
        <f>HYPERLINK(".\sm_car_250207_0944\sm_car_250207_0944_183_Ca139TrE_MaDLC_ode23t_1.png","figure")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628</v>
      </c>
      <c r="L185">
        <v>16.0895519</v>
      </c>
      <c r="M185">
        <v>254.28674171999211</v>
      </c>
      <c r="N185">
        <v>3.1961841739045482E-3</v>
      </c>
      <c r="O185" s="1" t="str">
        <f>HYPERLINK(".\sm_car_250207_0944\sm_car_250207_0944_184_Ca002TrN_MaDLC_ode23t_1.png","figure")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792</v>
      </c>
      <c r="L186">
        <v>36.392314300000002</v>
      </c>
      <c r="M186">
        <v>253.72462551774152</v>
      </c>
      <c r="N186">
        <v>3.4925554887470511E-3</v>
      </c>
      <c r="O186" s="1" t="str">
        <f>HYPERLINK(".\sm_car_250207_0944\sm_car_250207_0944_185_Ca002TrE_MaDLC_ode23t_1.png","figure")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875</v>
      </c>
      <c r="L187">
        <v>41.464002499999999</v>
      </c>
      <c r="M187">
        <v>253.96587251055695</v>
      </c>
      <c r="N187">
        <v>3.3667862476942645E-3</v>
      </c>
      <c r="O187" s="1" t="str">
        <f>HYPERLINK(".\sm_car_250207_0944\sm_car_250207_0944_186_Ca002TrT_MaDLC_ode23t_1.png","figure")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779</v>
      </c>
      <c r="L188">
        <v>28.273044899999999</v>
      </c>
      <c r="M188">
        <v>253.90968026435831</v>
      </c>
      <c r="N188">
        <v>3.3957542247646799E-3</v>
      </c>
      <c r="O188" s="1" t="str">
        <f>HYPERLINK(".\sm_car_250207_0944\sm_car_250207_0944_187_Ca002TrE_MaDLC_ode23t_1.png","figure")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480</v>
      </c>
      <c r="L189">
        <v>28.5193607</v>
      </c>
      <c r="M189">
        <v>255.43503019572074</v>
      </c>
      <c r="N189">
        <v>4.0749695576731249E-2</v>
      </c>
      <c r="O189" s="1" t="str">
        <f>HYPERLINK(".\sm_car_250207_0944\sm_car_250207_0944_188_Ca145TrN_MaDLC_ode23t_1.png","figure")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565</v>
      </c>
      <c r="L190">
        <v>53.866913799999999</v>
      </c>
      <c r="M190">
        <v>254.21812427308339</v>
      </c>
      <c r="N190">
        <v>4.5940849215345914E-2</v>
      </c>
      <c r="O190" s="1" t="str">
        <f>HYPERLINK(".\sm_car_250207_0944\sm_car_250207_0944_189_Ca145TrE_MaDLC_ode23t_1.png","figure")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646</v>
      </c>
      <c r="L191">
        <v>65.588889100000003</v>
      </c>
      <c r="M191">
        <v>253.26194428959025</v>
      </c>
      <c r="N191">
        <v>4.9233057178625472E-2</v>
      </c>
      <c r="O191" s="1" t="str">
        <f>HYPERLINK(".\sm_car_250207_0944\sm_car_250207_0944_190_Ca145TrT_MaDLC_ode23t_1.png","figure")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549</v>
      </c>
      <c r="L192">
        <v>46.113580499999998</v>
      </c>
      <c r="M192">
        <v>254.21833802973504</v>
      </c>
      <c r="N192">
        <v>4.5943479366467699E-2</v>
      </c>
      <c r="O192" s="1" t="str">
        <f>HYPERLINK(".\sm_car_250207_0944\sm_car_250207_0944_191_Ca145TrE_MaDLC_ode23t_1.png","figure")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486</v>
      </c>
      <c r="L193">
        <v>12.562995300000001</v>
      </c>
      <c r="M193">
        <v>255.43410946380783</v>
      </c>
      <c r="N193">
        <v>4.11427716174666E-2</v>
      </c>
      <c r="O193" s="1" t="str">
        <f>HYPERLINK(".\sm_car_250207_0944\sm_car_250207_0944_192_Ca199TrN_MaDLC_ode23t_1.png","figure")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>
        <v>31.881383499999998</v>
      </c>
      <c r="M194">
        <v>254.22038555012085</v>
      </c>
      <c r="N194">
        <v>4.5882416291426864E-2</v>
      </c>
      <c r="O194" s="1" t="str">
        <f>HYPERLINK(".\sm_car_250207_0944\sm_car_250207_0944_193_Ca199TrE_MaDLC_ode23t_1.png","figure")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630</v>
      </c>
      <c r="L195">
        <v>29.637077999999999</v>
      </c>
      <c r="M195">
        <v>254.63718418409161</v>
      </c>
      <c r="N195">
        <v>4.3997287510772587E-2</v>
      </c>
      <c r="O195" s="1" t="str">
        <f>HYPERLINK(".\sm_car_250207_0944\sm_car_250207_0944_194_Ca199TrT_MaDLC_ode23t_1.png","figure")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561</v>
      </c>
      <c r="L196">
        <v>22.324886299999999</v>
      </c>
      <c r="M196">
        <v>254.22020710053931</v>
      </c>
      <c r="N196">
        <v>4.5905466130270689E-2</v>
      </c>
      <c r="O196" s="1" t="str">
        <f>HYPERLINK(".\sm_car_250207_0944\sm_car_250207_0944_195_Ca199TrE_MaDLC_ode23t_1.png","figure")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439</v>
      </c>
      <c r="L197">
        <v>21.292329200000001</v>
      </c>
      <c r="M197">
        <v>261.02314464095014</v>
      </c>
      <c r="N197">
        <v>2.5013262231454338</v>
      </c>
      <c r="O197" s="1" t="str">
        <f>HYPERLINK(".\sm_car_250207_0944\sm_car_250207_0944_196_Ca139TrE_MaTRD_ode23t_1.png","figure")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506</v>
      </c>
      <c r="L198">
        <v>22.204190000000001</v>
      </c>
      <c r="M198">
        <v>261.00635715218027</v>
      </c>
      <c r="N198">
        <v>2.501083312562475</v>
      </c>
      <c r="O198" s="1" t="str">
        <f>HYPERLINK(".\sm_car_250207_0944\sm_car_250207_0944_197_Ca139TrU_MaTRD_ode23t_1.png","figure")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>
        <v>20.512638200000001</v>
      </c>
      <c r="M199">
        <v>-5.4183080522892226E-3</v>
      </c>
      <c r="N199">
        <v>-7.1187824721700272E-4</v>
      </c>
      <c r="O199" s="1" t="str">
        <f>HYPERLINK(".\sm_car_250207_0944\sm_car_250207_0944_198_Ca149TrN_MaPST_ode23t_1.png","figure")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1595</v>
      </c>
      <c r="L200">
        <v>68.551542999999995</v>
      </c>
      <c r="M200">
        <v>36.344952231884797</v>
      </c>
      <c r="N200">
        <v>0.35186867561130653</v>
      </c>
      <c r="O200" s="1" t="str">
        <f>HYPERLINK(".\sm_car_250207_0944\sm_car_250207_0944_199_Ca139TrN_MaSKD_ode23t_1.png","figure")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>
        <v>63.108447499999997</v>
      </c>
      <c r="M201">
        <v>3.3298610633591466</v>
      </c>
      <c r="N201">
        <v>26.689735393785583</v>
      </c>
      <c r="O201" s="1" t="str">
        <f>HYPERLINK(".\sm_car_250207_0944\sm_car_250207_0944_200_Ca139TrN_MaRAD_ode23t_1.png","figure")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1343</v>
      </c>
      <c r="L202">
        <v>88.021447300000005</v>
      </c>
      <c r="M202">
        <v>37.016821118920753</v>
      </c>
      <c r="N202">
        <v>0.22067788132937527</v>
      </c>
      <c r="O202" s="1" t="str">
        <f>HYPERLINK(".\sm_car_250207_0944\sm_car_250207_0944_201_Ca184TrN_MaSKD_ode23t_1.png","figure")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642</v>
      </c>
      <c r="L203">
        <v>39.6513749</v>
      </c>
      <c r="M203">
        <v>12.418936144447915</v>
      </c>
      <c r="N203">
        <v>21.887587278217893</v>
      </c>
      <c r="O203" s="1" t="str">
        <f>HYPERLINK(".\sm_car_250207_0944\sm_car_250207_0944_202_Ca184TrN_MaRAD_ode23t_1.png","figure")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>
        <v>53.683132399999998</v>
      </c>
      <c r="M204">
        <v>37.039861772722368</v>
      </c>
      <c r="N204">
        <v>0.21981916264308435</v>
      </c>
      <c r="O204" s="1" t="str">
        <f>HYPERLINK(".\sm_car_250207_0944\sm_car_250207_0944_203_Ca198TrN_MaSKD_ode23t_1.png","figure")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690</v>
      </c>
      <c r="L205">
        <v>23.827971900000001</v>
      </c>
      <c r="M205">
        <v>12.40391207263437</v>
      </c>
      <c r="N205">
        <v>21.841681499349754</v>
      </c>
      <c r="O205" s="1" t="str">
        <f>HYPERLINK(".\sm_car_250207_0944\sm_car_250207_0944_204_Ca198TrN_MaRAD_ode23t_1.png","figure")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27424</v>
      </c>
      <c r="L206">
        <v>698.37268080000001</v>
      </c>
      <c r="M206">
        <v>20.274013360089086</v>
      </c>
      <c r="N206">
        <v>3.0711249153379305</v>
      </c>
      <c r="O206" s="1" t="str">
        <f>HYPERLINK(".\sm_car_250207_0944\sm_car_250207_0944_205_Ca156TrN_MaIPA_ode23t.png","figure")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>
        <v>443.79466029999998</v>
      </c>
      <c r="M207">
        <v>16.625055162622296</v>
      </c>
      <c r="N207">
        <v>0.59449847260109856</v>
      </c>
      <c r="O207" s="1" t="str">
        <f>HYPERLINK(".\sm_car_250207_0944\sm_car_250207_0944_206_Ca130TrN_MaIPA_ode23t.png","figure")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1351</v>
      </c>
      <c r="L208">
        <v>34.7504335</v>
      </c>
      <c r="M208">
        <v>346.81591234347093</v>
      </c>
      <c r="N208">
        <v>0.75075769245109536</v>
      </c>
      <c r="O208" s="1" t="str">
        <f>HYPERLINK(".\sm_car_250207_0944\sm_car_250207_0944_207_Ca171TrN_MaRDP_ode23t_1.png","figure")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1284</v>
      </c>
      <c r="L209">
        <v>18.3238998</v>
      </c>
      <c r="M209">
        <v>142.00597187955984</v>
      </c>
      <c r="N209">
        <v>3.7126674977543031E-2</v>
      </c>
      <c r="O209" s="1" t="str">
        <f>HYPERLINK(".\sm_car_250207_0944\sm_car_250207_0944_208_Ca172TrN_MaRDP_ode23t_1.png","figure")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>
        <v>31.019595500000001</v>
      </c>
      <c r="M210">
        <v>371.09676825683908</v>
      </c>
      <c r="N210">
        <v>0.79905864625205703</v>
      </c>
      <c r="O210" s="1" t="str">
        <f>HYPERLINK(".\sm_car_250207_0944\sm_car_250207_0944_209_Ca139TrN_MaZPL_ode23t_1.png","figure")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2116</v>
      </c>
      <c r="L211">
        <v>16.446643399999999</v>
      </c>
      <c r="M211">
        <v>397.51984647987143</v>
      </c>
      <c r="N211">
        <v>0.33442530612863464</v>
      </c>
      <c r="O211" s="1" t="str">
        <f>HYPERLINK(".\sm_car_250207_0944\sm_car_250207_0944_210_Ca165TrN_MaZPL_ode23t_1.png","figure")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1453</v>
      </c>
      <c r="L212">
        <v>37.933398699999998</v>
      </c>
      <c r="M212">
        <v>370.86474907532897</v>
      </c>
      <c r="N212">
        <v>0.82052860096051483</v>
      </c>
      <c r="O212" s="1" t="str">
        <f>HYPERLINK(".\sm_car_250207_0944\sm_car_250207_0944_211_Ca171TrN_MaZPL_ode23t_1.png","figure")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509</v>
      </c>
      <c r="L213">
        <v>6.9119519</v>
      </c>
      <c r="M213">
        <v>378.1735744685393</v>
      </c>
      <c r="N213">
        <v>0.32184342882199374</v>
      </c>
      <c r="O213" s="1" t="str">
        <f>HYPERLINK(".\sm_car_250207_0944\sm_car_250207_0944_212_Ca165TrN_MaCPL_ode23t_1.png","figure")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468</v>
      </c>
      <c r="L214">
        <v>4.4406562999999997</v>
      </c>
      <c r="M214">
        <v>380.71235371511557</v>
      </c>
      <c r="N214">
        <v>0.32740111531184607</v>
      </c>
      <c r="O214" s="1" t="str">
        <f>HYPERLINK(".\sm_car_250207_0944\sm_car_250207_0944_213_Ca170TrN_MaCPL_ode23t_1.png","figure")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2474</v>
      </c>
      <c r="L215">
        <v>69.685794799999996</v>
      </c>
      <c r="M215">
        <v>152.4299294091424</v>
      </c>
      <c r="N215">
        <v>1.9425986373955892E-3</v>
      </c>
      <c r="O215" s="1" t="str">
        <f>HYPERLINK(".\sm_car_250207_0944\sm_car_250207_0944_214_Ca171TrN_MaRDR_ode23t_1.png","figure")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2947</v>
      </c>
      <c r="L216">
        <v>47.2864717</v>
      </c>
      <c r="M216">
        <v>146.52002605025331</v>
      </c>
      <c r="N216">
        <v>-4.7874117511680766E-3</v>
      </c>
      <c r="O216" s="1" t="str">
        <f>HYPERLINK(".\sm_car_250207_0944\sm_car_250207_0944_215_Ca172TrN_MaRDR_ode23t_1.png","figure")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3038</v>
      </c>
      <c r="L217">
        <v>59.093200799999998</v>
      </c>
      <c r="M217">
        <v>176.53761038434641</v>
      </c>
      <c r="N217">
        <v>8.6622771182433994E-4</v>
      </c>
      <c r="O217" s="1" t="str">
        <f>HYPERLINK(".\sm_car_250207_0944\sm_car_250207_0944_216_Ca139TrN_MaZRR_ode23t_1.png","figure")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3564</v>
      </c>
      <c r="L218">
        <v>35.979715300000002</v>
      </c>
      <c r="M218">
        <v>176.81579820851508</v>
      </c>
      <c r="N218">
        <v>8.1956349375177456E-5</v>
      </c>
      <c r="O218" s="1" t="str">
        <f>HYPERLINK(".\sm_car_250207_0944\sm_car_250207_0944_217_Ca165TrN_MaZRR_ode23t_1.png","figure")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3037</v>
      </c>
      <c r="L219">
        <v>87.409997799999999</v>
      </c>
      <c r="M219">
        <v>176.54742413486031</v>
      </c>
      <c r="N219">
        <v>8.6838621171340534E-4</v>
      </c>
      <c r="O219" s="1" t="str">
        <f>HYPERLINK(".\sm_car_250207_0944\sm_car_250207_0944_218_Ca171TrN_MaZRR_ode23t_1.png","figure")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5121</v>
      </c>
      <c r="L220">
        <v>31.871086399999999</v>
      </c>
      <c r="M220">
        <v>-5.9995982331324882</v>
      </c>
      <c r="N220">
        <v>2.9008372377728317E-3</v>
      </c>
      <c r="O220" s="1" t="str">
        <f>HYPERLINK(".\sm_car_250207_0944\sm_car_250207_0944_219_Ca170TrN_MaCMP_ode23t_1.png","figure")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1820</v>
      </c>
      <c r="L221">
        <v>19.962448500000001</v>
      </c>
      <c r="M221">
        <v>-5.9750553857048629</v>
      </c>
      <c r="N221">
        <v>2.824224660667203E-3</v>
      </c>
      <c r="O221" s="1" t="str">
        <f>HYPERLINK(".\sm_car_250207_0944\sm_car_250207_0944_220_Ca170TrN_MaCMF_ode23t_1.png","figure")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4592</v>
      </c>
      <c r="L222">
        <v>65.8075975</v>
      </c>
      <c r="M222">
        <v>-329.51545375818159</v>
      </c>
      <c r="N222">
        <v>6.0778658170644499</v>
      </c>
      <c r="O222" s="1" t="str">
        <f>HYPERLINK(".\sm_car_250207_0944\sm_car_250207_0944_221_Ca170TrN_MaMPO_ode23t_1.png","figure")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1203</v>
      </c>
      <c r="L223">
        <v>17.6467776</v>
      </c>
      <c r="M223">
        <v>-13.901510682659563</v>
      </c>
      <c r="N223">
        <v>0.20525502882614433</v>
      </c>
      <c r="O223" s="1" t="str">
        <f>HYPERLINK(".\sm_car_250207_0944\sm_car_250207_0944_222_Ca170TrN_MaMCI_ode23t_1.png","figure")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6158</v>
      </c>
      <c r="L224">
        <v>33.894258899999997</v>
      </c>
      <c r="M224">
        <v>-5.9992421894719357</v>
      </c>
      <c r="N224">
        <v>-4.4731015232458817E-3</v>
      </c>
      <c r="O224" s="1" t="str">
        <f>HYPERLINK(".\sm_car_250207_0944\sm_car_250207_0944_223_Ca170TrN_MaCHO_ode23t_1.png","figure")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3454</v>
      </c>
      <c r="L225">
        <v>31.137609099999999</v>
      </c>
      <c r="M225">
        <v>-5.9992595494026428</v>
      </c>
      <c r="N225">
        <v>-4.4891781424714686E-3</v>
      </c>
      <c r="O225" s="1" t="str">
        <f>HYPERLINK(".\sm_car_250207_0944\sm_car_250207_0944_224_Ca170TrN_MaCHF_ode23t_1.png","figure")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7092</v>
      </c>
      <c r="L226">
        <v>51.0479658</v>
      </c>
      <c r="M226">
        <v>-751.82110712494455</v>
      </c>
      <c r="N226">
        <v>628.255236965427</v>
      </c>
      <c r="O226" s="1" t="str">
        <f>HYPERLINK(".\sm_car_250207_0944\sm_car_250207_0944_225_Ca170TrN_MaCKY_ode23t_1.png","figure")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>
        <v>25.537026900000001</v>
      </c>
      <c r="M227">
        <v>-758.4562608701159</v>
      </c>
      <c r="N227">
        <v>632.56434178375514</v>
      </c>
      <c r="O227" s="1" t="str">
        <f>HYPERLINK(".\sm_car_250207_0944\sm_car_250207_0944_226_Ca170TrN_MaCKF_ode23t_1.png","figure")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2810</v>
      </c>
      <c r="L228">
        <v>27.3915373</v>
      </c>
      <c r="M228">
        <v>177.30636095410998</v>
      </c>
      <c r="N228">
        <v>288.17409851601479</v>
      </c>
      <c r="O228" s="1" t="str">
        <f>HYPERLINK(".\sm_car_250207_0944\sm_car_250207_0944_227_Ca170TrN_MaCNN_ode23t_1.png","figure")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4325</v>
      </c>
      <c r="L229">
        <v>109.16301660000001</v>
      </c>
      <c r="M229">
        <v>2995.854025046232</v>
      </c>
      <c r="N229">
        <v>-3063.9255584750244</v>
      </c>
      <c r="O229" s="1" t="str">
        <f>HYPERLINK(".\sm_car_250207_0944\sm_car_250207_0944_228_Ca170TrN_MaCNF_ode23t_1.png","figure")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2930</v>
      </c>
      <c r="L230">
        <v>24.781543899999999</v>
      </c>
      <c r="M230">
        <v>522.3063188871605</v>
      </c>
      <c r="N230">
        <v>-164.27145275936721</v>
      </c>
      <c r="O230" s="1" t="str">
        <f>HYPERLINK(".\sm_car_250207_0944\sm_car_250207_0944_229_Ca170TrN_MaCSZ_ode23t_1.png","figure")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5704</v>
      </c>
      <c r="L231">
        <v>150.1401218</v>
      </c>
      <c r="M231">
        <v>-8.8945847787747123</v>
      </c>
      <c r="N231">
        <v>9.2829540016105567E-3</v>
      </c>
      <c r="O231" s="1" t="str">
        <f>HYPERLINK(".\sm_car_250207_0944\sm_car_250207_0944_230_Ca170TrN_MaCSF_ode23t_1.png","figure")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2143</v>
      </c>
      <c r="L232">
        <v>26.161027199999999</v>
      </c>
      <c r="M232">
        <v>208.95165098446881</v>
      </c>
      <c r="N232">
        <v>379.20657447528339</v>
      </c>
      <c r="O232" s="1" t="str">
        <f>HYPERLINK(".\sm_car_250207_0944\sm_car_250207_0944_231_Ca170TrN_MaCPU_ode23t_1.png","figure")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2612</v>
      </c>
      <c r="L233">
        <v>27.806569100000001</v>
      </c>
      <c r="M233">
        <v>183.04703068039476</v>
      </c>
      <c r="N233">
        <v>-170.22009275425262</v>
      </c>
      <c r="O233" s="1" t="str">
        <f>HYPERLINK(".\sm_car_250207_0944\sm_car_250207_0944_232_Ca170TrN_MaCPD_ode23t_1.png","figure")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1830</v>
      </c>
      <c r="L234">
        <v>8.2756658999999999</v>
      </c>
      <c r="M234">
        <v>-5.9620595279682203</v>
      </c>
      <c r="N234">
        <v>2.7190596274582488E-3</v>
      </c>
      <c r="O234" s="1" t="str">
        <f>HYPERLINK(".\sm_car_250207_0944\sm_car_250207_0944_233_Ca202TrN_MaCMF_ode23t_1.png","figure")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4519</v>
      </c>
      <c r="L235">
        <v>40.647424000000001</v>
      </c>
      <c r="M235">
        <v>-329.50712393123166</v>
      </c>
      <c r="N235">
        <v>6.0559247759973056</v>
      </c>
      <c r="O235" s="1" t="str">
        <f>HYPERLINK(".\sm_car_250207_0944\sm_car_250207_0944_234_Ca202TrN_MaMPO_ode23t_1.png","figure")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1178</v>
      </c>
      <c r="L236">
        <v>10.758071599999999</v>
      </c>
      <c r="M236">
        <v>-13.901500956495006</v>
      </c>
      <c r="N236">
        <v>0.20537021439128011</v>
      </c>
      <c r="O236" s="1" t="str">
        <f>HYPERLINK(".\sm_car_250207_0944\sm_car_250207_0944_235_Ca202TrN_MaMCI_ode23t_1.png","figure")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3637</v>
      </c>
      <c r="L237">
        <v>18.0388965</v>
      </c>
      <c r="M237">
        <v>-5.9989146102622239</v>
      </c>
      <c r="N237">
        <v>-7.1848397327406895E-3</v>
      </c>
      <c r="O237" s="1" t="str">
        <f>HYPERLINK(".\sm_car_250207_0944\sm_car_250207_0944_236_Ca202TrN_MaCKF_ode23t_1.png","figure")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10220</v>
      </c>
      <c r="L238">
        <v>181.3526569</v>
      </c>
      <c r="M238">
        <v>-8.9993600705136867</v>
      </c>
      <c r="N238">
        <v>4.6908323499256228E-2</v>
      </c>
      <c r="O238" s="1" t="str">
        <f>HYPERLINK(".\sm_car_250207_0944\sm_car_250207_0944_237_Ca202TrN_MaCNF_ode23t_1.png","figure")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5693</v>
      </c>
      <c r="L239">
        <v>87.652383200000003</v>
      </c>
      <c r="M239">
        <v>-8.9094174157511397</v>
      </c>
      <c r="N239">
        <v>9.6127428666079127E-3</v>
      </c>
      <c r="O239" s="1" t="str">
        <f>HYPERLINK(".\sm_car_250207_0944\sm_car_250207_0944_238_Ca202TrN_MaCSF_ode23t_1.png","figure")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5489</v>
      </c>
      <c r="L240">
        <v>33.9247388</v>
      </c>
      <c r="M240">
        <v>-5.9977177797241064</v>
      </c>
      <c r="N240">
        <v>2.9536013196056468E-3</v>
      </c>
      <c r="O240" s="1" t="str">
        <f>HYPERLINK(".\sm_car_250207_0944\sm_car_250207_0944_239_Ca202TrN_MaCMP_ode23t_1.png","figure")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15094</v>
      </c>
      <c r="L241">
        <v>95.609224299999994</v>
      </c>
      <c r="M241">
        <v>-5.9982525470310559</v>
      </c>
      <c r="N241">
        <v>-8.9000973978975717E-3</v>
      </c>
      <c r="O241" s="1" t="str">
        <f>HYPERLINK(".\sm_car_250207_0944\sm_car_250207_0944_240_Ca202TrN_MaCKY_ode23t_1.png","figure")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455</v>
      </c>
      <c r="L242">
        <v>4.2042954999999997</v>
      </c>
      <c r="M242">
        <v>382.01204449174821</v>
      </c>
      <c r="N242">
        <v>0.32996587552581491</v>
      </c>
      <c r="O242" s="1" t="str">
        <f>HYPERLINK(".\sm_car_250207_0944\sm_car_250207_0944_241_Ca202TrN_MaCPL_ode23t_1.png","figure")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2750</v>
      </c>
      <c r="L243">
        <v>67.350268</v>
      </c>
      <c r="M243">
        <v>176.34667007706867</v>
      </c>
      <c r="N243">
        <v>7.6309943701519686E-4</v>
      </c>
      <c r="O243" s="1" t="str">
        <f>HYPERLINK(".\sm_car_250207_0944\sm_car_250207_0944_242_Ca140TrN_MaCRR_ode23t_1.png","figure")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3440</v>
      </c>
      <c r="L244">
        <v>71.062993000000006</v>
      </c>
      <c r="M244">
        <v>176.40319706466167</v>
      </c>
      <c r="N244">
        <v>7.9294848183597457E-4</v>
      </c>
      <c r="O244" s="1" t="str">
        <f>HYPERLINK(".\sm_car_250207_0944\sm_car_250207_0944_243_Ca189TrN_MaCRR_ode23t_1.png","figure")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10613</v>
      </c>
      <c r="L245">
        <v>188.2276703</v>
      </c>
      <c r="M245">
        <v>208.81118450541555</v>
      </c>
      <c r="N245">
        <v>-0.77062665580368694</v>
      </c>
      <c r="O245" s="1" t="str">
        <f>HYPERLINK(".\sm_car_250207_0944\sm_car_250207_0944_244_Ca189TrN_MaGSU_ode23t_1.png","figure")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1688</v>
      </c>
      <c r="L246">
        <v>118.9607845</v>
      </c>
      <c r="M246">
        <v>51.299559021284537</v>
      </c>
      <c r="N246">
        <v>9.0083242139128404E-3</v>
      </c>
      <c r="O246" s="1" t="str">
        <f>HYPERLINK(".\sm_car_250207_0944\sm_car_250207_0944_245_Ca173TrN_MaDCA_daessc_1.png","figure")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4147</v>
      </c>
      <c r="L247">
        <v>183.35903260000001</v>
      </c>
      <c r="M247">
        <v>980.4680049861181</v>
      </c>
      <c r="N247">
        <v>0.72223732352714998</v>
      </c>
      <c r="O247" s="1" t="str">
        <f>HYPERLINK(".\sm_car_250207_0944\sm_car_250207_0944_246_Ca173TrN_MaDC1_daessc_1.png","figure")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327</v>
      </c>
      <c r="L248">
        <v>4.6741764000000003</v>
      </c>
      <c r="M248">
        <v>53.510912627255628</v>
      </c>
      <c r="N248">
        <v>9.7321961945168369E-3</v>
      </c>
      <c r="O248" s="1" t="str">
        <f>HYPERLINK(".\sm_car_250207_0944\sm_car_250207_0944_247_Ca165TrN_MaDCA_ode23t_1.png","figure")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1194</v>
      </c>
      <c r="L249">
        <v>11.314624200000001</v>
      </c>
      <c r="M249">
        <v>992.65436707075241</v>
      </c>
      <c r="N249">
        <v>0.75376475326574777</v>
      </c>
      <c r="O249" s="1" t="str">
        <f>HYPERLINK(".\sm_car_250207_0944\sm_car_250207_0944_248_Ca165TrN_MaDC1_ode23t_1.png","figure")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4043</v>
      </c>
      <c r="L250">
        <v>84.398619499999995</v>
      </c>
      <c r="M250">
        <v>980.4612052462254</v>
      </c>
      <c r="N250">
        <v>0.72246819580769328</v>
      </c>
      <c r="O250" s="1" t="str">
        <f>HYPERLINK(".\sm_car_250207_0944\sm_car_250207_0944_249_Ca196TrN_MaDC1_daessc_1.png","figure")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479</v>
      </c>
      <c r="L251">
        <v>7.6101016000000001</v>
      </c>
      <c r="M251">
        <v>147.85059158072136</v>
      </c>
      <c r="N251">
        <v>9.3774461488928179E-2</v>
      </c>
      <c r="O251" s="1" t="str">
        <f>HYPERLINK(".\sm_car_250207_0944\sm_car_250207_0944_250_Ca179TrN_MaWOT_ode23t_1.png","figure")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>
        <v>10.0746088</v>
      </c>
      <c r="M252">
        <v>147.86504849553364</v>
      </c>
      <c r="N252">
        <v>9.4537148047985881E-2</v>
      </c>
      <c r="O252" s="1" t="str">
        <f>HYPERLINK(".\sm_car_250207_0944\sm_car_250207_0944_251_Ca180TrN_MaWOT_ode23t_1.png","figure")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462</v>
      </c>
      <c r="L253">
        <v>3.2452681999999999</v>
      </c>
      <c r="M253">
        <v>147.86075186897483</v>
      </c>
      <c r="N253">
        <v>9.4534367503857214E-2</v>
      </c>
      <c r="O253" s="1" t="str">
        <f>HYPERLINK(".\sm_car_250207_0944\sm_car_250207_0944_252_Ca197TrN_MaWOT_ode23t_1.png","figure")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>
        <v>18.846206200000001</v>
      </c>
      <c r="M254">
        <v>63.170402740877307</v>
      </c>
      <c r="N254">
        <v>-25.339355432324108</v>
      </c>
      <c r="O254" s="1" t="str">
        <f>HYPERLINK(".\sm_car_250207_0944\sm_car_250207_0944_253_Ca182TrN_MaTUR_ode23t_1.png","figure")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>
        <v>7.1435940999999996</v>
      </c>
      <c r="M255">
        <v>63.138233776362142</v>
      </c>
      <c r="N255">
        <v>-25.32535124567821</v>
      </c>
      <c r="O255" s="1" t="str">
        <f>HYPERLINK(".\sm_car_250207_0944\sm_car_250207_0944_254_Ca203TrN_MaTUR_ode23t_1.png","figure")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504</v>
      </c>
      <c r="L256">
        <v>32.238405200000003</v>
      </c>
      <c r="M256">
        <v>114.16031365627433</v>
      </c>
      <c r="N256">
        <v>-80.779460474374304</v>
      </c>
      <c r="O256" s="1" t="str">
        <f>HYPERLINK(".\sm_car_250207_0944\sm_car_250207_0944_255_Ca185TrN_MaTUR_ode23t_1.png","figure")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558</v>
      </c>
      <c r="L257">
        <v>10.743789599999999</v>
      </c>
      <c r="M257">
        <v>140.63220444997853</v>
      </c>
      <c r="N257">
        <v>-71.771185428398553</v>
      </c>
      <c r="O257" s="1" t="str">
        <f>HYPERLINK(".\sm_car_250207_0944\sm_car_250207_0944_256_Ca188TrN_MaTUR_ode23t_1.png","figure")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>
        <v>21.0132984</v>
      </c>
      <c r="M258">
        <v>79.191327424578944</v>
      </c>
      <c r="N258">
        <v>-0.33364403886283883</v>
      </c>
      <c r="O258" s="1" t="str">
        <f>HYPERLINK(".\sm_car_250207_0944\sm_car_Axle3_250207_0944_257_CaAxle3_000TrN_MaWOT_ode23t_1.png","figure")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>
        <v>21.468656599999999</v>
      </c>
      <c r="M259">
        <v>69.133372940784071</v>
      </c>
      <c r="N259">
        <v>8.3860847378028749E-2</v>
      </c>
      <c r="O259" s="1" t="str">
        <f>HYPERLINK(".\sm_car_250207_0944\sm_car_Axle3_250207_0944_258_CaAxle3_008TrN_MaWOT_ode23t_1.png","figure")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431</v>
      </c>
      <c r="L260">
        <v>16.657278699999999</v>
      </c>
      <c r="M260">
        <v>79.251800411424171</v>
      </c>
      <c r="N260">
        <v>-0.31329925970398254</v>
      </c>
      <c r="O260" s="1" t="str">
        <f>HYPERLINK(".\sm_car_250207_0944\sm_car_Axle3_250207_0944_259_CaAxle3_003TrN_MaWOT_ode23t_1.png","figure")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439</v>
      </c>
      <c r="L261">
        <v>2.8527599000000001</v>
      </c>
      <c r="M261">
        <v>80.149501583722</v>
      </c>
      <c r="N261">
        <v>-0.31965306199436616</v>
      </c>
      <c r="O261" s="1" t="str">
        <f>HYPERLINK(".\sm_car_250207_0944\sm_car_Axle3_250207_0944_260_CaAxle3_017TrN_MaWOT_ode23t_1.png","figure")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>
        <v>39.922640299999998</v>
      </c>
      <c r="M262">
        <v>23.326591154260509</v>
      </c>
      <c r="N262">
        <v>2.4825691196431639E-3</v>
      </c>
      <c r="O262" s="1" t="str">
        <f>HYPERLINK(".\sm_car_250207_0944\sm_car_Axle3_250207_0944_261_CaAxle3_010TrK_MaWOT_ode23t_1.png","figure")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>
        <v>41.048005099999997</v>
      </c>
      <c r="M263">
        <v>23.441149727267426</v>
      </c>
      <c r="N263">
        <v>2.531835182444972E-3</v>
      </c>
      <c r="O263" s="1" t="str">
        <f>HYPERLINK(".\sm_car_250207_0944\sm_car_Axle3_250207_0944_262_CaAxle3_010TrK_MaWOT_ode23t_1.png","figure")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>
        <v>3.2818749999999999</v>
      </c>
      <c r="M264">
        <v>26.914103490089797</v>
      </c>
      <c r="N264">
        <v>3.6184459320297707E-3</v>
      </c>
      <c r="O264" s="1" t="str">
        <f>HYPERLINK(".\sm_car_250207_0944\sm_car_Axle3_250207_0944_263_CaAxle3_019TrK_MaWOT_ode23t_1.png","figure")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>
        <v>3.4017601000000002</v>
      </c>
      <c r="M265">
        <v>26.904143613440198</v>
      </c>
      <c r="N265">
        <v>3.6114609031043764E-3</v>
      </c>
      <c r="O265" s="1" t="str">
        <f>HYPERLINK(".\sm_car_250207_0944\sm_car_Axle3_250207_0944_264_CaAxle3_019TrK_MaWOT_ode23t_1.png","figure")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668</v>
      </c>
      <c r="L266">
        <v>28.413949800000001</v>
      </c>
      <c r="M266">
        <v>253.83667763531832</v>
      </c>
      <c r="N266">
        <v>-9.9247694348122195E-2</v>
      </c>
      <c r="O266" s="1" t="str">
        <f>HYPERLINK(".\sm_car_250207_0944\sm_car_Axle3_250207_0944_265_CaAxle3_012TrK_MaDLC_ode23t_1.png","figure")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766</v>
      </c>
      <c r="L267">
        <v>29.392168699999999</v>
      </c>
      <c r="M267">
        <v>253.50611501468927</v>
      </c>
      <c r="N267">
        <v>-9.6586594831293837E-2</v>
      </c>
      <c r="O267" s="1" t="str">
        <f>HYPERLINK(".\sm_car_250207_0944\sm_car_Axle3_250207_0944_266_CaAxle3_012TrK_MaDLC_ode23t_1.png","figure")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675</v>
      </c>
      <c r="L268">
        <v>27.037005000000001</v>
      </c>
      <c r="M268">
        <v>253.88268205847487</v>
      </c>
      <c r="N268">
        <v>-9.9104937318485575E-2</v>
      </c>
      <c r="O268" s="1" t="str">
        <f>HYPERLINK(".\sm_car_250207_0944\sm_car_Axle3_250207_0944_267_CaAxle3_012TrK_MaDLC_ode23t_1.png","figure")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931</v>
      </c>
      <c r="L269">
        <v>34.6558305</v>
      </c>
      <c r="M269">
        <v>253.32195878935823</v>
      </c>
      <c r="N269">
        <v>-8.9134541795805156E-2</v>
      </c>
      <c r="O269" s="1" t="str">
        <f>HYPERLINK(".\sm_car_250207_0944\sm_car_Axle3_250207_0944_268_CaAxle3_012TrK_MaDLC_ode23t_1.png","figure")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7258-7CBA-4B97-A102-75078645AB42}">
  <dimension ref="A1:R287"/>
  <sheetViews>
    <sheetView topLeftCell="C1" workbookViewId="0">
      <selection activeCell="R18" sqref="R18"/>
    </sheetView>
  </sheetViews>
  <sheetFormatPr defaultRowHeight="15" x14ac:dyDescent="0.25"/>
  <cols>
    <col min="1" max="1" width="6.710937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9.5703125" bestFit="1" customWidth="1"/>
    <col min="12" max="12" width="7.7109375" bestFit="1" customWidth="1"/>
    <col min="13" max="14" width="8.5703125" bestFit="1" customWidth="1"/>
    <col min="15" max="15" width="8.85546875" bestFit="1" customWidth="1"/>
    <col min="16" max="16" width="7.140625" bestFit="1" customWidth="1"/>
    <col min="18" max="18" width="31.140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140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421</v>
      </c>
      <c r="L2" s="5">
        <v>12.5461638</v>
      </c>
      <c r="M2" s="5">
        <v>231.1974575922238</v>
      </c>
      <c r="N2" s="5">
        <v>-4.0020856526026142E-3</v>
      </c>
      <c r="O2" s="1" t="str">
        <f>HYPERLINK(".\sm_car_250419_1657\sm_car_250419_1657_001_Ca000TrN_MaWOT_ode23t.png","figure")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525</v>
      </c>
      <c r="L3" s="5">
        <v>13.110889500000001</v>
      </c>
      <c r="M3" s="5">
        <v>71.239124124835115</v>
      </c>
      <c r="N3" s="5">
        <v>-0.53692236888604195</v>
      </c>
      <c r="O3" s="1" t="str">
        <f>HYPERLINK(".\sm_car_250419_1657\sm_car_250419_1657_002_Ca000TrN_MaLSS_ode23t.png","figure")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412</v>
      </c>
      <c r="L4" s="5">
        <v>12.3024682</v>
      </c>
      <c r="M4" s="5">
        <v>230.20343802362143</v>
      </c>
      <c r="N4" s="5">
        <v>-1.3518455801268675E-2</v>
      </c>
      <c r="O4" s="1" t="str">
        <f>HYPERLINK(".\sm_car_250419_1657\sm_car_250419_1657_003_Ca001TrN_MaWOT_ode23t.png","figure")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 s="5">
        <v>15.118665999999999</v>
      </c>
      <c r="M5" s="5">
        <v>70.9592525792185</v>
      </c>
      <c r="N5" s="5">
        <v>-0.53389605746430235</v>
      </c>
      <c r="O5" s="1" t="str">
        <f>HYPERLINK(".\sm_car_250419_1657\sm_car_250419_1657_004_Ca001TrN_MaLSS_ode23t.png","figure")</f>
        <v>figure</v>
      </c>
      <c r="P5" t="s">
        <v>15</v>
      </c>
      <c r="R5" t="s">
        <v>141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429</v>
      </c>
      <c r="L6" s="5">
        <v>17.762498600000001</v>
      </c>
      <c r="M6" s="5">
        <v>230.37467643636268</v>
      </c>
      <c r="N6" s="5">
        <v>5.7867916685780792E-2</v>
      </c>
      <c r="O6" s="1" t="str">
        <f>HYPERLINK(".\sm_car_250419_1657\sm_car_250419_1657_005_Ca002TrN_MaWOT_ode23t.png","figure")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533</v>
      </c>
      <c r="L7" s="5">
        <v>20.035683599999999</v>
      </c>
      <c r="M7" s="5">
        <v>70.9567695331057</v>
      </c>
      <c r="N7" s="5">
        <v>-0.53380888182034369</v>
      </c>
      <c r="O7" s="1" t="str">
        <f>HYPERLINK(".\sm_car_250419_1657\sm_car_250419_1657_006_Ca002TrN_MaLSS_ode23t.png","figure")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476</v>
      </c>
      <c r="L8" s="5">
        <v>20.8597146</v>
      </c>
      <c r="M8" s="5">
        <v>229.92561408927068</v>
      </c>
      <c r="N8" s="5">
        <v>5.4273435239187796E-2</v>
      </c>
      <c r="O8" s="1" t="str">
        <f>HYPERLINK(".\sm_car_250419_1657\sm_car_250419_1657_007_Ca003TrN_MaWOT_ode23t.png","figure")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549</v>
      </c>
      <c r="L9" s="5">
        <v>19.157598</v>
      </c>
      <c r="M9" s="5">
        <v>70.823706372214872</v>
      </c>
      <c r="N9" s="5">
        <v>-0.52720977586764606</v>
      </c>
      <c r="O9" s="1" t="str">
        <f>HYPERLINK(".\sm_car_250419_1657\sm_car_250419_1657_008_Ca003TrN_MaLSS_ode23t.png","figure")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1094</v>
      </c>
      <c r="L10" s="5">
        <v>18.805675799999999</v>
      </c>
      <c r="M10" s="5">
        <v>231.13183737255312</v>
      </c>
      <c r="N10" s="5">
        <v>-1.1208275411573355E-3</v>
      </c>
      <c r="O10" s="1" t="str">
        <f>HYPERLINK(".\sm_car_250419_1657\sm_car_250419_1657_009_Ca004TrN_MaWOT_ode23t.png","figure")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1201</v>
      </c>
      <c r="L11" s="5">
        <v>20.629862500000002</v>
      </c>
      <c r="M11" s="5">
        <v>71.250407415563757</v>
      </c>
      <c r="N11" s="5">
        <v>-0.54308067327874976</v>
      </c>
      <c r="O11" s="1" t="str">
        <f>HYPERLINK(".\sm_car_250419_1657\sm_car_250419_1657_010_Ca004TrN_MaLSS_ode23t.png","figure")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1114</v>
      </c>
      <c r="L12" s="5">
        <v>21.279288000000001</v>
      </c>
      <c r="M12" s="5">
        <v>230.1312890077879</v>
      </c>
      <c r="N12" s="5">
        <v>-1.1678071841017658E-2</v>
      </c>
      <c r="O12" s="1" t="str">
        <f>HYPERLINK(".\sm_car_250419_1657\sm_car_250419_1657_011_Ca005TrN_MaWOT_ode23t.png","figure")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1233</v>
      </c>
      <c r="L13" s="5">
        <v>23.5446372</v>
      </c>
      <c r="M13" s="5">
        <v>70.973666805261928</v>
      </c>
      <c r="N13" s="5">
        <v>-0.53672654200130832</v>
      </c>
      <c r="O13" s="1" t="str">
        <f>HYPERLINK(".\sm_car_250419_1657\sm_car_250419_1657_012_Ca005TrN_MaLSS_ode23t.png","figure")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1220</v>
      </c>
      <c r="L14" s="5">
        <v>27.4900552</v>
      </c>
      <c r="M14" s="5">
        <v>230.33310669724068</v>
      </c>
      <c r="N14" s="5">
        <v>4.8392771961167674E-2</v>
      </c>
      <c r="O14" s="1" t="str">
        <f>HYPERLINK(".\sm_car_250419_1657\sm_car_250419_1657_013_Ca006TrN_MaWOT_ode23t.png","figure")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1280</v>
      </c>
      <c r="L15" s="5">
        <v>26.191161999999998</v>
      </c>
      <c r="M15" s="5">
        <v>70.961917113911838</v>
      </c>
      <c r="N15" s="5">
        <v>-0.53277017767138457</v>
      </c>
      <c r="O15" s="1" t="str">
        <f>HYPERLINK(".\sm_car_250419_1657\sm_car_250419_1657_014_Ca006TrN_MaLSS_ode23t.png","figure")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1196</v>
      </c>
      <c r="L16" s="5">
        <v>28.445068200000001</v>
      </c>
      <c r="M16" s="5">
        <v>229.97165043785714</v>
      </c>
      <c r="N16" s="5">
        <v>5.251892431947125E-2</v>
      </c>
      <c r="O16" s="1" t="str">
        <f>HYPERLINK(".\sm_car_250419_1657\sm_car_250419_1657_015_Ca007TrN_MaWOT_ode23t.png","figure")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1273</v>
      </c>
      <c r="L17" s="5">
        <v>27.5082731</v>
      </c>
      <c r="M17" s="5">
        <v>70.839512573246054</v>
      </c>
      <c r="N17" s="5">
        <v>-0.53016890611509215</v>
      </c>
      <c r="O17" s="1" t="str">
        <f>HYPERLINK(".\sm_car_250419_1657\sm_car_250419_1657_016_Ca007TrN_MaLSS_ode23t.png","figure")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408</v>
      </c>
      <c r="L18" s="5">
        <v>9.1795442000000005</v>
      </c>
      <c r="M18" s="5">
        <v>231.91107798560267</v>
      </c>
      <c r="N18" s="5">
        <v>-7.7334336204584256E-2</v>
      </c>
      <c r="O18" s="1" t="str">
        <f>HYPERLINK(".\sm_car_250419_1657\sm_car_250419_1657_017_Ca016TrN_MaWOT_ode23t.png","figure")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486</v>
      </c>
      <c r="L19" s="5">
        <v>9.7567793999999992</v>
      </c>
      <c r="M19" s="5">
        <v>71.514235600627558</v>
      </c>
      <c r="N19" s="5">
        <v>-2.1538849805937028E-2</v>
      </c>
      <c r="O19" s="1" t="str">
        <f>HYPERLINK(".\sm_car_250419_1657\sm_car_250419_1657_018_Ca016TrN_MaLSS_ode23t.png","figure")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5">
        <v>12.705258799999999</v>
      </c>
      <c r="M20" s="5">
        <v>231.34090874343943</v>
      </c>
      <c r="N20" s="5">
        <v>1.6418770969577372E-2</v>
      </c>
      <c r="O20" s="1" t="str">
        <f>HYPERLINK(".\sm_car_250419_1657\sm_car_250419_1657_019_Ca032TrN_MaWOT_ode23t.png","figure")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 s="5">
        <v>13.1197819</v>
      </c>
      <c r="M21" s="5">
        <v>71.26066218031734</v>
      </c>
      <c r="N21" s="5">
        <v>-0.52322903975773105</v>
      </c>
      <c r="O21" s="1" t="str">
        <f>HYPERLINK(".\sm_car_250419_1657\sm_car_250419_1657_020_Ca032TrN_MaLSS_ode23t.png","figure")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5">
        <v>13.5844889</v>
      </c>
      <c r="M22" s="5">
        <v>231.27095225311143</v>
      </c>
      <c r="N22" s="5">
        <v>-1.7534263041348121E-2</v>
      </c>
      <c r="O22" s="1" t="str">
        <f>HYPERLINK(".\sm_car_250419_1657\sm_car_250419_1657_021_Ca048TrN_MaWOT_ode23t.png","figure")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518</v>
      </c>
      <c r="L23" s="5">
        <v>13.9916068</v>
      </c>
      <c r="M23" s="5">
        <v>71.248832990186443</v>
      </c>
      <c r="N23" s="5">
        <v>-0.52913720352133875</v>
      </c>
      <c r="O23" s="1" t="str">
        <f>HYPERLINK(".\sm_car_250419_1657\sm_car_250419_1657_022_Ca048TrN_MaLSS_ode23t.png","figure")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413</v>
      </c>
      <c r="L24" s="5">
        <v>14.958062099999999</v>
      </c>
      <c r="M24" s="5">
        <v>231.28504159441098</v>
      </c>
      <c r="N24" s="5">
        <v>9.3780465346814702E-3</v>
      </c>
      <c r="O24" s="1" t="str">
        <f>HYPERLINK(".\sm_car_250419_1657\sm_car_250419_1657_023_Ca064TrN_MaWOT_ode23t.png","figure")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529</v>
      </c>
      <c r="L25" s="5">
        <v>15.233350099999999</v>
      </c>
      <c r="M25" s="5">
        <v>71.254292469126156</v>
      </c>
      <c r="N25" s="5">
        <v>-0.51859665338277783</v>
      </c>
      <c r="O25" s="1" t="str">
        <f>HYPERLINK(".\sm_car_250419_1657\sm_car_250419_1657_024_Ca064TrN_MaLSS_ode23t.png","figure")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412</v>
      </c>
      <c r="L26" s="5">
        <v>15.1388414</v>
      </c>
      <c r="M26" s="5">
        <v>231.27839402359498</v>
      </c>
      <c r="N26" s="5">
        <v>-1.961980835854726E-2</v>
      </c>
      <c r="O26" s="1" t="str">
        <f>HYPERLINK(".\sm_car_250419_1657\sm_car_250419_1657_025_Ca080TrN_MaWOT_ode23t.png","figure")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508</v>
      </c>
      <c r="L27" s="5">
        <v>14.5132016</v>
      </c>
      <c r="M27" s="5">
        <v>71.246691700932331</v>
      </c>
      <c r="N27" s="5">
        <v>-0.52488392271456108</v>
      </c>
      <c r="O27" s="1" t="str">
        <f>HYPERLINK(".\sm_car_250419_1657\sm_car_250419_1657_026_Ca080TrN_MaLSS_ode23t.png","figure")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406</v>
      </c>
      <c r="L28" s="5">
        <v>10.1623898</v>
      </c>
      <c r="M28" s="5">
        <v>233.01590724510086</v>
      </c>
      <c r="N28" s="5">
        <v>2.0872873548383374E-2</v>
      </c>
      <c r="O28" s="1" t="str">
        <f>HYPERLINK(".\sm_car_250419_1657\sm_car_250419_1657_027_Ca096TrN_MaWOT_ode23t.png","figure")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520</v>
      </c>
      <c r="L29" s="5">
        <v>11.391203900000001</v>
      </c>
      <c r="M29" s="5">
        <v>71.76469891847438</v>
      </c>
      <c r="N29" s="5">
        <v>-0.52856378701326001</v>
      </c>
      <c r="O29" s="1" t="str">
        <f>HYPERLINK(".\sm_car_250419_1657\sm_car_250419_1657_028_Ca096TrN_MaLSS_ode23t.png","figure")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5">
        <v>4.3131613</v>
      </c>
      <c r="M30" s="5">
        <v>242.6089250266231</v>
      </c>
      <c r="N30" s="5">
        <v>0.23450595985822392</v>
      </c>
      <c r="O30" s="1" t="str">
        <f>HYPERLINK(".\sm_car_250419_1657\sm_car_250419_1657_029_Ca112TrN_MaWOT_ode23t.png","figure")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5">
        <v>4.3576059000000003</v>
      </c>
      <c r="M31" s="5">
        <v>74.659635890023381</v>
      </c>
      <c r="N31" s="5">
        <v>-0.33799621506860861</v>
      </c>
      <c r="O31" s="1" t="str">
        <f>HYPERLINK(".\sm_car_250419_1657\sm_car_250419_1657_030_Ca112TrN_MaLSS_ode23t.png","figure")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363</v>
      </c>
      <c r="L32" s="5">
        <v>4.8045577000000002</v>
      </c>
      <c r="M32" s="5">
        <v>241.38439738778516</v>
      </c>
      <c r="N32" s="5">
        <v>0.22958855018423277</v>
      </c>
      <c r="O32" s="1" t="str">
        <f>HYPERLINK(".\sm_car_250419_1657\sm_car_250419_1657_031_Ca113TrN_MaWOT_ode23t.png","figure")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485</v>
      </c>
      <c r="L33" s="5">
        <v>4.822597</v>
      </c>
      <c r="M33" s="5">
        <v>74.347894519104756</v>
      </c>
      <c r="N33" s="5">
        <v>-0.33380739887818628</v>
      </c>
      <c r="O33" s="1" t="str">
        <f>HYPERLINK(".\sm_car_250419_1657\sm_car_250419_1657_032_Ca113TrN_MaLSS_ode23t.png","figure")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376</v>
      </c>
      <c r="L34" s="5">
        <v>5.3842892999999998</v>
      </c>
      <c r="M34" s="5">
        <v>241.38199428622042</v>
      </c>
      <c r="N34" s="5">
        <v>0.22896140278238564</v>
      </c>
      <c r="O34" s="1" t="str">
        <f>HYPERLINK(".\sm_car_250419_1657\sm_car_250419_1657_033_Ca114TrN_MaWOT_ode23t.png","figure")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472</v>
      </c>
      <c r="L35" s="5">
        <v>5.7250560000000004</v>
      </c>
      <c r="M35" s="5">
        <v>74.34931285540948</v>
      </c>
      <c r="N35" s="5">
        <v>-0.3344513747117917</v>
      </c>
      <c r="O35" s="1" t="str">
        <f>HYPERLINK(".\sm_car_250419_1657\sm_car_250419_1657_034_Ca114TrN_MaLSS_ode23t.png","figure")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389</v>
      </c>
      <c r="L36" s="5">
        <v>5.3767605999999999</v>
      </c>
      <c r="M36" s="5">
        <v>240.78930069276666</v>
      </c>
      <c r="N36" s="5">
        <v>0.22613183923587976</v>
      </c>
      <c r="O36" s="1" t="str">
        <f>HYPERLINK(".\sm_car_250419_1657\sm_car_250419_1657_035_Ca115TrN_MaWOT_ode23t.png","figure")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497</v>
      </c>
      <c r="L37" s="5">
        <v>5.5802069000000003</v>
      </c>
      <c r="M37" s="5">
        <v>74.208011234591993</v>
      </c>
      <c r="N37" s="5">
        <v>-0.33209326405632922</v>
      </c>
      <c r="O37" s="1" t="str">
        <f>HYPERLINK(".\sm_car_250419_1657\sm_car_250419_1657_036_Ca115TrN_MaLSS_ode23t.png","figure")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5">
        <v>7.4086318999999996</v>
      </c>
      <c r="M38" s="5">
        <v>242.63118630005806</v>
      </c>
      <c r="N38" s="5">
        <v>0.2327919371692862</v>
      </c>
      <c r="O38" s="1" t="str">
        <f>HYPERLINK(".\sm_car_250419_1657\sm_car_250419_1657_037_Ca116TrN_MaWOT_ode23t.png","figure")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5">
        <v>8.1088894000000007</v>
      </c>
      <c r="M39" s="5">
        <v>74.660234080632137</v>
      </c>
      <c r="N39" s="5">
        <v>-0.34043153147504285</v>
      </c>
      <c r="O39" s="1" t="str">
        <f>HYPERLINK(".\sm_car_250419_1657\sm_car_250419_1657_038_Ca116TrN_MaLSS_ode23t.png","figure")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949</v>
      </c>
      <c r="L40" s="5">
        <v>7.9866709</v>
      </c>
      <c r="M40" s="5">
        <v>241.56667805846251</v>
      </c>
      <c r="N40" s="5">
        <v>0.22974577181876196</v>
      </c>
      <c r="O40" s="1" t="str">
        <f>HYPERLINK(".\sm_car_250419_1657\sm_car_250419_1657_039_Ca117TrN_MaWOT_ode23t.png","figure")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1094</v>
      </c>
      <c r="L41" s="5">
        <v>9.9158673000000004</v>
      </c>
      <c r="M41" s="5">
        <v>74.351770114122004</v>
      </c>
      <c r="N41" s="5">
        <v>-0.33660251686223591</v>
      </c>
      <c r="O41" s="1" t="str">
        <f>HYPERLINK(".\sm_car_250419_1657\sm_car_250419_1657_040_Ca117TrN_MaLSS_ode23t.png","figure")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937</v>
      </c>
      <c r="L42" s="5">
        <v>8.4338438999999994</v>
      </c>
      <c r="M42" s="5">
        <v>241.60017999356131</v>
      </c>
      <c r="N42" s="5">
        <v>0.2299749728812743</v>
      </c>
      <c r="O42" s="1" t="str">
        <f>HYPERLINK(".\sm_car_250419_1657\sm_car_250419_1657_041_Ca118TrN_MaWOT_ode23t.png","figure")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5">
        <v>9.4330078999999998</v>
      </c>
      <c r="M43" s="5">
        <v>74.352021513152593</v>
      </c>
      <c r="N43" s="5">
        <v>-0.33731972554506157</v>
      </c>
      <c r="O43" s="1" t="str">
        <f>HYPERLINK(".\sm_car_250419_1657\sm_car_250419_1657_042_Ca118TrN_MaLSS_ode23t.png","figure")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5">
        <v>8.4586655999999998</v>
      </c>
      <c r="M44" s="5">
        <v>240.87206940579372</v>
      </c>
      <c r="N44" s="5">
        <v>0.22597411215075136</v>
      </c>
      <c r="O44" s="1" t="str">
        <f>HYPERLINK(".\sm_car_250419_1657\sm_car_250419_1657_043_Ca119TrN_MaWOT_ode23t.png","figure")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1080</v>
      </c>
      <c r="L45" s="5">
        <v>9.2894608999999999</v>
      </c>
      <c r="M45" s="5">
        <v>74.199619175214465</v>
      </c>
      <c r="N45" s="5">
        <v>-0.33355243224738734</v>
      </c>
      <c r="O45" s="1" t="str">
        <f>HYPERLINK(".\sm_car_250419_1657\sm_car_250419_1657_044_Ca119TrN_MaLSS_ode23t.png","figure")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318</v>
      </c>
      <c r="L46" s="5">
        <v>9.6776151000000006</v>
      </c>
      <c r="M46" s="5">
        <v>99.82212901324516</v>
      </c>
      <c r="N46" s="5">
        <v>-1.743159490122485E-2</v>
      </c>
      <c r="O46" s="1" t="str">
        <f>HYPERLINK(".\sm_car_250419_1657\sm_car_250419_1657_045_Ca128TrN_MaWOT_ode23t.png","figure")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458</v>
      </c>
      <c r="L47" s="5">
        <v>12.751915199999999</v>
      </c>
      <c r="M47" s="5">
        <v>36.976991363338712</v>
      </c>
      <c r="N47" s="5">
        <v>-0.13041461680733674</v>
      </c>
      <c r="O47" s="1" t="str">
        <f>HYPERLINK(".\sm_car_250419_1657\sm_car_250419_1657_046_Ca128TrN_MaLSS_ode23t.png","figure")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337</v>
      </c>
      <c r="L48" s="5">
        <v>10.407916200000001</v>
      </c>
      <c r="M48" s="5">
        <v>229.14576696056321</v>
      </c>
      <c r="N48" s="5">
        <v>5.964158408744779E-2</v>
      </c>
      <c r="O48" s="1" t="str">
        <f>HYPERLINK(".\sm_car_250419_1657\sm_car_250419_1657_047_Ca129TrN_MaWOT_ode23t.png","figure")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478</v>
      </c>
      <c r="L49" s="5">
        <v>14.180033399999999</v>
      </c>
      <c r="M49" s="5">
        <v>70.693708395466516</v>
      </c>
      <c r="N49" s="5">
        <v>-0.52694214358084346</v>
      </c>
      <c r="O49" s="1" t="str">
        <f>HYPERLINK(".\sm_car_250419_1657\sm_car_250419_1657_048_Ca129TrN_MaLSS_ode23t.png","figure")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811</v>
      </c>
      <c r="L50" s="5">
        <v>39.746774600000002</v>
      </c>
      <c r="M50" s="5">
        <v>217.22190908368736</v>
      </c>
      <c r="N50" s="5">
        <v>-1.5378501576055434</v>
      </c>
      <c r="O50" s="1" t="str">
        <f>HYPERLINK(".\sm_car_250419_1657\sm_car_250419_1657_049_Ca130TrN_MaWOT_ode23t.png","figure")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784</v>
      </c>
      <c r="L51" s="5">
        <v>36.676892600000002</v>
      </c>
      <c r="M51" s="5">
        <v>68.778912962942499</v>
      </c>
      <c r="N51" s="5">
        <v>-0.54590966822841958</v>
      </c>
      <c r="O51" s="1" t="str">
        <f>HYPERLINK(".\sm_car_250419_1657\sm_car_250419_1657_050_Ca130TrN_MaLSS_ode23t.png","figure")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348</v>
      </c>
      <c r="L52" s="5">
        <v>7.6822035</v>
      </c>
      <c r="M52" s="5">
        <v>230.01320613326149</v>
      </c>
      <c r="N52" s="5">
        <v>-4.2060213394643754E-2</v>
      </c>
      <c r="O52" s="1" t="str">
        <f>HYPERLINK(".\sm_car_250419_1657\sm_car_250419_1657_051_Ca131TrN_MaWOT_ode23t.png","figure")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5">
        <v>9.6284843000000002</v>
      </c>
      <c r="M53" s="5">
        <v>70.971389093377468</v>
      </c>
      <c r="N53" s="5">
        <v>-0.53700456512689854</v>
      </c>
      <c r="O53" s="1" t="str">
        <f>HYPERLINK(".\sm_car_250419_1657\sm_car_250419_1657_052_Ca131TrN_MaLSS_ode23t.png","figure")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355</v>
      </c>
      <c r="L54" s="5">
        <v>7.7273396999999999</v>
      </c>
      <c r="M54" s="5">
        <v>230.3053143587112</v>
      </c>
      <c r="N54" s="5">
        <v>-9.2410233984694581E-3</v>
      </c>
      <c r="O54" s="1" t="str">
        <f>HYPERLINK(".\sm_car_250419_1657\sm_car_250419_1657_053_Ca132TrN_MaWOT_ode23t.png","figure")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493</v>
      </c>
      <c r="L55" s="5">
        <v>9.5751495000000002</v>
      </c>
      <c r="M55" s="5">
        <v>70.963122986331811</v>
      </c>
      <c r="N55" s="5">
        <v>-0.53353935885375947</v>
      </c>
      <c r="O55" s="1" t="str">
        <f>HYPERLINK(".\sm_car_250419_1657\sm_car_250419_1657_054_Ca132TrN_MaLSS_ode23t.png","figure")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365</v>
      </c>
      <c r="L56" s="5">
        <v>8.0816698999999996</v>
      </c>
      <c r="M56" s="5">
        <v>230.38372234077667</v>
      </c>
      <c r="N56" s="5">
        <v>-9.4946123093944661E-3</v>
      </c>
      <c r="O56" s="1" t="str">
        <f>HYPERLINK(".\sm_car_250419_1657\sm_car_250419_1657_055_Ca133TrN_MaWOT_ode23t.png","figure")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510</v>
      </c>
      <c r="L57" s="5">
        <v>9.5873925</v>
      </c>
      <c r="M57" s="5">
        <v>70.974383853186964</v>
      </c>
      <c r="N57" s="5">
        <v>-0.53057011353923211</v>
      </c>
      <c r="O57" s="1" t="str">
        <f>HYPERLINK(".\sm_car_250419_1657\sm_car_250419_1657_056_Ca133TrN_MaLSS_ode23t.png","figure")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355</v>
      </c>
      <c r="L58" s="5">
        <v>7.8265514999999999</v>
      </c>
      <c r="M58" s="5">
        <v>230.37973012868508</v>
      </c>
      <c r="N58" s="5">
        <v>-1.2689260117566459E-2</v>
      </c>
      <c r="O58" s="1" t="str">
        <f>HYPERLINK(".\sm_car_250419_1657\sm_car_250419_1657_057_Ca134TrN_MaWOT_ode23t.png","figure")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515</v>
      </c>
      <c r="L59" s="5">
        <v>9.8269727000000007</v>
      </c>
      <c r="M59" s="5">
        <v>70.97922143702074</v>
      </c>
      <c r="N59" s="5">
        <v>-0.53385609744977724</v>
      </c>
      <c r="O59" s="1" t="str">
        <f>HYPERLINK(".\sm_car_250419_1657\sm_car_250419_1657_058_Ca134TrN_MaLSS_ode23t.png","figure")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346</v>
      </c>
      <c r="L60" s="5">
        <v>8.0621478</v>
      </c>
      <c r="M60" s="5">
        <v>230.33721749935572</v>
      </c>
      <c r="N60" s="5">
        <v>-9.9877385341991618E-3</v>
      </c>
      <c r="O60" s="1" t="str">
        <f>HYPERLINK(".\sm_car_250419_1657\sm_car_250419_1657_059_Ca135TrN_MaWOT_ode23t.png","figure")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480</v>
      </c>
      <c r="L61" s="5">
        <v>9.1739473</v>
      </c>
      <c r="M61" s="5">
        <v>70.981812456033069</v>
      </c>
      <c r="N61" s="5">
        <v>-0.52507090916013632</v>
      </c>
      <c r="O61" s="1" t="str">
        <f>HYPERLINK(".\sm_car_250419_1657\sm_car_250419_1657_060_Ca135TrN_MaLSS_ode23t.png","figure")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361</v>
      </c>
      <c r="L62" s="5">
        <v>9.0374504000000009</v>
      </c>
      <c r="M62" s="5">
        <v>230.43170278500256</v>
      </c>
      <c r="N62" s="5">
        <v>5.3253989386177106E-2</v>
      </c>
      <c r="O62" s="1" t="str">
        <f>HYPERLINK(".\sm_car_250419_1657\sm_car_250419_1657_061_Ca136TrN_MaWOT_ode23t.png","figure")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507</v>
      </c>
      <c r="L63" s="5">
        <v>11.914022299999999</v>
      </c>
      <c r="M63" s="5">
        <v>70.976971805260561</v>
      </c>
      <c r="N63" s="5">
        <v>-0.5237430821852157</v>
      </c>
      <c r="O63" s="1" t="str">
        <f>HYPERLINK(".\sm_car_250419_1657\sm_car_250419_1657_062_Ca136TrN_MaLSS_ode23t.png","figure")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5">
        <v>6.6482612999999997</v>
      </c>
      <c r="M64" s="5">
        <v>231.39005804052908</v>
      </c>
      <c r="N64" s="5">
        <v>0.14000428262450837</v>
      </c>
      <c r="O64" s="1" t="str">
        <f>HYPERLINK(".\sm_car_250419_1657\sm_car_250419_1657_063_Ca137TrN_MaWOT_ode23t.png","figure")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466</v>
      </c>
      <c r="L65" s="5">
        <v>7.6266012999999999</v>
      </c>
      <c r="M65" s="5">
        <v>71.243089070679957</v>
      </c>
      <c r="N65" s="5">
        <v>-0.5138893650223868</v>
      </c>
      <c r="O65" s="1" t="str">
        <f>HYPERLINK(".\sm_car_250419_1657\sm_car_250419_1657_064_Ca137TrN_MaLSS_ode23t.png","figure")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330</v>
      </c>
      <c r="L66" s="5">
        <v>10.0176433</v>
      </c>
      <c r="M66" s="5">
        <v>231.26501913843325</v>
      </c>
      <c r="N66" s="5">
        <v>0.14711292589002975</v>
      </c>
      <c r="O66" s="1" t="str">
        <f>HYPERLINK(".\sm_car_250419_1657\sm_car_250419_1657_065_Ca138TrN_MaWOT_ode23t.png","figure")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491</v>
      </c>
      <c r="L67" s="5">
        <v>12.218334199999999</v>
      </c>
      <c r="M67" s="5">
        <v>71.132161673886188</v>
      </c>
      <c r="N67" s="5">
        <v>-0.82819357873258415</v>
      </c>
      <c r="O67" s="1" t="str">
        <f>HYPERLINK(".\sm_car_250419_1657\sm_car_250419_1657_066_Ca138TrN_MaLSS_ode23t.png","figure")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633</v>
      </c>
      <c r="L68" s="5">
        <v>43.409734800000003</v>
      </c>
      <c r="M68" s="5">
        <v>405.17966129617804</v>
      </c>
      <c r="N68" s="5">
        <v>1.809188510614379</v>
      </c>
      <c r="O68" s="1" t="str">
        <f>HYPERLINK(".\sm_car_250419_1657\sm_car_250419_1657_067_Ca139TrN_MaWOT_ode23t.png","figure")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665</v>
      </c>
      <c r="L69" s="5">
        <v>32.678727899999998</v>
      </c>
      <c r="M69" s="5">
        <v>154.34099768166263</v>
      </c>
      <c r="N69" s="5">
        <v>-0.59423906590612652</v>
      </c>
      <c r="O69" s="1" t="str">
        <f>HYPERLINK(".\sm_car_250419_1657\sm_car_250419_1657_068_Ca139TrN_MaLSS_ode23t.png","figure")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1955</v>
      </c>
      <c r="L70" s="5">
        <v>60.641875400000004</v>
      </c>
      <c r="M70" s="5">
        <v>405.32118529584653</v>
      </c>
      <c r="N70" s="5">
        <v>1.6028748788392466</v>
      </c>
      <c r="O70" s="1" t="str">
        <f>HYPERLINK(".\sm_car_250419_1657\sm_car_250419_1657_069_Ca141TrN_MaWOT_ode23t.png","figure")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1829</v>
      </c>
      <c r="L71" s="5">
        <v>37.773419699999998</v>
      </c>
      <c r="M71" s="5">
        <v>154.41925031347753</v>
      </c>
      <c r="N71" s="5">
        <v>-0.57938711992316183</v>
      </c>
      <c r="O71" s="1" t="str">
        <f>HYPERLINK(".\sm_car_250419_1657\sm_car_250419_1657_070_Ca141TrN_MaLSS_ode23t.png","figure")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347</v>
      </c>
      <c r="L72" s="5">
        <v>24.079746700000001</v>
      </c>
      <c r="M72" s="5">
        <v>95.822788797290357</v>
      </c>
      <c r="N72" s="5">
        <v>-3.4232518478710811E-2</v>
      </c>
      <c r="O72" s="1" t="str">
        <f>HYPERLINK(".\sm_car_250419_1657\sm_car_250419_1657_071_Ca143TrN_MaWOT_ode23t.png","figure")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440</v>
      </c>
      <c r="L73" s="5">
        <v>26.0708913</v>
      </c>
      <c r="M73" s="5">
        <v>25.015879975074753</v>
      </c>
      <c r="N73" s="5">
        <v>-5.2385016290418744E-2</v>
      </c>
      <c r="O73" s="1" t="str">
        <f>HYPERLINK(".\sm_car_250419_1657\sm_car_250419_1657_072_Ca143TrN_MaLSS_ode23t.png","figure")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348</v>
      </c>
      <c r="L74" s="5">
        <v>18.483292500000001</v>
      </c>
      <c r="M74" s="5">
        <v>114.03016748622724</v>
      </c>
      <c r="N74" s="5">
        <v>0.52873617226927361</v>
      </c>
      <c r="O74" s="1" t="str">
        <f>HYPERLINK(".\sm_car_250419_1657\sm_car_250419_1657_073_Ca144TrN_MaWOT_ode23t.png","figure")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448</v>
      </c>
      <c r="L75" s="5">
        <v>18.983373199999999</v>
      </c>
      <c r="M75" s="5">
        <v>35.602379522305455</v>
      </c>
      <c r="N75" s="5">
        <v>-3.1315440227356231E-2</v>
      </c>
      <c r="O75" s="1" t="str">
        <f>HYPERLINK(".\sm_car_250419_1657\sm_car_250419_1657_074_Ca144TrN_MaLSS_ode23t.png","figure")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2438</v>
      </c>
      <c r="L76" s="5">
        <v>40.832629300000001</v>
      </c>
      <c r="M76" s="5">
        <v>399.82387728055249</v>
      </c>
      <c r="N76" s="5">
        <v>-16.328345498557898</v>
      </c>
      <c r="O76" s="1" t="str">
        <f>HYPERLINK(".\sm_car_250419_1657\sm_car_250419_1657_075_Ca147TrN_MaWOT_ode23t.png","figure")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1273</v>
      </c>
      <c r="L77" s="5">
        <v>28.9872111</v>
      </c>
      <c r="M77" s="5">
        <v>151.96545303619911</v>
      </c>
      <c r="N77" s="5">
        <v>-2.3904898564488737</v>
      </c>
      <c r="O77" s="1" t="str">
        <f>HYPERLINK(".\sm_car_250419_1657\sm_car_250419_1657_076_Ca147TrN_MaLSS_ode23t.png","figure")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23</v>
      </c>
      <c r="K78">
        <v>312</v>
      </c>
      <c r="L78" s="5">
        <v>14.1166939</v>
      </c>
      <c r="M78" s="5">
        <v>229.67321154461391</v>
      </c>
      <c r="N78" s="5">
        <v>5.563980444193338E-3</v>
      </c>
      <c r="O78" s="1" t="str">
        <f>HYPERLINK(".\sm_car_250419_1657\sm_car_250419_1657_077_Ca215TrN_MaWOT_ode23t.png","figure")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23</v>
      </c>
      <c r="K79">
        <v>471</v>
      </c>
      <c r="L79" s="5">
        <v>13.387363799999999</v>
      </c>
      <c r="M79" s="5">
        <v>81.271563573268978</v>
      </c>
      <c r="N79" s="5">
        <v>-0.22186136044426508</v>
      </c>
      <c r="O79" s="1" t="str">
        <f>HYPERLINK(".\sm_car_250419_1657\sm_car_250419_1657_078_Ca215TrN_MaLSS_ode23t.png","figure")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351</v>
      </c>
      <c r="L80" s="5">
        <v>7.1220347000000004</v>
      </c>
      <c r="M80" s="5">
        <v>230.33283938880453</v>
      </c>
      <c r="N80" s="5">
        <v>0.17045651761965117</v>
      </c>
      <c r="O80" s="1" t="str">
        <f>HYPERLINK(".\sm_car_250419_1657\sm_car_250419_1657_079_Ca218TrN_MaWOT_ode23t.png","figure")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483</v>
      </c>
      <c r="L81" s="5">
        <v>8.1749080000000003</v>
      </c>
      <c r="M81" s="5">
        <v>70.960080344879756</v>
      </c>
      <c r="N81" s="5">
        <v>-0.53530893891014242</v>
      </c>
      <c r="O81" s="1" t="str">
        <f>HYPERLINK(".\sm_car_250419_1657\sm_car_250419_1657_080_Ca218TrN_MaLSS_ode23t.png","figure")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387</v>
      </c>
      <c r="L82" s="5">
        <v>11.3582167</v>
      </c>
      <c r="M82" s="5">
        <v>229.77988638318959</v>
      </c>
      <c r="N82" s="5">
        <v>0.17018545667183527</v>
      </c>
      <c r="O82" s="1" t="str">
        <f>HYPERLINK(".\sm_car_250419_1657\sm_car_250419_1657_081_Ca219TrN_MaWOT_ode23t.png","figure")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495</v>
      </c>
      <c r="L83" s="5">
        <v>13.752687699999999</v>
      </c>
      <c r="M83" s="5">
        <v>70.790003929877045</v>
      </c>
      <c r="N83" s="5">
        <v>-0.55657577268808223</v>
      </c>
      <c r="O83" s="1" t="str">
        <f>HYPERLINK(".\sm_car_250419_1657\sm_car_250419_1657_082_Ca219TrN_MaLSS_ode23t.png","figure")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23</v>
      </c>
      <c r="K84">
        <v>942</v>
      </c>
      <c r="L84" s="5">
        <v>51.307783000000001</v>
      </c>
      <c r="M84" s="5">
        <v>224.0141385310298</v>
      </c>
      <c r="N84" s="5">
        <v>-1.1911335358498054</v>
      </c>
      <c r="O84" s="1" t="str">
        <f>HYPERLINK(".\sm_car_250419_1657\sm_car_250419_1657_083_Ca220TrN_MaWOT_ode23t.png","figure")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23</v>
      </c>
      <c r="K85">
        <v>1090</v>
      </c>
      <c r="L85" s="5">
        <v>61.258634299999997</v>
      </c>
      <c r="M85" s="5">
        <v>69.476196968191118</v>
      </c>
      <c r="N85" s="5">
        <v>-1.5018424058964939</v>
      </c>
      <c r="O85" s="1" t="str">
        <f>HYPERLINK(".\sm_car_250419_1657\sm_car_250419_1657_084_Ca220TrN_MaLSS_ode23t.png","figure")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472</v>
      </c>
      <c r="L86" s="5">
        <v>12.038238700000001</v>
      </c>
      <c r="M86" s="5">
        <v>293.17113750064703</v>
      </c>
      <c r="N86" s="5">
        <v>3.7242743443262824E-5</v>
      </c>
      <c r="O86" s="1" t="str">
        <f>HYPERLINK(".\sm_car_250419_1657\sm_car_250419_1657_085_Ca223TrN_MaWOT_ode23t.png","figure")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639</v>
      </c>
      <c r="L87" s="5">
        <v>11.910618100000001</v>
      </c>
      <c r="M87" s="5">
        <v>103.53711333962399</v>
      </c>
      <c r="N87" s="5">
        <v>-0.1534351599510845</v>
      </c>
      <c r="O87" s="1" t="str">
        <f>HYPERLINK(".\sm_car_250419_1657\sm_car_250419_1657_086_Ca223TrN_MaLSS_ode23t.png","figure")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641</v>
      </c>
      <c r="L88" s="5">
        <v>31.508535299999998</v>
      </c>
      <c r="M88" s="5">
        <v>409.21337325219264</v>
      </c>
      <c r="N88" s="5">
        <v>1.5043986214450946</v>
      </c>
      <c r="O88" s="1" t="str">
        <f>HYPERLINK(".\sm_car_250419_1657\sm_car_250419_1657_087_Ca227TrN_MaWOT_ode23t.png","figure")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642</v>
      </c>
      <c r="L89" s="5">
        <v>22.5907537</v>
      </c>
      <c r="M89" s="5">
        <v>156.24538777116962</v>
      </c>
      <c r="N89" s="5">
        <v>-0.37346795595520027</v>
      </c>
      <c r="O89" s="1" t="str">
        <f>HYPERLINK(".\sm_car_250419_1657\sm_car_250419_1657_088_Ca227TrN_MaLSS_ode23t.png","figure")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392</v>
      </c>
      <c r="L90" s="5">
        <v>17.160005200000001</v>
      </c>
      <c r="M90" s="5">
        <v>231.33147106075563</v>
      </c>
      <c r="N90" s="5">
        <v>-3.6510895676562837E-3</v>
      </c>
      <c r="O90" s="1" t="str">
        <f>HYPERLINK(".\sm_car_250419_1657\sm_car_250419_1657_089_Ca008TrN_MaWOT_ode23t_1.png","figure")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547</v>
      </c>
      <c r="L91" s="5">
        <v>20.755107299999999</v>
      </c>
      <c r="M91" s="5">
        <v>71.256758018087169</v>
      </c>
      <c r="N91" s="5">
        <v>-0.53934552002467995</v>
      </c>
      <c r="O91" s="1" t="str">
        <f>HYPERLINK(".\sm_car_250419_1657\sm_car_250419_1657_090_Ca008TrN_MaLSS_ode23t_1.png","figure")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384</v>
      </c>
      <c r="L92" s="5">
        <v>19.4900962</v>
      </c>
      <c r="M92" s="5">
        <v>230.24063688669187</v>
      </c>
      <c r="N92" s="5">
        <v>-1.2060582489864314E-2</v>
      </c>
      <c r="O92" s="1" t="str">
        <f>HYPERLINK(".\sm_car_250419_1657\sm_car_250419_1657_091_Ca009TrN_MaWOT_ode23t_1.png","figure")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540</v>
      </c>
      <c r="L93" s="5">
        <v>23.022545099999999</v>
      </c>
      <c r="M93" s="5">
        <v>70.964971372445817</v>
      </c>
      <c r="N93" s="5">
        <v>-0.53153688578898373</v>
      </c>
      <c r="O93" s="1" t="str">
        <f>HYPERLINK(".\sm_car_250419_1657\sm_car_250419_1657_092_Ca009TrN_MaLSS_ode23t_1.png","figure")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396</v>
      </c>
      <c r="L94" s="5">
        <v>20.543584899999999</v>
      </c>
      <c r="M94" s="5">
        <v>230.12632446268083</v>
      </c>
      <c r="N94" s="5">
        <v>5.3067469313611233E-2</v>
      </c>
      <c r="O94" s="1" t="str">
        <f>HYPERLINK(".\sm_car_250419_1657\sm_car_250419_1657_093_Ca010TrN_MaWOT_ode23t_1.png","figure")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563</v>
      </c>
      <c r="L95" s="5">
        <v>26.730909700000002</v>
      </c>
      <c r="M95" s="5">
        <v>70.975193170242406</v>
      </c>
      <c r="N95" s="5">
        <v>-0.52844182342814072</v>
      </c>
      <c r="O95" s="1" t="str">
        <f>HYPERLINK(".\sm_car_250419_1657\sm_car_250419_1657_094_Ca010TrN_MaLSS_ode23t_1.png","figure")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441</v>
      </c>
      <c r="L96" s="5">
        <v>21.9193879</v>
      </c>
      <c r="M96" s="5">
        <v>229.94654699025313</v>
      </c>
      <c r="N96" s="5">
        <v>5.3779554992056847E-2</v>
      </c>
      <c r="O96" s="1" t="str">
        <f>HYPERLINK(".\sm_car_250419_1657\sm_car_250419_1657_095_Ca011TrN_MaWOT_ode23t_1.png","figure")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599</v>
      </c>
      <c r="L97" s="5">
        <v>28.668718200000001</v>
      </c>
      <c r="M97" s="5">
        <v>70.837024130106698</v>
      </c>
      <c r="N97" s="5">
        <v>-0.51871970830617653</v>
      </c>
      <c r="O97" s="1" t="str">
        <f>HYPERLINK(".\sm_car_250419_1657\sm_car_250419_1657_096_Ca011TrN_MaLSS_ode23t_1.png","figure")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846</v>
      </c>
      <c r="L98" s="5">
        <v>18.971549899999999</v>
      </c>
      <c r="M98" s="5">
        <v>231.17479324928092</v>
      </c>
      <c r="N98" s="5">
        <v>-3.4723158075930538E-3</v>
      </c>
      <c r="O98" s="1" t="str">
        <f>HYPERLINK(".\sm_car_250419_1657\sm_car_250419_1657_097_Ca012TrN_MaWOT_ode23t_1.png","figure")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992</v>
      </c>
      <c r="L99" s="5">
        <v>24.873348100000001</v>
      </c>
      <c r="M99" s="5">
        <v>71.259835365766008</v>
      </c>
      <c r="N99" s="5">
        <v>-0.54570824274626129</v>
      </c>
      <c r="O99" s="1" t="str">
        <f>HYPERLINK(".\sm_car_250419_1657\sm_car_250419_1657_098_Ca012TrN_MaLSS_ode23t_1.png","figure")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855</v>
      </c>
      <c r="L100" s="5">
        <v>21.833971399999999</v>
      </c>
      <c r="M100" s="5">
        <v>230.15253188174046</v>
      </c>
      <c r="N100" s="5">
        <v>-1.1673393116660765E-2</v>
      </c>
      <c r="O100" s="1" t="str">
        <f>HYPERLINK(".\sm_car_250419_1657\sm_car_250419_1657_099_Ca013TrN_MaWOT_ode23t_1.png","figure")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1008</v>
      </c>
      <c r="L101" s="5">
        <v>25.270855600000001</v>
      </c>
      <c r="M101" s="5">
        <v>70.96020968202042</v>
      </c>
      <c r="N101" s="5">
        <v>-0.53947317292295616</v>
      </c>
      <c r="O101" s="1" t="str">
        <f>HYPERLINK(".\sm_car_250419_1657\sm_car_250419_1657_100_Ca013TrN_MaLSS_ode23t_1.png","figure")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900</v>
      </c>
      <c r="L102" s="5">
        <v>20.097160899999999</v>
      </c>
      <c r="M102" s="5">
        <v>230.33279842465532</v>
      </c>
      <c r="N102" s="5">
        <v>5.3355048797920683E-2</v>
      </c>
      <c r="O102" s="1" t="str">
        <f>HYPERLINK(".\sm_car_250419_1657\sm_car_250419_1657_101_Ca014TrN_MaWOT_ode23t_1.png","figure")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1013</v>
      </c>
      <c r="L103" s="5">
        <v>25.0236053</v>
      </c>
      <c r="M103" s="5">
        <v>70.969121384848435</v>
      </c>
      <c r="N103" s="5">
        <v>-0.53564674272303747</v>
      </c>
      <c r="O103" s="1" t="str">
        <f>HYPERLINK(".\sm_car_250419_1657\sm_car_250419_1657_102_Ca014TrN_MaLSS_ode23t_1.png","figure")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902</v>
      </c>
      <c r="L104" s="5">
        <v>21.5908753</v>
      </c>
      <c r="M104" s="5">
        <v>229.86991192063616</v>
      </c>
      <c r="N104" s="5">
        <v>5.3567554408244303E-2</v>
      </c>
      <c r="O104" s="1" t="str">
        <f>HYPERLINK(".\sm_car_250419_1657\sm_car_250419_1657_103_Ca015TrN_MaWOT_ode23t_1.png","figure")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1037</v>
      </c>
      <c r="L105" s="5">
        <v>28.426455300000001</v>
      </c>
      <c r="M105" s="5">
        <v>70.833268588574811</v>
      </c>
      <c r="N105" s="5">
        <v>-0.53220393456305537</v>
      </c>
      <c r="O105" s="1" t="str">
        <f>HYPERLINK(".\sm_car_250419_1657\sm_car_250419_1657_104_Ca015TrN_MaLSS_ode23t_1.png","figure")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400</v>
      </c>
      <c r="L106" s="5">
        <v>5.8108972999999997</v>
      </c>
      <c r="M106" s="5">
        <v>242.58934839007273</v>
      </c>
      <c r="N106" s="5">
        <v>0.23204803080071817</v>
      </c>
      <c r="O106" s="1" t="str">
        <f>HYPERLINK(".\sm_car_250419_1657\sm_car_250419_1657_105_Ca120TrN_MaWOT_ode23t_1.png","figure")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523</v>
      </c>
      <c r="L107" s="5">
        <v>6.4349826999999999</v>
      </c>
      <c r="M107" s="5">
        <v>74.668427791621369</v>
      </c>
      <c r="N107" s="5">
        <v>-0.33829315441325269</v>
      </c>
      <c r="O107" s="1" t="str">
        <f>HYPERLINK(".\sm_car_250419_1657\sm_car_250419_1657_106_Ca120TrN_MaLSS_ode23t_1.png","figure")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387</v>
      </c>
      <c r="L108" s="5">
        <v>6.3592304999999998</v>
      </c>
      <c r="M108" s="5">
        <v>241.53722643581142</v>
      </c>
      <c r="N108" s="5">
        <v>0.22866020255073893</v>
      </c>
      <c r="O108" s="1" t="str">
        <f>HYPERLINK(".\sm_car_250419_1657\sm_car_250419_1657_107_Ca121TrN_MaWOT_ode23t_1.png","figure")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537</v>
      </c>
      <c r="L109" s="5">
        <v>7.4660247000000002</v>
      </c>
      <c r="M109" s="5">
        <v>74.355289803367924</v>
      </c>
      <c r="N109" s="5">
        <v>-0.33474022111755791</v>
      </c>
      <c r="O109" s="1" t="str">
        <f>HYPERLINK(".\sm_car_250419_1657\sm_car_250419_1657_108_Ca121TrN_MaLSS_ode23t_1.png","figure")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405</v>
      </c>
      <c r="L110" s="5">
        <v>7.1969538999999996</v>
      </c>
      <c r="M110" s="5">
        <v>241.76376885622159</v>
      </c>
      <c r="N110" s="5">
        <v>0.22876873955799948</v>
      </c>
      <c r="O110" s="1" t="str">
        <f>HYPERLINK(".\sm_car_250419_1657\sm_car_250419_1657_109_Ca122TrN_MaWOT_ode23t_1.png","figure")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530</v>
      </c>
      <c r="L111" s="5">
        <v>7.9139154999999999</v>
      </c>
      <c r="M111" s="5">
        <v>74.378736888615563</v>
      </c>
      <c r="N111" s="5">
        <v>-0.33216359084440894</v>
      </c>
      <c r="O111" s="1" t="str">
        <f>HYPERLINK(".\sm_car_250419_1657\sm_car_250419_1657_110_Ca122TrN_MaLSS_ode23t_1.png","figure")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431</v>
      </c>
      <c r="L112" s="5">
        <v>7.2308874000000003</v>
      </c>
      <c r="M112" s="5">
        <v>241.04405702307045</v>
      </c>
      <c r="N112" s="5">
        <v>0.22465404941087591</v>
      </c>
      <c r="O112" s="1" t="str">
        <f>HYPERLINK(".\sm_car_250419_1657\sm_car_250419_1657_111_Ca123TrN_MaWOT_ode23t_1.png","figure")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534</v>
      </c>
      <c r="L113" s="5">
        <v>8.1510943999999999</v>
      </c>
      <c r="M113" s="5">
        <v>74.214808064964018</v>
      </c>
      <c r="N113" s="5">
        <v>-0.33051331145405177</v>
      </c>
      <c r="O113" s="1" t="str">
        <f>HYPERLINK(".\sm_car_250419_1657\sm_car_250419_1657_112_Ca123TrN_MaLSS_ode23t_1.png","figure")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1019</v>
      </c>
      <c r="L114" s="5">
        <v>7.4089622000000004</v>
      </c>
      <c r="M114" s="5">
        <v>242.55761503033963</v>
      </c>
      <c r="N114" s="5">
        <v>0.23285189659838673</v>
      </c>
      <c r="O114" s="1" t="str">
        <f>HYPERLINK(".\sm_car_250419_1657\sm_car_250419_1657_113_Ca124TrN_MaWOT_ode23t_1.png","figure")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 s="5">
        <v>8.5550852000000006</v>
      </c>
      <c r="M115" s="5">
        <v>74.661131377413668</v>
      </c>
      <c r="N115" s="5">
        <v>-0.34138063442205635</v>
      </c>
      <c r="O115" s="1" t="str">
        <f>HYPERLINK(".\sm_car_250419_1657\sm_car_250419_1657_114_Ca124TrN_MaLSS_ode23t_1.png","figure")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1027</v>
      </c>
      <c r="L116" s="5">
        <v>8.4771322999999992</v>
      </c>
      <c r="M116" s="5">
        <v>241.53786644176284</v>
      </c>
      <c r="N116" s="5">
        <v>0.22947290276390778</v>
      </c>
      <c r="O116" s="1" t="str">
        <f>HYPERLINK(".\sm_car_250419_1657\sm_car_250419_1657_115_Ca125TrN_MaWOT_ode23t_1.png","figure")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1141</v>
      </c>
      <c r="L117" s="5">
        <v>9.2503971000000007</v>
      </c>
      <c r="M117" s="5">
        <v>74.343355082946488</v>
      </c>
      <c r="N117" s="5">
        <v>-0.33694502066485432</v>
      </c>
      <c r="O117" s="1" t="str">
        <f>HYPERLINK(".\sm_car_250419_1657\sm_car_250419_1657_116_Ca125TrN_MaLSS_ode23t_1.png","figure")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1014</v>
      </c>
      <c r="L118" s="5">
        <v>8.5833742999999991</v>
      </c>
      <c r="M118" s="5">
        <v>241.64268079198624</v>
      </c>
      <c r="N118" s="5">
        <v>0.22965954868570851</v>
      </c>
      <c r="O118" s="1" t="str">
        <f>HYPERLINK(".\sm_car_250419_1657\sm_car_250419_1657_117_Ca126TrN_MaWOT_ode23t_1.png","figure")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1172</v>
      </c>
      <c r="L119" s="5">
        <v>10.8137215</v>
      </c>
      <c r="M119" s="5">
        <v>74.346502591807294</v>
      </c>
      <c r="N119" s="5">
        <v>-0.33735213046365375</v>
      </c>
      <c r="O119" s="1" t="str">
        <f>HYPERLINK(".\sm_car_250419_1657\sm_car_250419_1657_118_Ca126TrN_MaLSS_ode23t_1.png","figure")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1035</v>
      </c>
      <c r="L120" s="5">
        <v>9.0001051000000007</v>
      </c>
      <c r="M120" s="5">
        <v>240.98541775865615</v>
      </c>
      <c r="N120" s="5">
        <v>0.22848460059372189</v>
      </c>
      <c r="O120" s="1" t="str">
        <f>HYPERLINK(".\sm_car_250419_1657\sm_car_250419_1657_119_Ca127TrN_MaWOT_ode23t_1.png","figure")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1180</v>
      </c>
      <c r="L121" s="5">
        <v>10.8090031</v>
      </c>
      <c r="M121" s="5">
        <v>74.198264424483256</v>
      </c>
      <c r="N121" s="5">
        <v>-0.33249739283872759</v>
      </c>
      <c r="O121" s="1" t="str">
        <f>HYPERLINK(".\sm_car_250419_1657\sm_car_250419_1657_120_Ca127TrN_MaLSS_ode23t_1.png","figure")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649</v>
      </c>
      <c r="L122" s="5">
        <v>59.405107200000003</v>
      </c>
      <c r="M122" s="5">
        <v>405.19260664862708</v>
      </c>
      <c r="N122" s="5">
        <v>1.7009802263684157</v>
      </c>
      <c r="O122" s="1" t="str">
        <f>HYPERLINK(".\sm_car_250419_1657\sm_car_250419_1657_121_Ca140TrN_MaWOT_ode23t_1.png","figure")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641</v>
      </c>
      <c r="L123" s="5">
        <v>37.738035000000004</v>
      </c>
      <c r="M123" s="5">
        <v>154.43021171732994</v>
      </c>
      <c r="N123" s="5">
        <v>-0.58714382604630899</v>
      </c>
      <c r="O123" s="1" t="str">
        <f>HYPERLINK(".\sm_car_250419_1657\sm_car_250419_1657_122_Ca140TrN_MaLSS_ode23t_1.png","figure")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1248</v>
      </c>
      <c r="L124" s="5">
        <v>62.453625000000002</v>
      </c>
      <c r="M124" s="5">
        <v>405.25293322401023</v>
      </c>
      <c r="N124" s="5">
        <v>1.6597821326120024</v>
      </c>
      <c r="O124" s="1" t="str">
        <f>HYPERLINK(".\sm_car_250419_1657\sm_car_250419_1657_123_Ca142TrN_MaWOT_ode23t_1.png","figure")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1229</v>
      </c>
      <c r="L125" s="5">
        <v>40.324640899999999</v>
      </c>
      <c r="M125" s="5">
        <v>154.48303689306778</v>
      </c>
      <c r="N125" s="5">
        <v>-0.58609126258514199</v>
      </c>
      <c r="O125" s="1" t="str">
        <f>HYPERLINK(".\sm_car_250419_1657\sm_car_250419_1657_124_Ca142TrN_MaLSS_ode23t_1.png","figure")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350</v>
      </c>
      <c r="L126" s="5">
        <v>23.629307399999998</v>
      </c>
      <c r="M126" s="5">
        <v>95.812435278094355</v>
      </c>
      <c r="N126" s="5">
        <v>-3.2850699811439822E-2</v>
      </c>
      <c r="O126" s="1" t="str">
        <f>HYPERLINK(".\sm_car_250419_1657\sm_car_250419_1657_125_Ca145TrN_MaWOT_ode23t_1.png","figure")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458</v>
      </c>
      <c r="L127" s="5">
        <v>27.8498588</v>
      </c>
      <c r="M127" s="5">
        <v>25.010760987464323</v>
      </c>
      <c r="N127" s="5">
        <v>-4.9673657871555685E-2</v>
      </c>
      <c r="O127" s="1" t="str">
        <f>HYPERLINK(".\sm_car_250419_1657\sm_car_250419_1657_126_Ca145TrN_MaLSS_ode23t_1.png","figure")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327</v>
      </c>
      <c r="L128" s="5">
        <v>16.554078700000002</v>
      </c>
      <c r="M128" s="5">
        <v>113.9800176569008</v>
      </c>
      <c r="N128" s="5">
        <v>0.53062060546746481</v>
      </c>
      <c r="O128" s="1" t="str">
        <f>HYPERLINK(".\sm_car_250419_1657\sm_car_250419_1657_127_Ca146TrN_MaWOT_ode23t_1.png","figure")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474</v>
      </c>
      <c r="L129" s="5">
        <v>19.906848400000001</v>
      </c>
      <c r="M129" s="5">
        <v>35.601819223991811</v>
      </c>
      <c r="N129" s="5">
        <v>-2.8251014622711665E-2</v>
      </c>
      <c r="O129" s="1" t="str">
        <f>HYPERLINK(".\sm_car_250419_1657\sm_car_250419_1657_128_Ca146TrN_MaLSS_ode23t_1.png","figure")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327</v>
      </c>
      <c r="L130" s="5">
        <v>16.689902799999999</v>
      </c>
      <c r="M130" s="5">
        <v>113.9800176569008</v>
      </c>
      <c r="N130" s="5">
        <v>0.53062060546746481</v>
      </c>
      <c r="O130" s="1" t="str">
        <f>HYPERLINK(".\sm_car_250419_1657\sm_car_250419_1657_129_Ca146TrN_MaWOT_ode23t_1.png","figure")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474</v>
      </c>
      <c r="L131" s="5">
        <v>19.870514100000001</v>
      </c>
      <c r="M131" s="5">
        <v>35.601819223991811</v>
      </c>
      <c r="N131" s="5">
        <v>-2.8251014622711665E-2</v>
      </c>
      <c r="O131" s="1" t="str">
        <f>HYPERLINK(".\sm_car_250419_1657\sm_car_250419_1657_130_Ca146TrN_MaLSS_ode23t_1.png","figure")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558</v>
      </c>
      <c r="L132" s="5">
        <v>43.848519899999999</v>
      </c>
      <c r="M132" s="5">
        <v>179.79356442460451</v>
      </c>
      <c r="N132" s="5">
        <v>0.28784674379046843</v>
      </c>
      <c r="O132" s="1" t="str">
        <f>HYPERLINK(".\sm_car_250419_1657\sm_car_250419_1657_131_Ca161TrN_MaWOT_ode23t_1.png","figure")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701</v>
      </c>
      <c r="L133" s="5">
        <v>51.665725399999999</v>
      </c>
      <c r="M133" s="5">
        <v>154.15615107391989</v>
      </c>
      <c r="N133" s="5">
        <v>-0.54879960675168582</v>
      </c>
      <c r="O133" s="1" t="str">
        <f>HYPERLINK(".\sm_car_250419_1657\sm_car_250419_1657_132_Ca161TrN_MaLSS_ode23t_1.png","figure")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635</v>
      </c>
      <c r="L134" s="5">
        <v>56.574222399999996</v>
      </c>
      <c r="M134" s="5">
        <v>277.45228206101444</v>
      </c>
      <c r="N134" s="5">
        <v>0.69691088266241585</v>
      </c>
      <c r="O134" s="1" t="str">
        <f>HYPERLINK(".\sm_car_250419_1657\sm_car_250419_1657_133_Ca163TrN_MaWOT_ode23t_1.png","figure")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833</v>
      </c>
      <c r="L135" s="5">
        <v>66.0318386</v>
      </c>
      <c r="M135" s="5">
        <v>256.39673174962059</v>
      </c>
      <c r="N135" s="5">
        <v>-0.85635727028308284</v>
      </c>
      <c r="O135" s="1" t="str">
        <f>HYPERLINK(".\sm_car_250419_1657\sm_car_250419_1657_134_Ca163TrN_MaLSS_ode23t_1.png","figure")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304</v>
      </c>
      <c r="L136" s="5">
        <v>23.7925194</v>
      </c>
      <c r="M136" s="5">
        <v>294.61503258025385</v>
      </c>
      <c r="N136" s="5">
        <v>1.1793250706766164E-4</v>
      </c>
      <c r="O136" s="1" t="str">
        <f>HYPERLINK(".\sm_car_250419_1657\sm_car_250419_1657_135_Ca184TrN_MaWOT_ode23t_1.png","figure")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482</v>
      </c>
      <c r="L137" s="5">
        <v>20.296772499999999</v>
      </c>
      <c r="M137" s="5">
        <v>103.55764012584365</v>
      </c>
      <c r="N137" s="5">
        <v>-0.20810011825132796</v>
      </c>
      <c r="O137" s="1" t="str">
        <f>HYPERLINK(".\sm_car_250419_1657\sm_car_250419_1657_136_Ca184TrN_MaLSS_ode23t_1.png","figure")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119</v>
      </c>
      <c r="G138" t="s">
        <v>26</v>
      </c>
      <c r="H138" t="s">
        <v>21</v>
      </c>
      <c r="I138" t="s">
        <v>22</v>
      </c>
      <c r="J138" t="s">
        <v>23</v>
      </c>
      <c r="K138">
        <v>742</v>
      </c>
      <c r="L138" s="5">
        <v>55.943740699999999</v>
      </c>
      <c r="M138" s="5">
        <v>278.59672594824076</v>
      </c>
      <c r="N138" s="5">
        <v>0.71521616788785414</v>
      </c>
      <c r="O138" s="1" t="str">
        <f>HYPERLINK(".\sm_car_250419_1657\sm_car_250419_1657_137_Ca217TrN_MaWOT_ode23t_1.png","figure")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119</v>
      </c>
      <c r="G139" t="s">
        <v>26</v>
      </c>
      <c r="H139" t="s">
        <v>21</v>
      </c>
      <c r="I139" t="s">
        <v>24</v>
      </c>
      <c r="J139" t="s">
        <v>23</v>
      </c>
      <c r="K139">
        <v>850</v>
      </c>
      <c r="L139" s="5">
        <v>59.955084100000001</v>
      </c>
      <c r="M139" s="5">
        <v>110.07354503237877</v>
      </c>
      <c r="N139" s="5">
        <v>-0.35681640156644462</v>
      </c>
      <c r="O139" s="1" t="str">
        <f>HYPERLINK(".\sm_car_250419_1657\sm_car_250419_1657_138_Ca217TrN_MaLSS_ode23t_1.png","figure")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783</v>
      </c>
      <c r="L140" s="5">
        <v>17.922408699999998</v>
      </c>
      <c r="M140" s="5">
        <v>254.56749076352503</v>
      </c>
      <c r="N140" s="5">
        <v>3.4311263244708456E-3</v>
      </c>
      <c r="O140" s="1" t="str">
        <f>HYPERLINK(".\sm_car_250419_1657\sm_car_250419_1657_139_Ca012TrN_MaDLC_ode23t_1.png","figure")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928</v>
      </c>
      <c r="L141" s="5">
        <v>22.9579284</v>
      </c>
      <c r="M141" s="5">
        <v>74.817396012653305</v>
      </c>
      <c r="N141" s="5">
        <v>0.72114502302314698</v>
      </c>
      <c r="O141" s="1" t="str">
        <f>HYPERLINK(".\sm_car_250419_1657\sm_car_250419_1657_140_Ca012TrN_MaIPA_ode23t_1.png","figure")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769</v>
      </c>
      <c r="L142" s="5">
        <v>21.3928516</v>
      </c>
      <c r="M142" s="5">
        <v>255.39280971530877</v>
      </c>
      <c r="N142" s="5">
        <v>-5.0104450934957967E-3</v>
      </c>
      <c r="O142" s="1" t="str">
        <f>HYPERLINK(".\sm_car_250419_1657\sm_car_250419_1657_141_Ca142TrN_MaDLC_ode23t_1.png","figure")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3406</v>
      </c>
      <c r="L143" s="5">
        <v>281.29592730000002</v>
      </c>
      <c r="M143" s="5">
        <v>83.377687282025008</v>
      </c>
      <c r="N143" s="5">
        <v>0.85372798771652514</v>
      </c>
      <c r="O143" s="1" t="str">
        <f>HYPERLINK(".\sm_car_250419_1657\sm_car_250419_1657_142_Ca142TrN_MaIPA_ode23t_1.png","figure")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477</v>
      </c>
      <c r="L144" s="5">
        <v>28.081431299999998</v>
      </c>
      <c r="M144" s="5">
        <v>255.34631526811773</v>
      </c>
      <c r="N144" s="5">
        <v>4.1404973403378342E-2</v>
      </c>
      <c r="O144" s="1" t="str">
        <f>HYPERLINK(".\sm_car_250419_1657\sm_car_250419_1657_143_Ca145TrN_MaDLC_ode23t_1.png","figure")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307</v>
      </c>
      <c r="L145" s="5">
        <v>19.013576</v>
      </c>
      <c r="M145" s="5">
        <v>28.089217897090172</v>
      </c>
      <c r="N145" s="5">
        <v>1.5872621410329163E-2</v>
      </c>
      <c r="O145" s="1" t="str">
        <f>HYPERLINK(".\sm_car_250419_1657\sm_car_250419_1657_144_Ca145TrN_MaIPA_ode23t_1.png","figure")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118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413</v>
      </c>
      <c r="L146" s="5">
        <v>18.403644700000001</v>
      </c>
      <c r="M146" s="5">
        <v>254.78912772422149</v>
      </c>
      <c r="N146" s="5">
        <v>1.1784061472128293E-2</v>
      </c>
      <c r="O146" s="1" t="str">
        <f>HYPERLINK(".\sm_car_250419_1657\sm_car_250419_1657_145_Ca184TrN_MaDLC_ode23t_1.png","figure")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118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337</v>
      </c>
      <c r="L147" s="5">
        <v>21.638798000000001</v>
      </c>
      <c r="M147" s="5">
        <v>55.271572856408717</v>
      </c>
      <c r="N147" s="5">
        <v>5.7694528892826289E-3</v>
      </c>
      <c r="O147" s="1" t="str">
        <f>HYPERLINK(".\sm_car_250419_1657\sm_car_250419_1657_146_Ca184TrN_MaIPA_ode23t_1.png","figure")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1958</v>
      </c>
      <c r="L148" s="5">
        <v>43.6443911</v>
      </c>
      <c r="M148" s="5">
        <v>255.93050785726945</v>
      </c>
      <c r="N148" s="5">
        <v>1.4006135787396623E-2</v>
      </c>
      <c r="O148" s="1" t="str">
        <f>HYPERLINK(".\sm_car_250419_1657\sm_car_250419_1657_147_Ca204TrN_MaDLC_ode23t_1.png","figure")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677</v>
      </c>
      <c r="L149" s="5">
        <v>20.457116800000001</v>
      </c>
      <c r="M149" s="5">
        <v>26.037741702835117</v>
      </c>
      <c r="N149" s="5">
        <v>9.6604379917773348E-3</v>
      </c>
      <c r="O149" s="1" t="str">
        <f>HYPERLINK(".\sm_car_250419_1657\sm_car_250419_1657_148_Ca204TrN_MaIPA_ode23t_1.png","figure")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2716</v>
      </c>
      <c r="L150" s="5">
        <v>51.5780569</v>
      </c>
      <c r="M150" s="5">
        <v>-2.0396880601589229E-2</v>
      </c>
      <c r="N150" s="5">
        <v>-0.62224105249811623</v>
      </c>
      <c r="O150" s="1" t="str">
        <f>HYPERLINK(".\sm_car_250419_1657\sm_car_250419_1657_149_Ca012TrN_MaMPK_ode23t_1.png","figure")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3120</v>
      </c>
      <c r="L151" s="5">
        <v>58.848683000000001</v>
      </c>
      <c r="M151" s="5">
        <v>0.7865657148635492</v>
      </c>
      <c r="N151" s="5">
        <v>-0.32243230539683365</v>
      </c>
      <c r="O151" s="1" t="str">
        <f>HYPERLINK(".\sm_car_250419_1657\sm_car_250419_1657_150_Ca012TrN_MaMPC_ode23t_1.png","figure")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2575</v>
      </c>
      <c r="L152" s="5">
        <v>101.6271569</v>
      </c>
      <c r="M152" s="5">
        <v>-1.8385542097239277E-2</v>
      </c>
      <c r="N152" s="5">
        <v>-0.54657006494209193</v>
      </c>
      <c r="O152" s="1" t="str">
        <f>HYPERLINK(".\sm_car_250419_1657\sm_car_250419_1657_151_Ca142TrN_MaMPK_ode23t_1.png","figure")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3118</v>
      </c>
      <c r="L153" s="5">
        <v>117.81948509999999</v>
      </c>
      <c r="M153" s="5">
        <v>0.7883338074692734</v>
      </c>
      <c r="N153" s="5">
        <v>-0.36554301900521546</v>
      </c>
      <c r="O153" s="1" t="str">
        <f>HYPERLINK(".\sm_car_250419_1657\sm_car_250419_1657_152_Ca142TrN_MaMPC_ode23t_1.png","figure")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2872</v>
      </c>
      <c r="L154" s="5">
        <v>25.073383700000001</v>
      </c>
      <c r="M154" s="5">
        <v>-1.7009762451176483E-2</v>
      </c>
      <c r="N154" s="5">
        <v>-0.52484024733744905</v>
      </c>
      <c r="O154" s="1" t="str">
        <f>HYPERLINK(".\sm_car_250419_1657\sm_car_250419_1657_153_Ca116TrN_MaMPK_ode23t_1.png","figure")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3366</v>
      </c>
      <c r="L155" s="5">
        <v>26.6971843</v>
      </c>
      <c r="M155" s="5">
        <v>0.78777276892973447</v>
      </c>
      <c r="N155" s="5">
        <v>-0.35490619050324107</v>
      </c>
      <c r="O155" s="1" t="str">
        <f>HYPERLINK(".\sm_car_250419_1657\sm_car_250419_1657_154_Ca116TrN_MaMPC_ode23t_1.png","figure")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2703</v>
      </c>
      <c r="L156" s="5">
        <v>87.304264399999994</v>
      </c>
      <c r="M156" s="5">
        <v>-1.3427211090704244E-2</v>
      </c>
      <c r="N156" s="5">
        <v>-0.38960276536515187</v>
      </c>
      <c r="O156" s="1" t="str">
        <f>HYPERLINK(".\sm_car_250419_1657\sm_car_250419_1657_155_Ca143TrN_MaMPK_ode23t_1.png","figure")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2901</v>
      </c>
      <c r="L157" s="5">
        <v>105.2616718</v>
      </c>
      <c r="M157" s="5">
        <v>0.78782737195858488</v>
      </c>
      <c r="N157" s="5">
        <v>-0.2585573420781172</v>
      </c>
      <c r="O157" s="1" t="str">
        <f>HYPERLINK(".\sm_car_250419_1657\sm_car_250419_1657_156_Ca143TrN_MaMPC_ode23t_1.png","figure")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3166</v>
      </c>
      <c r="L158" s="5">
        <v>78.297409400000006</v>
      </c>
      <c r="M158" s="5">
        <v>-1.4892348872122541E-2</v>
      </c>
      <c r="N158" s="5">
        <v>-0.55567266465606968</v>
      </c>
      <c r="O158" s="1" t="str">
        <f>HYPERLINK(".\sm_car_250419_1657\sm_car_250419_1657_157_Ca166TrN_MaMPK_ode23t_1.png","figure")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3587</v>
      </c>
      <c r="L159" s="5">
        <v>95.156735900000001</v>
      </c>
      <c r="M159" s="5">
        <v>0.78717764975603011</v>
      </c>
      <c r="N159" s="5">
        <v>-0.35636319727903626</v>
      </c>
      <c r="O159" s="1" t="str">
        <f>HYPERLINK(".\sm_car_250419_1657\sm_car_250419_1657_158_Ca166TrN_MaMPC_ode23t_1.png","figure")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3143</v>
      </c>
      <c r="L160" s="5">
        <v>68.760786999999993</v>
      </c>
      <c r="M160" s="5">
        <v>-1.0512008846666338E-2</v>
      </c>
      <c r="N160" s="5">
        <v>-0.55661490521723422</v>
      </c>
      <c r="O160" s="1" t="str">
        <f>HYPERLINK(".\sm_car_250419_1657\sm_car_250419_1657_159_Ca169TrN_MaMPK_ode23t_1.png","figure")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3369</v>
      </c>
      <c r="L161" s="5">
        <v>72.417183899999998</v>
      </c>
      <c r="M161" s="5">
        <v>0.78803928517113775</v>
      </c>
      <c r="N161" s="5">
        <v>-0.35561085613966459</v>
      </c>
      <c r="O161" s="1" t="str">
        <f>HYPERLINK(".\sm_car_250419_1657\sm_car_250419_1657_160_Ca169TrN_MaMPC_ode23t_1.png","figure")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118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2097</v>
      </c>
      <c r="L162" s="5">
        <v>89.024923400000006</v>
      </c>
      <c r="M162" s="5">
        <v>6.408517332402594E-3</v>
      </c>
      <c r="N162" s="5">
        <v>-0.69731076330967923</v>
      </c>
      <c r="O162" s="1" t="str">
        <f>HYPERLINK(".\sm_car_250419_1657\sm_car_250419_1657_161_Ca184TrN_MaMPK_ode23t_1.png","figure")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118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2152</v>
      </c>
      <c r="L163" s="5">
        <v>83.388394599999998</v>
      </c>
      <c r="M163" s="5">
        <v>0.78856473189526</v>
      </c>
      <c r="N163" s="5">
        <v>-0.32948899606388127</v>
      </c>
      <c r="O163" s="1" t="str">
        <f>HYPERLINK(".\sm_car_250419_1657\sm_car_250419_1657_162_Ca184TrN_MaMPC_ode23t_1.png","figure")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3148</v>
      </c>
      <c r="L164" s="5">
        <v>71.050008899999995</v>
      </c>
      <c r="M164" s="5">
        <v>-1.6420660378879223E-2</v>
      </c>
      <c r="N164" s="5">
        <v>-0.55651495002703733</v>
      </c>
      <c r="O164" s="1" t="str">
        <f>HYPERLINK(".\sm_car_250419_1657\sm_car_250419_1657_163_Ca195TrN_MaMPK_ode23t_1.png","figure")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3393</v>
      </c>
      <c r="L165" s="5">
        <v>69.126569200000006</v>
      </c>
      <c r="M165" s="5">
        <v>0.78919562845787894</v>
      </c>
      <c r="N165" s="5">
        <v>-0.3556279362639167</v>
      </c>
      <c r="O165" s="1" t="str">
        <f>HYPERLINK(".\sm_car_250419_1657\sm_car_250419_1657_164_Ca195TrN_MaMPC_ode23t_1.png","figure")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118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2115</v>
      </c>
      <c r="L166" s="5">
        <v>55.795766200000003</v>
      </c>
      <c r="M166" s="5">
        <v>-2.1272834075709388E-2</v>
      </c>
      <c r="N166" s="5">
        <v>-0.69680057239394144</v>
      </c>
      <c r="O166" s="1" t="str">
        <f>HYPERLINK(".\sm_car_250419_1657\sm_car_250419_1657_165_Ca198TrN_MaMPK_ode23t_1.png","figure")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118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2167</v>
      </c>
      <c r="L167" s="5">
        <v>57.1911858</v>
      </c>
      <c r="M167" s="5">
        <v>0.78899044648266781</v>
      </c>
      <c r="N167" s="5">
        <v>-0.32939130989377702</v>
      </c>
      <c r="O167" s="1" t="str">
        <f>HYPERLINK(".\sm_car_250419_1657\sm_car_250419_1657_166_Ca198TrN_MaMPC_ode23t_1.png","figure")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514</v>
      </c>
      <c r="L168" s="5">
        <v>20.941984999999999</v>
      </c>
      <c r="M168" s="5">
        <v>72.550969564468815</v>
      </c>
      <c r="N168" s="5">
        <v>-0.8036053576977974</v>
      </c>
      <c r="O168" s="1" t="str">
        <f>HYPERLINK(".\sm_car_250419_1657\sm_car_250419_1657_167_Ca151TrN_MaLSS_ode23t_1.png","figure")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533</v>
      </c>
      <c r="L169" s="5">
        <v>21.796305100000001</v>
      </c>
      <c r="M169" s="5">
        <v>70.9567695331057</v>
      </c>
      <c r="N169" s="5">
        <v>-0.53380888182034369</v>
      </c>
      <c r="O169" s="1" t="str">
        <f>HYPERLINK(".\sm_car_250419_1657\sm_car_250419_1657_168_Ca152TrN_MaLSS_ode23t_1.png","figure")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541</v>
      </c>
      <c r="L170" s="5">
        <v>23.064728599999999</v>
      </c>
      <c r="M170" s="5">
        <v>70.800915503415624</v>
      </c>
      <c r="N170" s="5">
        <v>-0.86780573836132746</v>
      </c>
      <c r="O170" s="1" t="str">
        <f>HYPERLINK(".\sm_car_250419_1657\sm_car_250419_1657_169_Ca153TrN_MaLSS_ode23t_1.png","figure")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489</v>
      </c>
      <c r="L171" s="5">
        <v>25.6782459</v>
      </c>
      <c r="M171" s="5">
        <v>70.980473045280206</v>
      </c>
      <c r="N171" s="5">
        <v>-0.35984349513804892</v>
      </c>
      <c r="O171" s="1" t="str">
        <f>HYPERLINK(".\sm_car_250419_1657\sm_car_250419_1657_170_Ca154TrN_MaLSS_ode23t_1.png","figure")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537</v>
      </c>
      <c r="L172" s="5">
        <v>29.274305099999999</v>
      </c>
      <c r="M172" s="5">
        <v>70.85786563322084</v>
      </c>
      <c r="N172" s="5">
        <v>-0.84415720056439758</v>
      </c>
      <c r="O172" s="1" t="str">
        <f>HYPERLINK(".\sm_car_250419_1657\sm_car_250419_1657_171_Ca155TrN_MaLSS_ode23t_1.png","figure")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5">
        <v>14.9380551</v>
      </c>
      <c r="M173" s="5">
        <v>231.38923252163076</v>
      </c>
      <c r="N173" s="5">
        <v>2.2944610708496901E-3</v>
      </c>
      <c r="O173" s="1" t="str">
        <f>HYPERLINK(".\sm_car_250419_1657\sm_car_250419_1657_172_Ca004TrN_MaWOT_ode3_1.png","figure")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5">
        <v>11.6982613</v>
      </c>
      <c r="M174" s="5">
        <v>71.253969951402098</v>
      </c>
      <c r="N174" s="5">
        <v>-0.54014322697826567</v>
      </c>
      <c r="O174" s="1" t="str">
        <f>HYPERLINK(".\sm_car_250419_1657\sm_car_250419_1657_173_Ca004TrN_MaLSS_ode3_1.png","figure")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5">
        <v>11.8663518</v>
      </c>
      <c r="M175" s="5">
        <v>63.785889456714656</v>
      </c>
      <c r="N175" s="5">
        <v>-25.043861215377692</v>
      </c>
      <c r="O175" s="1" t="str">
        <f>HYPERLINK(".\sm_car_250419_1657\sm_car_250419_1657_174_Ca004TrN_MaTUR_ode3_1.png","figure")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5">
        <v>6.6266315999999996</v>
      </c>
      <c r="M176" s="5">
        <v>242.70379428436041</v>
      </c>
      <c r="N176" s="5">
        <v>0.23327324309701689</v>
      </c>
      <c r="O176" s="1" t="str">
        <f>HYPERLINK(".\sm_car_250419_1657\sm_car_250419_1657_175_Ca116TrN_MaWOT_ode3_1.png","figure")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5">
        <v>5.5412020999999996</v>
      </c>
      <c r="M177" s="5">
        <v>74.659491982450774</v>
      </c>
      <c r="N177" s="5">
        <v>-0.34093758006291858</v>
      </c>
      <c r="O177" s="1" t="str">
        <f>HYPERLINK(".\sm_car_250419_1657\sm_car_250419_1657_176_Ca116TrN_MaLSS_ode3_1.png","figure")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5">
        <v>5.4582752000000001</v>
      </c>
      <c r="M178" s="5">
        <v>71.32397117118802</v>
      </c>
      <c r="N178" s="5">
        <v>-17.591551103430934</v>
      </c>
      <c r="O178" s="1" t="str">
        <f>HYPERLINK(".\sm_car_250419_1657\sm_car_250419_1657_177_Ca116TrN_MaTUR_ode3_1.png","figure")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5">
        <v>4.0726354000000002</v>
      </c>
      <c r="M179" s="5">
        <v>242.88013068819623</v>
      </c>
      <c r="N179" s="5">
        <v>0.23307974035338433</v>
      </c>
      <c r="O179" s="1" t="str">
        <f>HYPERLINK(".\sm_car_250419_1657\sm_car_250419_1657_178_Ca124TrN_MaWOT_ode3_1.png","figure")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5">
        <v>3.2892266000000001</v>
      </c>
      <c r="M180" s="5">
        <v>74.798394612599097</v>
      </c>
      <c r="N180" s="5">
        <v>-0.34251622055333664</v>
      </c>
      <c r="O180" s="1" t="str">
        <f>HYPERLINK(".\sm_car_250419_1657\sm_car_250419_1657_179_Ca124TrN_MaLSS_ode3_1.png","figure")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5">
        <v>3.3443749999999999</v>
      </c>
      <c r="M181" s="5">
        <v>71.449352968456878</v>
      </c>
      <c r="N181" s="5">
        <v>-17.63759605520924</v>
      </c>
      <c r="O181" s="1" t="str">
        <f>HYPERLINK(".\sm_car_250419_1657\sm_car_250419_1657_180_Ca124TrN_MaTUR_ode3_1.png","figure")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5">
        <v>20.0157256</v>
      </c>
      <c r="M182" s="5">
        <v>405.30632134100546</v>
      </c>
      <c r="N182" s="5">
        <v>1.5698091305946216</v>
      </c>
      <c r="O182" s="1" t="str">
        <f>HYPERLINK(".\sm_car_250419_1657\sm_car_250419_1657_181_Ca141TrN_MaWOT_ode3_1.png","figure")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5">
        <v>16.7362167</v>
      </c>
      <c r="M183" s="5">
        <v>154.47541568034066</v>
      </c>
      <c r="N183" s="5">
        <v>-0.5837101190115932</v>
      </c>
      <c r="O183" s="1" t="str">
        <f>HYPERLINK(".\sm_car_250419_1657\sm_car_250419_1657_182_Ca141TrN_MaLSS_ode3_1.png","figure")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5">
        <v>16.893512900000001</v>
      </c>
      <c r="M184" s="5">
        <v>98.346090981501419</v>
      </c>
      <c r="N184" s="5">
        <v>-87.528834297815479</v>
      </c>
      <c r="O184" s="1" t="str">
        <f>HYPERLINK(".\sm_car_250419_1657\sm_car_250419_1657_183_Ca141TrN_MaTUR_ode3_1.png","figure")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2853</v>
      </c>
      <c r="L185" s="5">
        <v>12.8125754</v>
      </c>
      <c r="M185" s="5">
        <v>96.209777371576479</v>
      </c>
      <c r="N185" s="5">
        <v>-6.268717987411708E-2</v>
      </c>
      <c r="O185" s="1" t="str">
        <f>HYPERLINK(".\sm_car_250419_1657\sm_car_250419_1657_184_Ca145TrN_MaWOT_ode3_1.png","figure")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2381</v>
      </c>
      <c r="L186" s="5">
        <v>10.7254267</v>
      </c>
      <c r="M186" s="5">
        <v>25.347056822807058</v>
      </c>
      <c r="N186" s="5">
        <v>-5.5468035674094057E-2</v>
      </c>
      <c r="O186" s="1" t="str">
        <f>HYPERLINK(".\sm_car_250419_1657\sm_car_250419_1657_185_Ca145TrN_MaLSS_ode3_1.png","figure")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 s="5">
        <v>10.7837874</v>
      </c>
      <c r="M187" s="5">
        <v>25.18709553334434</v>
      </c>
      <c r="N187" s="5">
        <v>-2.6264793968017099</v>
      </c>
      <c r="O187" s="1" t="str">
        <f>HYPERLINK(".\sm_car_250419_1657\sm_car_250419_1657_186_Ca145TrN_MaTUR_ode3_1.png","figure")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2855</v>
      </c>
      <c r="L188" s="5">
        <v>14.4918814</v>
      </c>
      <c r="M188" s="5">
        <v>96.878381386336329</v>
      </c>
      <c r="N188" s="5">
        <v>0.14646621937649884</v>
      </c>
      <c r="O188" s="1" t="str">
        <f>HYPERLINK(".\sm_car_250419_1657\sm_car_250419_1657_187_Ca199TrN_MaWOT_ode3_1.png","figure")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2380</v>
      </c>
      <c r="L189" s="5">
        <v>12.1486261</v>
      </c>
      <c r="M189" s="5">
        <v>25.961292515468749</v>
      </c>
      <c r="N189" s="5">
        <v>-2.8540310149333017E-2</v>
      </c>
      <c r="O189" s="1" t="str">
        <f>HYPERLINK(".\sm_car_250419_1657\sm_car_250419_1657_188_Ca199TrN_MaLSS_ode3_1.png","figure")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5">
        <v>12.1886435</v>
      </c>
      <c r="M190" s="5">
        <v>25.754329299585113</v>
      </c>
      <c r="N190" s="5">
        <v>-2.678209467543446</v>
      </c>
      <c r="O190" s="1" t="str">
        <f>HYPERLINK(".\sm_car_250419_1657\sm_car_250419_1657_189_Ca199TrN_MaTUR_ode3_1.png","figure")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547</v>
      </c>
      <c r="L191" s="5">
        <v>16.492887899999999</v>
      </c>
      <c r="M191" s="5">
        <v>253.6570682801123</v>
      </c>
      <c r="N191" s="5">
        <v>-6.5217475972145778E-3</v>
      </c>
      <c r="O191" s="1" t="str">
        <f>HYPERLINK(".\sm_car_250419_1657\sm_car_250419_1657_190_Ca139TrN_MaDLC_ode23t_1.png","figure")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802</v>
      </c>
      <c r="L192" s="5">
        <v>51.510124099999999</v>
      </c>
      <c r="M192" s="5">
        <v>253.18989287634679</v>
      </c>
      <c r="N192" s="5">
        <v>0.17624191621406737</v>
      </c>
      <c r="O192" s="1" t="str">
        <f>HYPERLINK(".\sm_car_250419_1657\sm_car_250419_1657_191_Ca139TrE_MaDLC_ode23t_1.png","figure")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918</v>
      </c>
      <c r="L193" s="5">
        <v>53.109884299999997</v>
      </c>
      <c r="M193" s="5">
        <v>254.49638003125017</v>
      </c>
      <c r="N193" s="5">
        <v>-5.7884488945099122E-3</v>
      </c>
      <c r="O193" s="1" t="str">
        <f>HYPERLINK(".\sm_car_250419_1657\sm_car_250419_1657_192_Ca139TrT_MaDLC_ode23t_1.png","figure")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780</v>
      </c>
      <c r="L194" s="5">
        <v>36.377172999999999</v>
      </c>
      <c r="M194" s="5">
        <v>254.30819553270783</v>
      </c>
      <c r="N194" s="5">
        <v>1.1754182411793934E-2</v>
      </c>
      <c r="O194" s="1" t="str">
        <f>HYPERLINK(".\sm_car_250419_1657\sm_car_250419_1657_193_Ca139TrE_MaDLC_ode23t_1.png","figure")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630</v>
      </c>
      <c r="L195" s="5">
        <v>17.0996056</v>
      </c>
      <c r="M195" s="5">
        <v>253.92308379845394</v>
      </c>
      <c r="N195" s="5">
        <v>3.3326829770601307E-3</v>
      </c>
      <c r="O195" s="1" t="str">
        <f>HYPERLINK(".\sm_car_250419_1657\sm_car_250419_1657_194_Ca002TrN_MaDLC_ode23t_1.png","figure")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792</v>
      </c>
      <c r="L196" s="5">
        <v>36.957389399999997</v>
      </c>
      <c r="M196" s="5">
        <v>253.84025653864103</v>
      </c>
      <c r="N196" s="5">
        <v>3.3951229627104951E-3</v>
      </c>
      <c r="O196" s="1" t="str">
        <f>HYPERLINK(".\sm_car_250419_1657\sm_car_250419_1657_195_Ca002TrE_MaDLC_ode23t_1.png","figure")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1025</v>
      </c>
      <c r="L197" s="5">
        <v>56.168367099999998</v>
      </c>
      <c r="M197" s="5">
        <v>253.7327665695131</v>
      </c>
      <c r="N197" s="5">
        <v>3.4467799354258588E-3</v>
      </c>
      <c r="O197" s="1" t="str">
        <f>HYPERLINK(".\sm_car_250419_1657\sm_car_250419_1657_196_Ca002TrT_MaDLC_ode23t_1.png","figure")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794</v>
      </c>
      <c r="L198" s="5">
        <v>28.187715399999998</v>
      </c>
      <c r="M198" s="5">
        <v>253.29397665475307</v>
      </c>
      <c r="N198" s="5">
        <v>3.6722929036887564E-3</v>
      </c>
      <c r="O198" s="1" t="str">
        <f>HYPERLINK(".\sm_car_250419_1657\sm_car_250419_1657_197_Ca002TrE_MaDLC_ode23t_1.png","figure")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477</v>
      </c>
      <c r="L199" s="5">
        <v>28.828770500000001</v>
      </c>
      <c r="M199" s="5">
        <v>255.34631526811773</v>
      </c>
      <c r="N199" s="5">
        <v>4.1404973403378342E-2</v>
      </c>
      <c r="O199" s="1" t="str">
        <f>HYPERLINK(".\sm_car_250419_1657\sm_car_250419_1657_198_Ca145TrN_MaDLC_ode23t_1.png","figure")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555</v>
      </c>
      <c r="L200" s="5">
        <v>55.194913900000003</v>
      </c>
      <c r="M200" s="5">
        <v>254.12693259583779</v>
      </c>
      <c r="N200" s="5">
        <v>4.6222758738834635E-2</v>
      </c>
      <c r="O200" s="1" t="str">
        <f>HYPERLINK(".\sm_car_250419_1657\sm_car_250419_1657_199_Ca145TrE_MaDLC_ode23t_1.png","figure")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644</v>
      </c>
      <c r="L201" s="5">
        <v>64.458462699999998</v>
      </c>
      <c r="M201" s="5">
        <v>254.32702139896276</v>
      </c>
      <c r="N201" s="5">
        <v>4.5126125037331377E-2</v>
      </c>
      <c r="O201" s="1" t="str">
        <f>HYPERLINK(".\sm_car_250419_1657\sm_car_250419_1657_200_Ca145TrT_MaDLC_ode23t_1.png","figure")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554</v>
      </c>
      <c r="L202" s="5">
        <v>47.4200315</v>
      </c>
      <c r="M202" s="5">
        <v>253.34052125469043</v>
      </c>
      <c r="N202" s="5">
        <v>4.9235857675917316E-2</v>
      </c>
      <c r="O202" s="1" t="str">
        <f>HYPERLINK(".\sm_car_250419_1657\sm_car_250419_1657_201_Ca145TrE_MaDLC_ode23t_1.png","figure")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482</v>
      </c>
      <c r="L203" s="5">
        <v>12.236652299999999</v>
      </c>
      <c r="M203" s="5">
        <v>255.34532281883622</v>
      </c>
      <c r="N203" s="5">
        <v>4.117064465929765E-2</v>
      </c>
      <c r="O203" s="1" t="str">
        <f>HYPERLINK(".\sm_car_250419_1657\sm_car_250419_1657_202_Ca199TrN_MaDLC_ode23t_1.png","figure")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562</v>
      </c>
      <c r="L204" s="5">
        <v>29.006168899999999</v>
      </c>
      <c r="M204" s="5">
        <v>254.12790602743627</v>
      </c>
      <c r="N204" s="5">
        <v>4.625038324900288E-2</v>
      </c>
      <c r="O204" s="1" t="str">
        <f>HYPERLINK(".\sm_car_250419_1657\sm_car_250419_1657_203_Ca199TrE_MaDLC_ode23t_1.png","figure")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650</v>
      </c>
      <c r="L205" s="5">
        <v>30.4314614</v>
      </c>
      <c r="M205" s="5">
        <v>253.94434993250638</v>
      </c>
      <c r="N205" s="5">
        <v>4.6569970275828432E-2</v>
      </c>
      <c r="O205" s="1" t="str">
        <f>HYPERLINK(".\sm_car_250419_1657\sm_car_250419_1657_204_Ca199TrT_MaDLC_ode23t_1.png","figure")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558</v>
      </c>
      <c r="L206" s="5">
        <v>20.9880213</v>
      </c>
      <c r="M206" s="5">
        <v>254.12642196853864</v>
      </c>
      <c r="N206" s="5">
        <v>4.6241324696821628E-2</v>
      </c>
      <c r="O206" s="1" t="str">
        <f>HYPERLINK(".\sm_car_250419_1657\sm_car_250419_1657_205_Ca199TrE_MaDLC_ode23t_1.png","figure")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471</v>
      </c>
      <c r="L207" s="5">
        <v>19.083550500000001</v>
      </c>
      <c r="M207" s="5">
        <v>259.5985912081581</v>
      </c>
      <c r="N207" s="5">
        <v>5.0013964459663631</v>
      </c>
      <c r="O207" s="1" t="str">
        <f>HYPERLINK(".\sm_car_250419_1657\sm_car_250419_1657_206_Ca189TrE_MaTRD_ode23t_1.png","figure")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626</v>
      </c>
      <c r="L208" s="5">
        <v>24.428034499999999</v>
      </c>
      <c r="M208" s="5">
        <v>259.57163280889881</v>
      </c>
      <c r="N208" s="5">
        <v>4.9128686319127439</v>
      </c>
      <c r="O208" s="1" t="str">
        <f>HYPERLINK(".\sm_car_250419_1657\sm_car_250419_1657_207_Ca189TrU_MaTRD_ode23t_1.png","figure")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669</v>
      </c>
      <c r="L209" s="5">
        <v>15.413932000000001</v>
      </c>
      <c r="M209" s="5">
        <v>-5.792134717352404E-3</v>
      </c>
      <c r="N209" s="5">
        <v>-2.3696198910533317E-4</v>
      </c>
      <c r="O209" s="1" t="str">
        <f>HYPERLINK(".\sm_car_250419_1657\sm_car_250419_1657_208_Ca149TrN_MaPST_ode23t_1.png","figure")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1574</v>
      </c>
      <c r="L210" s="5">
        <v>70.756740600000001</v>
      </c>
      <c r="M210" s="5">
        <v>36.457966982251705</v>
      </c>
      <c r="N210" s="5">
        <v>0.34796636885837628</v>
      </c>
      <c r="O210" s="1" t="str">
        <f>HYPERLINK(".\sm_car_250419_1657\sm_car_250419_1657_209_Ca139TrN_MaSKD_ode23t_1.png","figure")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1065</v>
      </c>
      <c r="L211" s="5">
        <v>58.412000300000003</v>
      </c>
      <c r="M211" s="5">
        <v>3.4881489021109324</v>
      </c>
      <c r="N211" s="5">
        <v>27.076691664213193</v>
      </c>
      <c r="O211" s="1" t="str">
        <f>HYPERLINK(".\sm_car_250419_1657\sm_car_250419_1657_210_Ca139TrN_MaRAD_ode23t_1.png","figure")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118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1326</v>
      </c>
      <c r="L212" s="5">
        <v>86.898357399999995</v>
      </c>
      <c r="M212" s="5">
        <v>36.65668435430662</v>
      </c>
      <c r="N212" s="5">
        <v>0.23964954791487972</v>
      </c>
      <c r="O212" s="1" t="str">
        <f>HYPERLINK(".\sm_car_250419_1657\sm_car_250419_1657_211_Ca184TrN_MaSKD_ode23t_1.png","figure")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118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626</v>
      </c>
      <c r="L213" s="5">
        <v>38.354240599999997</v>
      </c>
      <c r="M213" s="5">
        <v>13.884770448163954</v>
      </c>
      <c r="N213" s="5">
        <v>23.76345329938292</v>
      </c>
      <c r="O213" s="1" t="str">
        <f>HYPERLINK(".\sm_car_250419_1657\sm_car_250419_1657_212_Ca184TrN_MaRAD_ode23t_1.png","figure")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118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1409</v>
      </c>
      <c r="L214" s="5">
        <v>54.780722699999998</v>
      </c>
      <c r="M214" s="5">
        <v>36.661450321107544</v>
      </c>
      <c r="N214" s="5">
        <v>0.2393551803041169</v>
      </c>
      <c r="O214" s="1" t="str">
        <f>HYPERLINK(".\sm_car_250419_1657\sm_car_250419_1657_213_Ca198TrN_MaSKD_ode23t_1.png","figure")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118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662</v>
      </c>
      <c r="L215" s="5">
        <v>24.4365086</v>
      </c>
      <c r="M215" s="5">
        <v>13.858556582554614</v>
      </c>
      <c r="N215" s="5">
        <v>23.711520311545161</v>
      </c>
      <c r="O215" s="1" t="str">
        <f>HYPERLINK(".\sm_car_250419_1657\sm_car_250419_1657_214_Ca198TrN_MaRAD_ode23t_1.png","figure")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136</v>
      </c>
      <c r="J216" t="s">
        <v>23</v>
      </c>
      <c r="K216">
        <v>738</v>
      </c>
      <c r="L216" s="5">
        <v>19.5139961</v>
      </c>
      <c r="M216" s="5">
        <v>120.0892644912358</v>
      </c>
      <c r="N216" s="5">
        <v>-15.851260081437044</v>
      </c>
      <c r="O216" s="1" t="str">
        <f>HYPERLINK(".\sm_car_250419_1657\sm_car_250419_1657_215_Ca189TrN_MaFSH_ode23t_1.png","figure")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137</v>
      </c>
      <c r="J217" t="s">
        <v>23</v>
      </c>
      <c r="K217">
        <v>542</v>
      </c>
      <c r="L217" s="5">
        <v>12.9685933</v>
      </c>
      <c r="M217" s="5">
        <v>117.00496365184472</v>
      </c>
      <c r="N217" s="5">
        <v>-9.4466733211824572</v>
      </c>
      <c r="O217" s="1" t="str">
        <f>HYPERLINK(".\sm_car_250419_1657\sm_car_250419_1657_216_Ca189TrN_MaSWD_ode23t_1.png","figure")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138</v>
      </c>
      <c r="J218" t="s">
        <v>23</v>
      </c>
      <c r="K218">
        <v>546</v>
      </c>
      <c r="L218" s="5">
        <v>14.2789474</v>
      </c>
      <c r="M218" s="5">
        <v>100.62822866272842</v>
      </c>
      <c r="N218" s="5">
        <v>18.073731369442118</v>
      </c>
      <c r="O218" s="1" t="str">
        <f>HYPERLINK(".\sm_car_250419_1657\sm_car_250419_1657_217_Ca189TrN_MaRST_ode23t_1.png","figure")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139</v>
      </c>
      <c r="J219" t="s">
        <v>23</v>
      </c>
      <c r="K219">
        <v>596</v>
      </c>
      <c r="L219" s="5">
        <v>29.7297391</v>
      </c>
      <c r="M219" s="5">
        <v>230.8892990237733</v>
      </c>
      <c r="N219" s="5">
        <v>6.336903846819314E-2</v>
      </c>
      <c r="O219" s="1" t="str">
        <f>HYPERLINK(".\sm_car_250419_1657\sm_car_250419_1657_218_Ca189TrN_MaSLA_ode23t_1.png","figure")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132</v>
      </c>
      <c r="E220" t="s">
        <v>107</v>
      </c>
      <c r="F220" t="s">
        <v>19</v>
      </c>
      <c r="G220" t="s">
        <v>26</v>
      </c>
      <c r="H220" t="s">
        <v>21</v>
      </c>
      <c r="I220" t="s">
        <v>136</v>
      </c>
      <c r="J220" t="s">
        <v>23</v>
      </c>
      <c r="K220">
        <v>671</v>
      </c>
      <c r="L220" s="5">
        <v>11.3115343</v>
      </c>
      <c r="M220" s="5">
        <v>90.638931673140561</v>
      </c>
      <c r="N220" s="5">
        <v>-21.970399647974865</v>
      </c>
      <c r="O220" s="1" t="str">
        <f>HYPERLINK(".\sm_car_250419_1657\sm_car_250419_1657_219_Ca218TrN_MaFSH_ode23t_1.png","figure")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132</v>
      </c>
      <c r="E221" t="s">
        <v>107</v>
      </c>
      <c r="F221" t="s">
        <v>19</v>
      </c>
      <c r="G221" t="s">
        <v>26</v>
      </c>
      <c r="H221" t="s">
        <v>21</v>
      </c>
      <c r="I221" t="s">
        <v>137</v>
      </c>
      <c r="J221" t="s">
        <v>23</v>
      </c>
      <c r="K221">
        <v>552</v>
      </c>
      <c r="L221" s="5">
        <v>9.0930500999999992</v>
      </c>
      <c r="M221" s="5">
        <v>125.30939734701596</v>
      </c>
      <c r="N221" s="5">
        <v>-8.597387640572288</v>
      </c>
      <c r="O221" s="1" t="str">
        <f>HYPERLINK(".\sm_car_250419_1657\sm_car_250419_1657_220_Ca218TrN_MaSWD_ode23t_1.png","figure")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132</v>
      </c>
      <c r="E222" t="s">
        <v>107</v>
      </c>
      <c r="F222" t="s">
        <v>19</v>
      </c>
      <c r="G222" t="s">
        <v>26</v>
      </c>
      <c r="H222" t="s">
        <v>21</v>
      </c>
      <c r="I222" t="s">
        <v>138</v>
      </c>
      <c r="J222" t="s">
        <v>23</v>
      </c>
      <c r="K222">
        <v>475</v>
      </c>
      <c r="L222" s="5">
        <v>8.5749262000000002</v>
      </c>
      <c r="M222" s="5">
        <v>90.663866885652652</v>
      </c>
      <c r="N222" s="5">
        <v>28.882180791524931</v>
      </c>
      <c r="O222" s="1" t="str">
        <f>HYPERLINK(".\sm_car_250419_1657\sm_car_250419_1657_221_Ca218TrN_MaRST_ode23t_1.png","figure")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132</v>
      </c>
      <c r="E223" t="s">
        <v>107</v>
      </c>
      <c r="F223" t="s">
        <v>19</v>
      </c>
      <c r="G223" t="s">
        <v>26</v>
      </c>
      <c r="H223" t="s">
        <v>21</v>
      </c>
      <c r="I223" t="s">
        <v>139</v>
      </c>
      <c r="J223" t="s">
        <v>23</v>
      </c>
      <c r="K223">
        <v>563</v>
      </c>
      <c r="L223" s="5">
        <v>16.935974900000001</v>
      </c>
      <c r="M223" s="5">
        <v>230.18367734207973</v>
      </c>
      <c r="N223" s="5">
        <v>6.6707694097052919E-2</v>
      </c>
      <c r="O223" s="1" t="str">
        <f>HYPERLINK(".\sm_car_250419_1657\sm_car_250419_1657_222_Ca218TrN_MaSLA_ode23t_1.png","figure")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26189</v>
      </c>
      <c r="L224" s="5">
        <v>629.92371839999998</v>
      </c>
      <c r="M224" s="5">
        <v>19.342157115832705</v>
      </c>
      <c r="N224" s="5">
        <v>2.6576520160578387</v>
      </c>
      <c r="O224" s="1" t="str">
        <f>HYPERLINK(".\sm_car_250419_1657\sm_car_250419_1657_223_Ca156TrN_MaIPA_ode23t.png","figure")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17151</v>
      </c>
      <c r="L225" s="5">
        <v>420.41186520000002</v>
      </c>
      <c r="M225" s="5">
        <v>16.343601672154534</v>
      </c>
      <c r="N225" s="5">
        <v>0.56696364252367404</v>
      </c>
      <c r="O225" s="1" t="str">
        <f>HYPERLINK(".\sm_car_250419_1657\sm_car_250419_1657_224_Ca130TrN_MaIPA_ode23t.png","figure")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1350</v>
      </c>
      <c r="L226" s="5">
        <v>33.945738300000002</v>
      </c>
      <c r="M226" s="5">
        <v>338.55216567800431</v>
      </c>
      <c r="N226" s="5">
        <v>0.72757738522142279</v>
      </c>
      <c r="O226" s="1" t="str">
        <f>HYPERLINK(".\sm_car_250419_1657\sm_car_250419_1657_225_Ca171TrN_MaRDP_ode23t_1.png","figure")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1266</v>
      </c>
      <c r="L227" s="5">
        <v>18.770335899999999</v>
      </c>
      <c r="M227" s="5">
        <v>138.34875849955174</v>
      </c>
      <c r="N227" s="5">
        <v>3.6811571416198868E-2</v>
      </c>
      <c r="O227" s="1" t="str">
        <f>HYPERLINK(".\sm_car_250419_1657\sm_car_250419_1657_226_Ca172TrN_MaRDP_ode23t_1.png","figure")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1437</v>
      </c>
      <c r="L228" s="5">
        <v>30.764837100000001</v>
      </c>
      <c r="M228" s="5">
        <v>364.4815389786238</v>
      </c>
      <c r="N228" s="5">
        <v>0.74066542049253159</v>
      </c>
      <c r="O228" s="1" t="str">
        <f>HYPERLINK(".\sm_car_250419_1657\sm_car_250419_1657_227_Ca139TrN_MaZPL_ode23t_1.png","figure")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2092</v>
      </c>
      <c r="L229" s="5">
        <v>16.3038977</v>
      </c>
      <c r="M229" s="5">
        <v>397.66954948583771</v>
      </c>
      <c r="N229" s="5">
        <v>0.33478815371427123</v>
      </c>
      <c r="O229" s="1" t="str">
        <f>HYPERLINK(".\sm_car_250419_1657\sm_car_250419_1657_228_Ca165TrN_MaZPL_ode23t_1.png","figure")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1444</v>
      </c>
      <c r="L230" s="5">
        <v>38.176921999999998</v>
      </c>
      <c r="M230" s="5">
        <v>364.15298966540098</v>
      </c>
      <c r="N230" s="5">
        <v>0.8042312782082669</v>
      </c>
      <c r="O230" s="1" t="str">
        <f>HYPERLINK(".\sm_car_250419_1657\sm_car_250419_1657_229_Ca171TrN_MaZPL_ode23t_1.png","figure")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507</v>
      </c>
      <c r="L231" s="5">
        <v>8.2101859000000008</v>
      </c>
      <c r="M231" s="5">
        <v>378.34372857519804</v>
      </c>
      <c r="N231" s="5">
        <v>0.32216837976600754</v>
      </c>
      <c r="O231" s="1" t="str">
        <f>HYPERLINK(".\sm_car_250419_1657\sm_car_250419_1657_230_Ca165TrN_MaCPL_ode23t_1.png","figure")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469</v>
      </c>
      <c r="L232" s="5">
        <v>4.4673106999999996</v>
      </c>
      <c r="M232" s="5">
        <v>380.91783156370263</v>
      </c>
      <c r="N232" s="5">
        <v>0.32787368934773187</v>
      </c>
      <c r="O232" s="1" t="str">
        <f>HYPERLINK(".\sm_car_250419_1657\sm_car_250419_1657_231_Ca170TrN_MaCPL_ode23t_1.png","figure")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2506</v>
      </c>
      <c r="L233" s="5">
        <v>73.019926499999997</v>
      </c>
      <c r="M233" s="5">
        <v>152.36875396180284</v>
      </c>
      <c r="N233" s="5">
        <v>1.8994510991503083E-3</v>
      </c>
      <c r="O233" s="1" t="str">
        <f>HYPERLINK(".\sm_car_250419_1657\sm_car_250419_1657_232_Ca171TrN_MaRDR_ode23t_1.png","figure")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2966</v>
      </c>
      <c r="L234" s="5">
        <v>48.1347655</v>
      </c>
      <c r="M234" s="5">
        <v>146.50507969938076</v>
      </c>
      <c r="N234" s="5">
        <v>-4.8546394523423467E-3</v>
      </c>
      <c r="O234" s="1" t="str">
        <f>HYPERLINK(".\sm_car_250419_1657\sm_car_250419_1657_233_Ca172TrN_MaRDR_ode23t_1.png","figure")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2976</v>
      </c>
      <c r="L235" s="5">
        <v>59.1396522</v>
      </c>
      <c r="M235" s="5">
        <v>176.47543761727755</v>
      </c>
      <c r="N235" s="5">
        <v>8.2857144848233304E-4</v>
      </c>
      <c r="O235" s="1" t="str">
        <f>HYPERLINK(".\sm_car_250419_1657\sm_car_250419_1657_234_Ca139TrN_MaZRR_ode23t_1.png","figure")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3565</v>
      </c>
      <c r="L236" s="5">
        <v>35.968610099999999</v>
      </c>
      <c r="M236" s="5">
        <v>176.81359576041541</v>
      </c>
      <c r="N236" s="5">
        <v>8.1703019024845122E-5</v>
      </c>
      <c r="O236" s="1" t="str">
        <f>HYPERLINK(".\sm_car_250419_1657\sm_car_250419_1657_235_Ca165TrN_MaZRR_ode23t_1.png","figure")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3041</v>
      </c>
      <c r="L237" s="5">
        <v>87.993675100000004</v>
      </c>
      <c r="M237" s="5">
        <v>176.48554376521696</v>
      </c>
      <c r="N237" s="5">
        <v>8.0635087144020055E-4</v>
      </c>
      <c r="O237" s="1" t="str">
        <f>HYPERLINK(".\sm_car_250419_1657\sm_car_250419_1657_236_Ca171TrN_MaZRR_ode23t_1.png","figure")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5161</v>
      </c>
      <c r="L238" s="5">
        <v>31.812291800000001</v>
      </c>
      <c r="M238" s="5">
        <v>-5.9990665905868008</v>
      </c>
      <c r="N238" s="5">
        <v>2.9090155992020079E-3</v>
      </c>
      <c r="O238" s="1" t="str">
        <f>HYPERLINK(".\sm_car_250419_1657\sm_car_250419_1657_237_Ca170TrN_MaCMP_ode23t_1.png","figure")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1831</v>
      </c>
      <c r="L239" s="5">
        <v>19.942664700000002</v>
      </c>
      <c r="M239" s="5">
        <v>-5.9988659125128683</v>
      </c>
      <c r="N239" s="5">
        <v>2.8286079032103059E-3</v>
      </c>
      <c r="O239" s="1" t="str">
        <f>HYPERLINK(".\sm_car_250419_1657\sm_car_250419_1657_238_Ca170TrN_MaCMF_ode23t_1.png","figure")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4595</v>
      </c>
      <c r="L240" s="5">
        <v>68.9152548</v>
      </c>
      <c r="M240" s="5">
        <v>-329.5069062643459</v>
      </c>
      <c r="N240" s="5">
        <v>6.0558732192224518</v>
      </c>
      <c r="O240" s="1" t="str">
        <f>HYPERLINK(".\sm_car_250419_1657\sm_car_250419_1657_239_Ca170TrN_MaMPO_ode23t_1.png","figure")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1178</v>
      </c>
      <c r="L241" s="5">
        <v>18.3296575</v>
      </c>
      <c r="M241" s="5">
        <v>-13.902665756095409</v>
      </c>
      <c r="N241" s="5">
        <v>0.2046442458777733</v>
      </c>
      <c r="O241" s="1" t="str">
        <f>HYPERLINK(".\sm_car_250419_1657\sm_car_250419_1657_240_Ca170TrN_MaMCI_ode23t_1.png","figure")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5855</v>
      </c>
      <c r="L242" s="5">
        <v>33.456575800000003</v>
      </c>
      <c r="M242" s="5">
        <v>-5.9961838085702457</v>
      </c>
      <c r="N242" s="5">
        <v>-4.4747806398270215E-3</v>
      </c>
      <c r="O242" s="1" t="str">
        <f>HYPERLINK(".\sm_car_250419_1657\sm_car_250419_1657_241_Ca170TrN_MaCHO_ode23t_1.png","figure")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3434</v>
      </c>
      <c r="L243" s="5">
        <v>32.3867136</v>
      </c>
      <c r="M243" s="5">
        <v>-5.9965281886395321</v>
      </c>
      <c r="N243" s="5">
        <v>-4.5113212313890186E-3</v>
      </c>
      <c r="O243" s="1" t="str">
        <f>HYPERLINK(".\sm_car_250419_1657\sm_car_250419_1657_242_Ca170TrN_MaCHF_ode23t_1.png","figure")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7040</v>
      </c>
      <c r="L244" s="5">
        <v>50.372370799999999</v>
      </c>
      <c r="M244" s="5">
        <v>-751.82206102473617</v>
      </c>
      <c r="N244" s="5">
        <v>628.25588309743512</v>
      </c>
      <c r="O244" s="1" t="str">
        <f>HYPERLINK(".\sm_car_250419_1657\sm_car_250419_1657_243_Ca170TrN_MaCKY_ode23t_1.png","figure")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2172</v>
      </c>
      <c r="L245" s="5">
        <v>25.882488899999998</v>
      </c>
      <c r="M245" s="5">
        <v>-758.45704453196072</v>
      </c>
      <c r="N245" s="5">
        <v>632.56476382289839</v>
      </c>
      <c r="O245" s="1" t="str">
        <f>HYPERLINK(".\sm_car_250419_1657\sm_car_250419_1657_244_Ca170TrN_MaCKF_ode23t_1.png","figure")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2810</v>
      </c>
      <c r="L246" s="5">
        <v>27.281701600000002</v>
      </c>
      <c r="M246" s="5">
        <v>177.30621044714565</v>
      </c>
      <c r="N246" s="5">
        <v>288.17380062363952</v>
      </c>
      <c r="O246" s="1" t="str">
        <f>HYPERLINK(".\sm_car_250419_1657\sm_car_250419_1657_245_Ca170TrN_MaCNN_ode23t_1.png","figure")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4355</v>
      </c>
      <c r="L247" s="5">
        <v>109.2360472</v>
      </c>
      <c r="M247" s="5">
        <v>2995.8522143847567</v>
      </c>
      <c r="N247" s="5">
        <v>-3063.9273401023793</v>
      </c>
      <c r="O247" s="1" t="str">
        <f>HYPERLINK(".\sm_car_250419_1657\sm_car_250419_1657_246_Ca170TrN_MaCNF_ode23t_1.png","figure")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2937</v>
      </c>
      <c r="L248" s="5">
        <v>25.438509799999999</v>
      </c>
      <c r="M248" s="5">
        <v>522.30401683274704</v>
      </c>
      <c r="N248" s="5">
        <v>-164.27334854467244</v>
      </c>
      <c r="O248" s="1" t="str">
        <f>HYPERLINK(".\sm_car_250419_1657\sm_car_250419_1657_247_Ca170TrN_MaCSZ_ode23t_1.png","figure")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5687</v>
      </c>
      <c r="L249" s="5">
        <v>148.12141890000001</v>
      </c>
      <c r="M249" s="5">
        <v>-8.9691358104985142</v>
      </c>
      <c r="N249" s="5">
        <v>9.9795604172951743E-3</v>
      </c>
      <c r="O249" s="1" t="str">
        <f>HYPERLINK(".\sm_car_250419_1657\sm_car_250419_1657_248_Ca170TrN_MaCSF_ode23t_1.png","figure")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2083</v>
      </c>
      <c r="L250" s="5">
        <v>24.8084913</v>
      </c>
      <c r="M250" s="5">
        <v>208.95312857170563</v>
      </c>
      <c r="N250" s="5">
        <v>379.20696835849986</v>
      </c>
      <c r="O250" s="1" t="str">
        <f>HYPERLINK(".\sm_car_250419_1657\sm_car_250419_1657_249_Ca170TrN_MaCPU_ode23t_1.png","figure")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2590</v>
      </c>
      <c r="L251" s="5">
        <v>27.127749600000001</v>
      </c>
      <c r="M251" s="5">
        <v>183.04695100088497</v>
      </c>
      <c r="N251" s="5">
        <v>-170.22023583423288</v>
      </c>
      <c r="O251" s="1" t="str">
        <f>HYPERLINK(".\sm_car_250419_1657\sm_car_250419_1657_250_Ca170TrN_MaCPD_ode23t_1.png","figure")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1832</v>
      </c>
      <c r="L252" s="5">
        <v>8.4515094000000008</v>
      </c>
      <c r="M252" s="5">
        <v>-5.9758689321325704</v>
      </c>
      <c r="N252" s="5">
        <v>2.8267642165650609E-3</v>
      </c>
      <c r="O252" s="1" t="str">
        <f>HYPERLINK(".\sm_car_250419_1657\sm_car_250419_1657_251_Ca202TrN_MaCMF_ode23t_1.png","figure")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4506</v>
      </c>
      <c r="L253" s="5">
        <v>40.720244399999999</v>
      </c>
      <c r="M253" s="5">
        <v>-329.5066289048911</v>
      </c>
      <c r="N253" s="5">
        <v>6.0544494573073013</v>
      </c>
      <c r="O253" s="1" t="str">
        <f>HYPERLINK(".\sm_car_250419_1657\sm_car_250419_1657_252_Ca202TrN_MaMPO_ode23t_1.png","figure")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1196</v>
      </c>
      <c r="L254" s="5">
        <v>10.927902</v>
      </c>
      <c r="M254" s="5">
        <v>-13.901493675656887</v>
      </c>
      <c r="N254" s="5">
        <v>0.20543290267457337</v>
      </c>
      <c r="O254" s="1" t="str">
        <f>HYPERLINK(".\sm_car_250419_1657\sm_car_250419_1657_253_Ca202TrN_MaMCI_ode23t_1.png","figure")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3575</v>
      </c>
      <c r="L255" s="5">
        <v>18.038244500000001</v>
      </c>
      <c r="M255" s="5">
        <v>-5.9989053271681065</v>
      </c>
      <c r="N255" s="5">
        <v>-7.1849127445245114E-3</v>
      </c>
      <c r="O255" s="1" t="str">
        <f>HYPERLINK(".\sm_car_250419_1657\sm_car_250419_1657_254_Ca202TrN_MaCKF_ode23t_1.png","figure")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10230</v>
      </c>
      <c r="L256" s="5">
        <v>172.57604079999999</v>
      </c>
      <c r="M256" s="5">
        <v>-8.9956985246745536</v>
      </c>
      <c r="N256" s="5">
        <v>4.699266679248916E-2</v>
      </c>
      <c r="O256" s="1" t="str">
        <f>HYPERLINK(".\sm_car_250419_1657\sm_car_250419_1657_255_Ca202TrN_MaCNF_ode23t_1.png","figure")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5709</v>
      </c>
      <c r="L257" s="5">
        <v>87.450336100000001</v>
      </c>
      <c r="M257" s="5">
        <v>-8.9178271830084146</v>
      </c>
      <c r="N257" s="5">
        <v>9.7677231690085371E-3</v>
      </c>
      <c r="O257" s="1" t="str">
        <f>HYPERLINK(".\sm_car_250419_1657\sm_car_250419_1657_256_Ca202TrN_MaCSF_ode23t_1.png","figure")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5532</v>
      </c>
      <c r="L258" s="5">
        <v>35.103292600000003</v>
      </c>
      <c r="M258" s="5">
        <v>-5.9995357630498107</v>
      </c>
      <c r="N258" s="5">
        <v>2.9709441786595881E-3</v>
      </c>
      <c r="O258" s="1" t="str">
        <f>HYPERLINK(".\sm_car_250419_1657\sm_car_250419_1657_257_Ca202TrN_MaCMP_ode23t_1.png","figure")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14979</v>
      </c>
      <c r="L259" s="5">
        <v>96.660839999999993</v>
      </c>
      <c r="M259" s="5">
        <v>-5.999016039364677</v>
      </c>
      <c r="N259" s="5">
        <v>-8.8735801033929893E-3</v>
      </c>
      <c r="O259" s="1" t="str">
        <f>HYPERLINK(".\sm_car_250419_1657\sm_car_250419_1657_258_Ca202TrN_MaCKY_ode23t_1.png","figure")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454</v>
      </c>
      <c r="L260" s="5">
        <v>4.2785862000000003</v>
      </c>
      <c r="M260" s="5">
        <v>381.37278207713604</v>
      </c>
      <c r="N260" s="5">
        <v>0.32873488124669442</v>
      </c>
      <c r="O260" s="1" t="str">
        <f>HYPERLINK(".\sm_car_250419_1657\sm_car_250419_1657_259_Ca202TrN_MaCPL_ode23t_1.png","figure")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2702</v>
      </c>
      <c r="L261" s="5">
        <v>70.170599800000005</v>
      </c>
      <c r="M261" s="5">
        <v>176.28449051493143</v>
      </c>
      <c r="N261" s="5">
        <v>7.332759807685287E-4</v>
      </c>
      <c r="O261" s="1" t="str">
        <f>HYPERLINK(".\sm_car_250419_1657\sm_car_250419_1657_260_Ca140TrN_MaCRR_ode23t_1.png","figure")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3349</v>
      </c>
      <c r="L262" s="5">
        <v>69.535937599999997</v>
      </c>
      <c r="M262" s="5">
        <v>176.34261535398517</v>
      </c>
      <c r="N262" s="5">
        <v>7.5298285377710709E-4</v>
      </c>
      <c r="O262" s="1" t="str">
        <f>HYPERLINK(".\sm_car_250419_1657\sm_car_250419_1657_261_Ca189TrN_MaCRR_ode23t_1.png","figure")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189</v>
      </c>
      <c r="C263" t="s">
        <v>45</v>
      </c>
      <c r="D263" t="s">
        <v>17</v>
      </c>
      <c r="E263" t="s">
        <v>107</v>
      </c>
      <c r="F263" t="s">
        <v>19</v>
      </c>
      <c r="G263" t="s">
        <v>26</v>
      </c>
      <c r="H263" t="s">
        <v>21</v>
      </c>
      <c r="I263" t="s">
        <v>120</v>
      </c>
      <c r="J263" t="s">
        <v>23</v>
      </c>
      <c r="K263">
        <v>10543</v>
      </c>
      <c r="L263" s="5">
        <v>191.9880948</v>
      </c>
      <c r="M263" s="5">
        <v>208.80837317192447</v>
      </c>
      <c r="N263" s="5">
        <v>-0.77096051850385905</v>
      </c>
      <c r="O263" s="1" t="str">
        <f>HYPERLINK(".\sm_car_250419_1657\sm_car_250419_1657_262_Ca189TrN_MaGSU_ode23t_1.png","figure")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91</v>
      </c>
      <c r="J264" t="s">
        <v>92</v>
      </c>
      <c r="K264">
        <v>1644</v>
      </c>
      <c r="L264" s="5">
        <v>110.60335600000001</v>
      </c>
      <c r="M264" s="5">
        <v>51.299549807005413</v>
      </c>
      <c r="N264" s="5">
        <v>9.0082861988764629E-3</v>
      </c>
      <c r="O264" s="1" t="str">
        <f>HYPERLINK(".\sm_car_250419_1657\sm_car_250419_1657_263_Ca173TrN_MaDCA_daessc_1.png","figure")</f>
        <v>figure</v>
      </c>
      <c r="P264" t="s">
        <v>15</v>
      </c>
    </row>
    <row r="265" spans="1:16" x14ac:dyDescent="0.25">
      <c r="A265">
        <v>264</v>
      </c>
      <c r="B265">
        <v>173</v>
      </c>
      <c r="C265" t="s">
        <v>45</v>
      </c>
      <c r="D265" t="s">
        <v>35</v>
      </c>
      <c r="E265" t="s">
        <v>49</v>
      </c>
      <c r="F265" t="s">
        <v>19</v>
      </c>
      <c r="G265" t="s">
        <v>90</v>
      </c>
      <c r="H265" t="s">
        <v>21</v>
      </c>
      <c r="I265" t="s">
        <v>93</v>
      </c>
      <c r="J265" t="s">
        <v>92</v>
      </c>
      <c r="K265">
        <v>4179</v>
      </c>
      <c r="L265" s="5">
        <v>178.71808519999999</v>
      </c>
      <c r="M265" s="5">
        <v>980.46536806194979</v>
      </c>
      <c r="N265" s="5">
        <v>0.72235315411088019</v>
      </c>
      <c r="O265" s="1" t="str">
        <f>HYPERLINK(".\sm_car_250419_1657\sm_car_250419_1657_264_Ca173TrN_MaDC1_daessc_1.png","figure")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91</v>
      </c>
      <c r="J266" t="s">
        <v>23</v>
      </c>
      <c r="K266">
        <v>323</v>
      </c>
      <c r="L266" s="5">
        <v>4.4913882000000003</v>
      </c>
      <c r="M266" s="5">
        <v>53.509316050623006</v>
      </c>
      <c r="N266" s="5">
        <v>9.7568491871109827E-3</v>
      </c>
      <c r="O266" s="1" t="str">
        <f>HYPERLINK(".\sm_car_250419_1657\sm_car_250419_1657_265_Ca165TrN_MaDCA_ode23t_1.png","figure")</f>
        <v>figure</v>
      </c>
      <c r="P266" t="s">
        <v>15</v>
      </c>
    </row>
    <row r="267" spans="1:16" x14ac:dyDescent="0.25">
      <c r="A267">
        <v>266</v>
      </c>
      <c r="B267">
        <v>165</v>
      </c>
      <c r="C267" t="s">
        <v>45</v>
      </c>
      <c r="D267" t="s">
        <v>35</v>
      </c>
      <c r="E267" t="s">
        <v>49</v>
      </c>
      <c r="F267" t="s">
        <v>19</v>
      </c>
      <c r="G267" t="s">
        <v>26</v>
      </c>
      <c r="H267" t="s">
        <v>21</v>
      </c>
      <c r="I267" t="s">
        <v>93</v>
      </c>
      <c r="J267" t="s">
        <v>23</v>
      </c>
      <c r="K267">
        <v>1198</v>
      </c>
      <c r="L267" s="5">
        <v>11.028801700000001</v>
      </c>
      <c r="M267" s="5">
        <v>992.65441250671449</v>
      </c>
      <c r="N267" s="5">
        <v>0.70456822599955649</v>
      </c>
      <c r="O267" s="1" t="str">
        <f>HYPERLINK(".\sm_car_250419_1657\sm_car_250419_1657_266_Ca165TrN_MaDC1_ode23t_1.png","figure")</f>
        <v>figure</v>
      </c>
      <c r="P267" t="s">
        <v>15</v>
      </c>
    </row>
    <row r="268" spans="1:16" x14ac:dyDescent="0.25">
      <c r="A268">
        <v>267</v>
      </c>
      <c r="B268">
        <v>196</v>
      </c>
      <c r="C268" t="s">
        <v>45</v>
      </c>
      <c r="D268" t="s">
        <v>35</v>
      </c>
      <c r="E268" t="s">
        <v>107</v>
      </c>
      <c r="F268" t="s">
        <v>19</v>
      </c>
      <c r="G268" t="s">
        <v>90</v>
      </c>
      <c r="H268" t="s">
        <v>21</v>
      </c>
      <c r="I268" t="s">
        <v>93</v>
      </c>
      <c r="J268" t="s">
        <v>92</v>
      </c>
      <c r="K268">
        <v>4069</v>
      </c>
      <c r="L268" s="5">
        <v>87.507475400000004</v>
      </c>
      <c r="M268" s="5">
        <v>980.46457195263929</v>
      </c>
      <c r="N268" s="5">
        <v>0.72246554668245233</v>
      </c>
      <c r="O268" s="1" t="str">
        <f>HYPERLINK(".\sm_car_250419_1657\sm_car_250419_1657_267_Ca196TrN_MaDC1_daessc_1.png","figure")</f>
        <v>figure</v>
      </c>
      <c r="P268" t="s">
        <v>15</v>
      </c>
    </row>
    <row r="269" spans="1:16" x14ac:dyDescent="0.25">
      <c r="A269">
        <v>268</v>
      </c>
      <c r="B269">
        <v>179</v>
      </c>
      <c r="C269" t="s">
        <v>45</v>
      </c>
      <c r="D269" t="s">
        <v>57</v>
      </c>
      <c r="E269" t="s">
        <v>18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492</v>
      </c>
      <c r="L269" s="5">
        <v>7.2662732999999999</v>
      </c>
      <c r="M269" s="5">
        <v>147.84665757368992</v>
      </c>
      <c r="N269" s="5">
        <v>9.4708690167606038E-2</v>
      </c>
      <c r="O269" s="1" t="str">
        <f>HYPERLINK(".\sm_car_250419_1657\sm_car_250419_1657_268_Ca179TrN_MaWOT_ode23t_1.png","figure")</f>
        <v>figure</v>
      </c>
      <c r="P269" t="s">
        <v>15</v>
      </c>
    </row>
    <row r="270" spans="1:16" x14ac:dyDescent="0.25">
      <c r="A270">
        <v>269</v>
      </c>
      <c r="B270">
        <v>180</v>
      </c>
      <c r="C270" t="s">
        <v>45</v>
      </c>
      <c r="D270" t="s">
        <v>57</v>
      </c>
      <c r="E270" t="s">
        <v>49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521</v>
      </c>
      <c r="L270" s="5">
        <v>10.2707502</v>
      </c>
      <c r="M270" s="5">
        <v>147.86066249527934</v>
      </c>
      <c r="N270" s="5">
        <v>9.4529968691258945E-2</v>
      </c>
      <c r="O270" s="1" t="str">
        <f>HYPERLINK(".\sm_car_250419_1657\sm_car_250419_1657_269_Ca180TrN_MaWOT_ode23t_1.png","figure")</f>
        <v>figure</v>
      </c>
      <c r="P270" t="s">
        <v>15</v>
      </c>
    </row>
    <row r="271" spans="1:16" x14ac:dyDescent="0.25">
      <c r="A271">
        <v>270</v>
      </c>
      <c r="B271">
        <v>197</v>
      </c>
      <c r="C271" t="s">
        <v>45</v>
      </c>
      <c r="D271" t="s">
        <v>57</v>
      </c>
      <c r="E271" t="s">
        <v>107</v>
      </c>
      <c r="F271" t="s">
        <v>19</v>
      </c>
      <c r="G271" t="s">
        <v>26</v>
      </c>
      <c r="H271" t="s">
        <v>21</v>
      </c>
      <c r="I271" t="s">
        <v>22</v>
      </c>
      <c r="J271" t="s">
        <v>23</v>
      </c>
      <c r="K271">
        <v>470</v>
      </c>
      <c r="L271" s="5">
        <v>3.1153268000000001</v>
      </c>
      <c r="M271" s="5">
        <v>147.86098941676593</v>
      </c>
      <c r="N271" s="5">
        <v>9.4534722410326621E-2</v>
      </c>
      <c r="O271" s="1" t="str">
        <f>HYPERLINK(".\sm_car_250419_1657\sm_car_250419_1657_270_Ca197TrN_MaWOT_ode23t_1.png","figure")</f>
        <v>figure</v>
      </c>
      <c r="P271" t="s">
        <v>15</v>
      </c>
    </row>
    <row r="272" spans="1:16" x14ac:dyDescent="0.25">
      <c r="A272">
        <v>271</v>
      </c>
      <c r="B272">
        <v>182</v>
      </c>
      <c r="C272" t="s">
        <v>45</v>
      </c>
      <c r="D272" t="s">
        <v>17</v>
      </c>
      <c r="E272" t="s">
        <v>49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417</v>
      </c>
      <c r="L272" s="5">
        <v>19.8226586</v>
      </c>
      <c r="M272" s="5">
        <v>62.249197046426687</v>
      </c>
      <c r="N272" s="5">
        <v>-24.544153278226606</v>
      </c>
      <c r="O272" s="1" t="str">
        <f>HYPERLINK(".\sm_car_250419_1657\sm_car_250419_1657_271_Ca182TrN_MaTUR_ode23t_1.png","figure")</f>
        <v>figure</v>
      </c>
      <c r="P272" t="s">
        <v>15</v>
      </c>
    </row>
    <row r="273" spans="1:16" x14ac:dyDescent="0.25">
      <c r="A273">
        <v>272</v>
      </c>
      <c r="B273">
        <v>203</v>
      </c>
      <c r="C273" t="s">
        <v>45</v>
      </c>
      <c r="D273" t="s">
        <v>17</v>
      </c>
      <c r="E273" t="s">
        <v>107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373</v>
      </c>
      <c r="L273" s="5">
        <v>7.0096917999999997</v>
      </c>
      <c r="M273" s="5">
        <v>62.262373327398265</v>
      </c>
      <c r="N273" s="5">
        <v>-24.563830707094663</v>
      </c>
      <c r="O273" s="1" t="str">
        <f>HYPERLINK(".\sm_car_250419_1657\sm_car_250419_1657_272_Ca203TrN_MaTUR_ode23t_1.png","figure")</f>
        <v>figure</v>
      </c>
      <c r="P273" t="s">
        <v>15</v>
      </c>
    </row>
    <row r="274" spans="1:16" x14ac:dyDescent="0.25">
      <c r="A274">
        <v>273</v>
      </c>
      <c r="B274">
        <v>185</v>
      </c>
      <c r="C274" t="s">
        <v>45</v>
      </c>
      <c r="D274" t="s">
        <v>17</v>
      </c>
      <c r="E274" t="s">
        <v>18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521</v>
      </c>
      <c r="L274" s="5">
        <v>35.418334999999999</v>
      </c>
      <c r="M274" s="5">
        <v>112.72683840214816</v>
      </c>
      <c r="N274" s="5">
        <v>-79.251079211264653</v>
      </c>
      <c r="O274" s="1" t="str">
        <f>HYPERLINK(".\sm_car_250419_1657\sm_car_250419_1657_273_Ca185TrN_MaTUR_ode23t_1.png","figure")</f>
        <v>figure</v>
      </c>
      <c r="P274" t="s">
        <v>15</v>
      </c>
    </row>
    <row r="275" spans="1:16" x14ac:dyDescent="0.25">
      <c r="A275">
        <v>274</v>
      </c>
      <c r="B275">
        <v>188</v>
      </c>
      <c r="C275" t="s">
        <v>45</v>
      </c>
      <c r="D275" t="s">
        <v>113</v>
      </c>
      <c r="E275" t="s">
        <v>49</v>
      </c>
      <c r="F275" t="s">
        <v>19</v>
      </c>
      <c r="G275" t="s">
        <v>26</v>
      </c>
      <c r="H275" t="s">
        <v>21</v>
      </c>
      <c r="I275" t="s">
        <v>64</v>
      </c>
      <c r="J275" t="s">
        <v>23</v>
      </c>
      <c r="K275">
        <v>542</v>
      </c>
      <c r="L275" s="5">
        <v>10.6889232</v>
      </c>
      <c r="M275" s="5">
        <v>140.64844140597512</v>
      </c>
      <c r="N275" s="5">
        <v>-71.767114050995005</v>
      </c>
      <c r="O275" s="1" t="str">
        <f>HYPERLINK(".\sm_car_250419_1657\sm_car_250419_1657_274_Ca188TrN_MaTUR_ode23t_1.png","figure")</f>
        <v>figure</v>
      </c>
      <c r="P275" t="s">
        <v>15</v>
      </c>
    </row>
    <row r="276" spans="1:16" x14ac:dyDescent="0.25">
      <c r="A276">
        <v>275</v>
      </c>
      <c r="B276" t="s">
        <v>94</v>
      </c>
      <c r="C276" t="s">
        <v>95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436</v>
      </c>
      <c r="L276" s="5">
        <v>20.4830933</v>
      </c>
      <c r="M276" s="5">
        <v>79.221006331472424</v>
      </c>
      <c r="N276" s="5">
        <v>-0.33385057271286384</v>
      </c>
      <c r="O276" s="1" t="str">
        <f>HYPERLINK(".\sm_car_250419_1657\sm_car_Axle3_250419_1657_275_CaAxle3_000TrN_MaWOT_ode23t_1.png","figure")</f>
        <v>figure</v>
      </c>
      <c r="P276" t="s">
        <v>15</v>
      </c>
    </row>
    <row r="277" spans="1:16" x14ac:dyDescent="0.25">
      <c r="A277">
        <v>276</v>
      </c>
      <c r="B277" t="s">
        <v>99</v>
      </c>
      <c r="C277" t="s">
        <v>100</v>
      </c>
      <c r="D277" t="s">
        <v>35</v>
      </c>
      <c r="E277" t="s">
        <v>18</v>
      </c>
      <c r="F277" t="s">
        <v>19</v>
      </c>
      <c r="G277" t="s">
        <v>96</v>
      </c>
      <c r="H277" t="s">
        <v>21</v>
      </c>
      <c r="I277" t="s">
        <v>22</v>
      </c>
      <c r="J277" t="s">
        <v>23</v>
      </c>
      <c r="K277">
        <v>491</v>
      </c>
      <c r="L277" s="5">
        <v>21.7576936</v>
      </c>
      <c r="M277" s="5">
        <v>69.133360057339317</v>
      </c>
      <c r="N277" s="5">
        <v>8.3859555777258565E-2</v>
      </c>
      <c r="O277" s="1" t="str">
        <f>HYPERLINK(".\sm_car_250419_1657\sm_car_Axle3_250419_1657_276_CaAxle3_008TrN_MaWOT_ode23t_1.png","figure")</f>
        <v>figure</v>
      </c>
      <c r="P277" t="s">
        <v>15</v>
      </c>
    </row>
    <row r="278" spans="1:16" x14ac:dyDescent="0.25">
      <c r="A278">
        <v>277</v>
      </c>
      <c r="B278" t="s">
        <v>97</v>
      </c>
      <c r="C278" t="s">
        <v>95</v>
      </c>
      <c r="D278" t="s">
        <v>35</v>
      </c>
      <c r="E278" t="s">
        <v>49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426</v>
      </c>
      <c r="L278" s="5">
        <v>17.291973299999999</v>
      </c>
      <c r="M278" s="5">
        <v>79.26753082601013</v>
      </c>
      <c r="N278" s="5">
        <v>-0.31346583892466412</v>
      </c>
      <c r="O278" s="1" t="str">
        <f>HYPERLINK(".\sm_car_250419_1657\sm_car_Axle3_250419_1657_277_CaAxle3_003TrN_MaWOT_ode23t_1.png","figure")</f>
        <v>figure</v>
      </c>
      <c r="P278" t="s">
        <v>15</v>
      </c>
    </row>
    <row r="279" spans="1:16" x14ac:dyDescent="0.25">
      <c r="A279">
        <v>278</v>
      </c>
      <c r="B279" t="s">
        <v>114</v>
      </c>
      <c r="C279" t="s">
        <v>95</v>
      </c>
      <c r="D279" t="s">
        <v>35</v>
      </c>
      <c r="E279" t="s">
        <v>107</v>
      </c>
      <c r="F279" t="s">
        <v>19</v>
      </c>
      <c r="G279" t="s">
        <v>98</v>
      </c>
      <c r="H279" t="s">
        <v>21</v>
      </c>
      <c r="I279" t="s">
        <v>22</v>
      </c>
      <c r="J279" t="s">
        <v>23</v>
      </c>
      <c r="K279">
        <v>438</v>
      </c>
      <c r="L279" s="5">
        <v>2.9314741</v>
      </c>
      <c r="M279" s="5">
        <v>80.149536181477046</v>
      </c>
      <c r="N279" s="5">
        <v>-0.31965340500242301</v>
      </c>
      <c r="O279" s="1" t="str">
        <f>HYPERLINK(".\sm_car_250419_1657\sm_car_Axle3_250419_1657_278_CaAxle3_017TrN_MaWOT_ode23t_1.png","figure")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380</v>
      </c>
      <c r="L280" s="5">
        <v>39.431294700000002</v>
      </c>
      <c r="M280" s="5">
        <v>23.326491618587372</v>
      </c>
      <c r="N280" s="5">
        <v>2.4826709087205634E-3</v>
      </c>
      <c r="O280" s="1" t="str">
        <f>HYPERLINK(".\sm_car_250419_1657\sm_car_Axle3_250419_1657_279_CaAxle3_010TrK_MaWOT_ode23t_1.png","figure")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101</v>
      </c>
      <c r="C281" t="s">
        <v>100</v>
      </c>
      <c r="D281" t="s">
        <v>35</v>
      </c>
      <c r="E281" t="s">
        <v>49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404</v>
      </c>
      <c r="L281" s="5">
        <v>42.105944399999998</v>
      </c>
      <c r="M281" s="5">
        <v>23.441154496133343</v>
      </c>
      <c r="N281" s="5">
        <v>2.5318368293321264E-3</v>
      </c>
      <c r="O281" s="1" t="str">
        <f>HYPERLINK(".\sm_car_250419_1657\sm_car_Axle3_250419_1657_280_CaAxle3_010TrK_MaWOT_ode23t_1.png","figure")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395</v>
      </c>
      <c r="L282" s="5">
        <v>3.3470043</v>
      </c>
      <c r="M282" s="5">
        <v>26.915095002041568</v>
      </c>
      <c r="N282" s="5">
        <v>3.6189516557804703E-3</v>
      </c>
      <c r="O282" s="1" t="str">
        <f>HYPERLINK(".\sm_car_250419_1657\sm_car_Axle3_250419_1657_281_CaAxle3_019TrK_MaWOT_ode23t_1.png","figure")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115</v>
      </c>
      <c r="C283" t="s">
        <v>100</v>
      </c>
      <c r="D283" t="s">
        <v>35</v>
      </c>
      <c r="E283" t="s">
        <v>107</v>
      </c>
      <c r="F283" t="s">
        <v>19</v>
      </c>
      <c r="G283" t="s">
        <v>96</v>
      </c>
      <c r="H283" t="s">
        <v>102</v>
      </c>
      <c r="I283" t="s">
        <v>22</v>
      </c>
      <c r="J283" t="s">
        <v>23</v>
      </c>
      <c r="K283">
        <v>396</v>
      </c>
      <c r="L283" s="5">
        <v>3.4395057000000002</v>
      </c>
      <c r="M283" s="5">
        <v>26.904134193442061</v>
      </c>
      <c r="N283" s="5">
        <v>3.6114574159177536E-3</v>
      </c>
      <c r="O283" s="1" t="str">
        <f>HYPERLINK(".\sm_car_250419_1657\sm_car_Axle3_250419_1657_282_CaAxle3_019TrK_MaWOT_ode23t_1.png","figure")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668</v>
      </c>
      <c r="L284" s="5">
        <v>26.8771691</v>
      </c>
      <c r="M284" s="5">
        <v>253.91127463686882</v>
      </c>
      <c r="N284" s="5">
        <v>-0.10005538318523044</v>
      </c>
      <c r="O284" s="1" t="str">
        <f>HYPERLINK(".\sm_car_250419_1657\sm_car_Axle3_250419_1657_283_CaAxle3_012TrK_MaDLC_ode23t_1.png","figure")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768</v>
      </c>
      <c r="L285" s="5">
        <v>30.117464500000001</v>
      </c>
      <c r="M285" s="5">
        <v>254.36547548158205</v>
      </c>
      <c r="N285" s="5">
        <v>-9.8878797648277228E-2</v>
      </c>
      <c r="O285" s="1" t="str">
        <f>HYPERLINK(".\sm_car_250419_1657\sm_car_Axle3_250419_1657_284_CaAxle3_012TrK_MaDLC_ode23t_1.png","figure")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675</v>
      </c>
      <c r="L286" s="5">
        <v>28.375417200000001</v>
      </c>
      <c r="M286" s="5">
        <v>255.79934014573837</v>
      </c>
      <c r="N286" s="5">
        <v>-0.10469432057722639</v>
      </c>
      <c r="O286" s="1" t="str">
        <f>HYPERLINK(".\sm_car_250419_1657\sm_car_Axle3_250419_1657_285_CaAxle3_012TrK_MaDLC_ode23t_1.png","figure")</f>
        <v>figure</v>
      </c>
      <c r="P286" t="s">
        <v>15</v>
      </c>
    </row>
    <row r="287" spans="1:16" x14ac:dyDescent="0.25">
      <c r="A287">
        <v>286</v>
      </c>
      <c r="B287" t="s">
        <v>103</v>
      </c>
      <c r="C287" t="s">
        <v>100</v>
      </c>
      <c r="D287" t="s">
        <v>35</v>
      </c>
      <c r="E287" t="s">
        <v>18</v>
      </c>
      <c r="F287" t="s">
        <v>19</v>
      </c>
      <c r="G287" t="s">
        <v>104</v>
      </c>
      <c r="H287" t="s">
        <v>102</v>
      </c>
      <c r="I287" t="s">
        <v>53</v>
      </c>
      <c r="J287" t="s">
        <v>23</v>
      </c>
      <c r="K287">
        <v>934</v>
      </c>
      <c r="L287" s="5">
        <v>34.305716799999999</v>
      </c>
      <c r="M287" s="5">
        <v>253.31779625619572</v>
      </c>
      <c r="N287" s="5">
        <v>-8.9151371200385299E-2</v>
      </c>
      <c r="O287" s="1" t="str">
        <f>HYPERLINK(".\sm_car_250419_1657\sm_car_Axle3_250419_1657_286_CaAxle3_012TrK_MaDLC_ode23t_1.png","figure")</f>
        <v>figure</v>
      </c>
      <c r="P287" t="s">
        <v>15</v>
      </c>
    </row>
  </sheetData>
  <autoFilter ref="A1:P287" xr:uid="{5FED7258-7CBA-4B97-A102-75078645AB4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C6B9-7C08-4F84-906C-466784E0DC5C}">
  <dimension ref="A1:R288"/>
  <sheetViews>
    <sheetView workbookViewId="0">
      <selection activeCell="T19" sqref="T19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12" bestFit="1" customWidth="1"/>
    <col min="13" max="14" width="12.7109375" bestFit="1" customWidth="1"/>
    <col min="15" max="15" width="6.5703125" bestFit="1" customWidth="1"/>
    <col min="16" max="16" width="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144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415</v>
      </c>
      <c r="L2">
        <v>6.6981595</v>
      </c>
      <c r="M2">
        <v>231.07419619645896</v>
      </c>
      <c r="N2">
        <v>-4.725912353141507E-3</v>
      </c>
      <c r="O2" s="1" t="str">
        <f>HYPERLINK(".\sm_car_250504_0030\sm_car_250504_0030_001_Ca000TrN_MaWOT_ode23t.png","figure")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538</v>
      </c>
      <c r="L3">
        <v>7.9101935000000001</v>
      </c>
      <c r="M3">
        <v>71.235659008195313</v>
      </c>
      <c r="N3">
        <v>-0.54130464665068811</v>
      </c>
      <c r="O3" s="1" t="str">
        <f>HYPERLINK(".\sm_car_250504_0030\sm_car_250504_0030_002_Ca000TrN_MaLSS_ode23t.png","figure")</f>
        <v>figure</v>
      </c>
      <c r="P3" t="s">
        <v>15</v>
      </c>
      <c r="R3" s="2" t="s">
        <v>145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404</v>
      </c>
      <c r="L4">
        <v>7.4776350999999996</v>
      </c>
      <c r="M4">
        <v>230.06629791816107</v>
      </c>
      <c r="N4">
        <v>-1.4565984019324548E-2</v>
      </c>
      <c r="O4" s="1" t="str">
        <f>HYPERLINK(".\sm_car_250504_0030\sm_car_250504_0030_003_Ca001TrN_MaWOT_ode23t.png","figure")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>
        <v>8.4114810999999996</v>
      </c>
      <c r="M5">
        <v>70.956191126720029</v>
      </c>
      <c r="N5">
        <v>-0.53162996669601692</v>
      </c>
      <c r="O5" s="1" t="str">
        <f>HYPERLINK(".\sm_car_250504_0030\sm_car_250504_0030_004_Ca001TrN_MaLSS_ode23t.png","figure")</f>
        <v>figure</v>
      </c>
      <c r="P5" t="s">
        <v>15</v>
      </c>
      <c r="R5" t="s">
        <v>146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453</v>
      </c>
      <c r="L6">
        <v>12.40072</v>
      </c>
      <c r="M6">
        <v>230.16498971372008</v>
      </c>
      <c r="N6">
        <v>4.7520987207889824E-2</v>
      </c>
      <c r="O6" s="1" t="str">
        <f>HYPERLINK(".\sm_car_250504_0030\sm_car_250504_0030_005_Ca002TrN_MaWOT_ode23t.png","figure")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523</v>
      </c>
      <c r="L7">
        <v>11.598214199999999</v>
      </c>
      <c r="M7">
        <v>70.954251952345629</v>
      </c>
      <c r="N7">
        <v>-0.53260339051132244</v>
      </c>
      <c r="O7" s="1" t="str">
        <f>HYPERLINK(".\sm_car_250504_0030\sm_car_250504_0030_006_Ca002TrN_MaLSS_ode23t.png","figure")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464</v>
      </c>
      <c r="L8">
        <v>13.2738303</v>
      </c>
      <c r="M8">
        <v>229.84726193021635</v>
      </c>
      <c r="N8">
        <v>4.8551569893203257E-2</v>
      </c>
      <c r="O8" s="1" t="str">
        <f>HYPERLINK(".\sm_car_250504_0030\sm_car_250504_0030_007_Ca003TrN_MaWOT_ode23t.png","figure")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546</v>
      </c>
      <c r="L9">
        <v>11.4797634</v>
      </c>
      <c r="M9">
        <v>70.832665793456144</v>
      </c>
      <c r="N9">
        <v>-0.52610943349586092</v>
      </c>
      <c r="O9" s="1" t="str">
        <f>HYPERLINK(".\sm_car_250504_0030\sm_car_250504_0030_008_Ca003TrN_MaLSS_ode23t.png","figure")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1088</v>
      </c>
      <c r="L10">
        <v>11.967976200000001</v>
      </c>
      <c r="M10">
        <v>231.29860293166811</v>
      </c>
      <c r="N10">
        <v>8.0919708534804037E-4</v>
      </c>
      <c r="O10" s="1" t="str">
        <f>HYPERLINK(".\sm_car_250504_0030\sm_car_250504_0030_009_Ca004TrN_MaWOT_ode23t.png","figure")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1196</v>
      </c>
      <c r="L11">
        <v>13.082967200000001</v>
      </c>
      <c r="M11">
        <v>71.246627233094117</v>
      </c>
      <c r="N11">
        <v>-0.54174697600283328</v>
      </c>
      <c r="O11" s="1" t="str">
        <f>HYPERLINK(".\sm_car_250504_0030\sm_car_250504_0030_010_Ca004TrN_MaLSS_ode23t.png","figure")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1121</v>
      </c>
      <c r="L12">
        <v>13.668788299999999</v>
      </c>
      <c r="M12">
        <v>230.26593296821756</v>
      </c>
      <c r="N12">
        <v>-1.1851475539837106E-2</v>
      </c>
      <c r="O12" s="1" t="str">
        <f>HYPERLINK(".\sm_car_250504_0030\sm_car_250504_0030_011_Ca005TrN_MaWOT_ode23t.png","figure")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1220</v>
      </c>
      <c r="L13">
        <v>15.1601464</v>
      </c>
      <c r="M13">
        <v>70.962717087774351</v>
      </c>
      <c r="N13">
        <v>-0.53717218694405156</v>
      </c>
      <c r="O13" s="1" t="str">
        <f>HYPERLINK(".\sm_car_250504_0030\sm_car_250504_0030_012_Ca005TrN_MaLSS_ode23t.png","figure")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1206</v>
      </c>
      <c r="L14">
        <v>16.216123899999999</v>
      </c>
      <c r="M14">
        <v>230.32713132196935</v>
      </c>
      <c r="N14">
        <v>6.2112295796358553E-2</v>
      </c>
      <c r="O14" s="1" t="str">
        <f>HYPERLINK(".\sm_car_250504_0030\sm_car_250504_0030_013_Ca006TrN_MaWOT_ode23t.png","figure")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1293</v>
      </c>
      <c r="L15">
        <v>16.246078600000001</v>
      </c>
      <c r="M15">
        <v>70.959360695680175</v>
      </c>
      <c r="N15">
        <v>-0.53400424030516391</v>
      </c>
      <c r="O15" s="1" t="str">
        <f>HYPERLINK(".\sm_car_250504_0030\sm_car_250504_0030_014_Ca006TrN_MaLSS_ode23t.png","figure")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1196</v>
      </c>
      <c r="L16">
        <v>17.484252399999999</v>
      </c>
      <c r="M16">
        <v>229.97695638371084</v>
      </c>
      <c r="N16">
        <v>5.4209557089822162E-2</v>
      </c>
      <c r="O16" s="1" t="str">
        <f>HYPERLINK(".\sm_car_250504_0030\sm_car_250504_0030_015_Ca007TrN_MaWOT_ode23t.png","figure")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1272</v>
      </c>
      <c r="L17">
        <v>17.853628499999999</v>
      </c>
      <c r="M17">
        <v>70.838109503468019</v>
      </c>
      <c r="N17">
        <v>-0.52806749242643347</v>
      </c>
      <c r="O17" s="1" t="str">
        <f>HYPERLINK(".\sm_car_250504_0030\sm_car_250504_0030_016_Ca007TrN_MaLSS_ode23t.png","figure")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416</v>
      </c>
      <c r="L18">
        <v>6.3624118000000003</v>
      </c>
      <c r="M18">
        <v>232.05879267517892</v>
      </c>
      <c r="N18">
        <v>-7.3151860647039338E-2</v>
      </c>
      <c r="O18" s="1" t="str">
        <f>HYPERLINK(".\sm_car_250504_0030\sm_car_250504_0030_017_Ca016TrN_MaWOT_ode23t.png","figure")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498</v>
      </c>
      <c r="L19">
        <v>6.0282194999999996</v>
      </c>
      <c r="M19">
        <v>71.524633009188094</v>
      </c>
      <c r="N19">
        <v>-2.1769745801628521E-2</v>
      </c>
      <c r="O19" s="1" t="str">
        <f>HYPERLINK(".\sm_car_250504_0030\sm_car_250504_0030_018_Ca016TrN_MaLSS_ode23t.png","figure")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407</v>
      </c>
      <c r="L20">
        <v>8.7320931000000002</v>
      </c>
      <c r="M20">
        <v>231.2806390855564</v>
      </c>
      <c r="N20">
        <v>1.0487404337932615E-2</v>
      </c>
      <c r="O20" s="1" t="str">
        <f>HYPERLINK(".\sm_car_250504_0030\sm_car_250504_0030_019_Ca032TrN_MaWOT_ode23t.png","figure")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>
        <v>8.7623387000000008</v>
      </c>
      <c r="M21">
        <v>71.248192248372064</v>
      </c>
      <c r="N21">
        <v>-0.51675456737402037</v>
      </c>
      <c r="O21" s="1" t="str">
        <f>HYPERLINK(".\sm_car_250504_0030\sm_car_250504_0030_020_Ca032TrN_MaLSS_ode23t.png","figure")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415</v>
      </c>
      <c r="L22">
        <v>8.4036652000000007</v>
      </c>
      <c r="M22">
        <v>231.32241991482218</v>
      </c>
      <c r="N22">
        <v>-1.8967075679644368E-2</v>
      </c>
      <c r="O22" s="1" t="str">
        <f>HYPERLINK(".\sm_car_250504_0030\sm_car_250504_0030_021_Ca048TrN_MaWOT_ode23t.png","figure")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524</v>
      </c>
      <c r="L23">
        <v>9.7406153999999994</v>
      </c>
      <c r="M23">
        <v>71.252171687576919</v>
      </c>
      <c r="N23">
        <v>-0.52936525029538239</v>
      </c>
      <c r="O23" s="1" t="str">
        <f>HYPERLINK(".\sm_car_250504_0030\sm_car_250504_0030_022_Ca048TrN_MaLSS_ode23t.png","figure")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402</v>
      </c>
      <c r="L24">
        <v>8.3407902000000007</v>
      </c>
      <c r="M24">
        <v>231.37732894404368</v>
      </c>
      <c r="N24">
        <v>9.6006998575496917E-3</v>
      </c>
      <c r="O24" s="1" t="str">
        <f>HYPERLINK(".\sm_car_250504_0030\sm_car_250504_0030_023_Ca064TrN_MaWOT_ode23t.png","figure")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522</v>
      </c>
      <c r="L25">
        <v>9.6509585999999992</v>
      </c>
      <c r="M25">
        <v>71.253322203436255</v>
      </c>
      <c r="N25">
        <v>-0.51803526753920215</v>
      </c>
      <c r="O25" s="1" t="str">
        <f>HYPERLINK(".\sm_car_250504_0030\sm_car_250504_0030_024_Ca064TrN_MaLSS_ode23t.png","figure")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397</v>
      </c>
      <c r="L26">
        <v>8.9968340999999992</v>
      </c>
      <c r="M26">
        <v>231.22186675367169</v>
      </c>
      <c r="N26">
        <v>-1.9646928395958281E-2</v>
      </c>
      <c r="O26" s="1" t="str">
        <f>HYPERLINK(".\sm_car_250504_0030\sm_car_250504_0030_025_Ca080TrN_MaWOT_ode23t.png","figure")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524</v>
      </c>
      <c r="L27">
        <v>9.0105208000000001</v>
      </c>
      <c r="M27">
        <v>71.246500683801642</v>
      </c>
      <c r="N27">
        <v>-0.5260553179728541</v>
      </c>
      <c r="O27" s="1" t="str">
        <f>HYPERLINK(".\sm_car_250504_0030\sm_car_250504_0030_026_Ca080TrN_MaLSS_ode23t.png","figure")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413</v>
      </c>
      <c r="L28">
        <v>6.6927889</v>
      </c>
      <c r="M28">
        <v>233.10746981398245</v>
      </c>
      <c r="N28">
        <v>1.8276205139517627E-2</v>
      </c>
      <c r="O28" s="1" t="str">
        <f>HYPERLINK(".\sm_car_250504_0030\sm_car_250504_0030_027_Ca096TrN_MaWOT_ode23t.png","figure")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518</v>
      </c>
      <c r="L29">
        <v>7.5495041000000001</v>
      </c>
      <c r="M29">
        <v>71.761731935856417</v>
      </c>
      <c r="N29">
        <v>-0.52644492036931545</v>
      </c>
      <c r="O29" s="1" t="str">
        <f>HYPERLINK(".\sm_car_250504_0030\sm_car_250504_0030_028_Ca096TrN_MaLSS_ode23t.png","figure")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375</v>
      </c>
      <c r="L30">
        <v>2.5987431000000001</v>
      </c>
      <c r="M30">
        <v>242.73651595198956</v>
      </c>
      <c r="N30">
        <v>0.23553468691325108</v>
      </c>
      <c r="O30" s="1" t="str">
        <f>HYPERLINK(".\sm_car_250504_0030\sm_car_250504_0030_029_Ca112TrN_MaWOT_ode23t.png","figure")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482</v>
      </c>
      <c r="L31">
        <v>2.8605141999999999</v>
      </c>
      <c r="M31">
        <v>74.671317598203046</v>
      </c>
      <c r="N31">
        <v>-0.33914963104776402</v>
      </c>
      <c r="O31" s="1" t="str">
        <f>HYPERLINK(".\sm_car_250504_0030\sm_car_250504_0030_030_Ca112TrN_MaLSS_ode23t.png","figure")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365</v>
      </c>
      <c r="L32">
        <v>3.1224167999999999</v>
      </c>
      <c r="M32">
        <v>241.47174481586686</v>
      </c>
      <c r="N32">
        <v>0.23189825717146278</v>
      </c>
      <c r="O32" s="1" t="str">
        <f>HYPERLINK(".\sm_car_250504_0030\sm_car_250504_0030_031_Ca113TrN_MaWOT_ode23t.png","figure")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>
        <v>3.237298</v>
      </c>
      <c r="M33">
        <v>74.341003984228408</v>
      </c>
      <c r="N33">
        <v>-0.33298561326170451</v>
      </c>
      <c r="O33" s="1" t="str">
        <f>HYPERLINK(".\sm_car_250504_0030\sm_car_250504_0030_032_Ca113TrN_MaLSS_ode23t.png","figure")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>
        <v>3.2423484999999999</v>
      </c>
      <c r="M34">
        <v>241.52922521922937</v>
      </c>
      <c r="N34">
        <v>0.23115767274762838</v>
      </c>
      <c r="O34" s="1" t="str">
        <f>HYPERLINK(".\sm_car_250504_0030\sm_car_250504_0030_033_Ca114TrN_MaWOT_ode23t.png","figure")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476</v>
      </c>
      <c r="L35">
        <v>3.4459390999999999</v>
      </c>
      <c r="M35">
        <v>74.346134764108754</v>
      </c>
      <c r="N35">
        <v>-0.33360833971581316</v>
      </c>
      <c r="O35" s="1" t="str">
        <f>HYPERLINK(".\sm_car_250504_0030\sm_car_250504_0030_034_Ca114TrN_MaLSS_ode23t.png","figure")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394</v>
      </c>
      <c r="L36">
        <v>3.4955159</v>
      </c>
      <c r="M36">
        <v>241.18068920609306</v>
      </c>
      <c r="N36">
        <v>0.23108884605114707</v>
      </c>
      <c r="O36" s="1" t="str">
        <f>HYPERLINK(".\sm_car_250504_0030\sm_car_250504_0030_035_Ca115TrN_MaWOT_ode23t.png","figure")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509</v>
      </c>
      <c r="L37">
        <v>3.7149279000000002</v>
      </c>
      <c r="M37">
        <v>74.216846894631956</v>
      </c>
      <c r="N37">
        <v>-0.33161654883571817</v>
      </c>
      <c r="O37" s="1" t="str">
        <f>HYPERLINK(".\sm_car_250504_0030\sm_car_250504_0030_036_Ca115TrN_MaLSS_ode23t.png","figure")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925</v>
      </c>
      <c r="L38">
        <v>4.8029073000000002</v>
      </c>
      <c r="M38">
        <v>242.65071254681209</v>
      </c>
      <c r="N38">
        <v>0.23720006147734915</v>
      </c>
      <c r="O38" s="1" t="str">
        <f>HYPERLINK(".\sm_car_250504_0030\sm_car_250504_0030_037_Ca116TrN_MaWOT_ode23t.png","figure")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1063</v>
      </c>
      <c r="L39">
        <v>5.4370855000000002</v>
      </c>
      <c r="M39">
        <v>74.663649830564623</v>
      </c>
      <c r="N39">
        <v>-0.34022089573743669</v>
      </c>
      <c r="O39" s="1" t="str">
        <f>HYPERLINK(".\sm_car_250504_0030\sm_car_250504_0030_038_Ca116TrN_MaLSS_ode23t.png","figure")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971</v>
      </c>
      <c r="L40">
        <v>5.9095842999999997</v>
      </c>
      <c r="M40">
        <v>241.57063338836934</v>
      </c>
      <c r="N40">
        <v>0.23372791812862875</v>
      </c>
      <c r="O40" s="1" t="str">
        <f>HYPERLINK(".\sm_car_250504_0030\sm_car_250504_0030_039_Ca117TrN_MaWOT_ode23t.png","figure")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1083</v>
      </c>
      <c r="L41">
        <v>6.3372583000000002</v>
      </c>
      <c r="M41">
        <v>74.339612121412543</v>
      </c>
      <c r="N41">
        <v>-0.33675108829315759</v>
      </c>
      <c r="O41" s="1" t="str">
        <f>HYPERLINK(".\sm_car_250504_0030\sm_car_250504_0030_040_Ca117TrN_MaLSS_ode23t.png","figure")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960</v>
      </c>
      <c r="L42">
        <v>5.5547335999999996</v>
      </c>
      <c r="M42">
        <v>241.50617978113783</v>
      </c>
      <c r="N42">
        <v>0.23279368239208362</v>
      </c>
      <c r="O42" s="1" t="str">
        <f>HYPERLINK(".\sm_car_250504_0030\sm_car_250504_0030_041_Ca118TrN_MaWOT_ode23t.png","figure")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1070</v>
      </c>
      <c r="L43">
        <v>6.4365342999999999</v>
      </c>
      <c r="M43">
        <v>74.336097243681266</v>
      </c>
      <c r="N43">
        <v>-0.3314148218584429</v>
      </c>
      <c r="O43" s="1" t="str">
        <f>HYPERLINK(".\sm_car_250504_0030\sm_car_250504_0030_042_Ca118TrN_MaLSS_ode23t.png","figure")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985</v>
      </c>
      <c r="L44">
        <v>5.6551935000000002</v>
      </c>
      <c r="M44">
        <v>241.00026216582265</v>
      </c>
      <c r="N44">
        <v>0.2305046617420303</v>
      </c>
      <c r="O44" s="1" t="str">
        <f>HYPERLINK(".\sm_car_250504_0030\sm_car_250504_0030_043_Ca119TrN_MaWOT_ode23t.png","figure")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1108</v>
      </c>
      <c r="L45">
        <v>6.3416785999999998</v>
      </c>
      <c r="M45">
        <v>74.193485970458909</v>
      </c>
      <c r="N45">
        <v>-0.333893046445563</v>
      </c>
      <c r="O45" s="1" t="str">
        <f>HYPERLINK(".\sm_car_250504_0030\sm_car_250504_0030_044_Ca119TrN_MaLSS_ode23t.png","figure")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312</v>
      </c>
      <c r="L46">
        <v>5.8164218999999999</v>
      </c>
      <c r="M46">
        <v>99.838453776944903</v>
      </c>
      <c r="N46">
        <v>-1.8048448178904927E-2</v>
      </c>
      <c r="O46" s="1" t="str">
        <f>HYPERLINK(".\sm_car_250504_0030\sm_car_250504_0030_045_Ca128TrN_MaWOT_ode23t.png","figure")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453</v>
      </c>
      <c r="L47">
        <v>7.6809488000000004</v>
      </c>
      <c r="M47">
        <v>36.974461909307117</v>
      </c>
      <c r="N47">
        <v>-0.1302894230930326</v>
      </c>
      <c r="O47" s="1" t="str">
        <f>HYPERLINK(".\sm_car_250504_0030\sm_car_250504_0030_046_Ca128TrN_MaLSS_ode23t.png","figure")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347</v>
      </c>
      <c r="L48">
        <v>7.0992294999999999</v>
      </c>
      <c r="M48">
        <v>229.38317648662277</v>
      </c>
      <c r="N48">
        <v>5.7795369539191774E-2</v>
      </c>
      <c r="O48" s="1" t="str">
        <f>HYPERLINK(".\sm_car_250504_0030\sm_car_250504_0030_047_Ca129TrN_MaWOT_ode23t.png","figure")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482</v>
      </c>
      <c r="L49">
        <v>8.4263344</v>
      </c>
      <c r="M49">
        <v>70.689134901007677</v>
      </c>
      <c r="N49">
        <v>-0.52667298572748056</v>
      </c>
      <c r="O49" s="1" t="str">
        <f>HYPERLINK(".\sm_car_250504_0030\sm_car_250504_0030_048_Ca129TrN_MaLSS_ode23t.png","figure")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800</v>
      </c>
      <c r="L50">
        <v>25.1293994</v>
      </c>
      <c r="M50">
        <v>217.24082713040829</v>
      </c>
      <c r="N50">
        <v>-1.5375589154338303</v>
      </c>
      <c r="O50" s="1" t="str">
        <f>HYPERLINK(".\sm_car_250504_0030\sm_car_250504_0030_049_Ca130TrN_MaWOT_ode23t.png","figure")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791</v>
      </c>
      <c r="L51">
        <v>22.960442499999999</v>
      </c>
      <c r="M51">
        <v>68.769439993843022</v>
      </c>
      <c r="N51">
        <v>-0.54725762514582399</v>
      </c>
      <c r="O51" s="1" t="str">
        <f>HYPERLINK(".\sm_car_250504_0030\sm_car_250504_0030_050_Ca130TrN_MaLSS_ode23t.png","figure")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351</v>
      </c>
      <c r="L52">
        <v>5.0362330000000002</v>
      </c>
      <c r="M52">
        <v>230.36503864824442</v>
      </c>
      <c r="N52">
        <v>-4.1342476951807053E-2</v>
      </c>
      <c r="O52" s="1" t="str">
        <f>HYPERLINK(".\sm_car_250504_0030\sm_car_250504_0030_051_Ca131TrN_MaWOT_ode23t.png","figure")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495</v>
      </c>
      <c r="L53">
        <v>5.8733253000000003</v>
      </c>
      <c r="M53">
        <v>70.96547839104305</v>
      </c>
      <c r="N53">
        <v>-0.53236714752215664</v>
      </c>
      <c r="O53" s="1" t="str">
        <f>HYPERLINK(".\sm_car_250504_0030\sm_car_250504_0030_052_Ca131TrN_MaLSS_ode23t.png","figure")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354</v>
      </c>
      <c r="L54">
        <v>4.7004029000000003</v>
      </c>
      <c r="M54">
        <v>230.29444180220668</v>
      </c>
      <c r="N54">
        <v>-8.2227872887791122E-3</v>
      </c>
      <c r="O54" s="1" t="str">
        <f>HYPERLINK(".\sm_car_250504_0030\sm_car_250504_0030_053_Ca132TrN_MaWOT_ode23t.png","figure")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505</v>
      </c>
      <c r="L55">
        <v>5.4899880999999997</v>
      </c>
      <c r="M55">
        <v>70.960626523117597</v>
      </c>
      <c r="N55">
        <v>-0.53566359115127804</v>
      </c>
      <c r="O55" s="1" t="str">
        <f>HYPERLINK(".\sm_car_250504_0030\sm_car_250504_0030_054_Ca132TrN_MaLSS_ode23t.png","figure")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339</v>
      </c>
      <c r="L56">
        <v>4.9384582000000004</v>
      </c>
      <c r="M56">
        <v>230.28848404047642</v>
      </c>
      <c r="N56">
        <v>-1.1279790850525743E-2</v>
      </c>
      <c r="O56" s="1" t="str">
        <f>HYPERLINK(".\sm_car_250504_0030\sm_car_250504_0030_055_Ca133TrN_MaWOT_ode23t.png","figure")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499</v>
      </c>
      <c r="L57">
        <v>5.7935397999999996</v>
      </c>
      <c r="M57">
        <v>70.970644662618511</v>
      </c>
      <c r="N57">
        <v>-0.5282764222234464</v>
      </c>
      <c r="O57" s="1" t="str">
        <f>HYPERLINK(".\sm_car_250504_0030\sm_car_250504_0030_056_Ca133TrN_MaLSS_ode23t.png","figure")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353</v>
      </c>
      <c r="L58">
        <v>5.0961046999999997</v>
      </c>
      <c r="M58">
        <v>230.3838440945604</v>
      </c>
      <c r="N58">
        <v>-1.6208121353932646E-2</v>
      </c>
      <c r="O58" s="1" t="str">
        <f>HYPERLINK(".\sm_car_250504_0030\sm_car_250504_0030_057_Ca134TrN_MaWOT_ode23t.png","figure")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499</v>
      </c>
      <c r="L59">
        <v>6.9513518999999997</v>
      </c>
      <c r="M59">
        <v>70.975877384650673</v>
      </c>
      <c r="N59">
        <v>-0.53344873300185902</v>
      </c>
      <c r="O59" s="1" t="str">
        <f>HYPERLINK(".\sm_car_250504_0030\sm_car_250504_0030_058_Ca134TrN_MaLSS_ode23t.png","figure")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337</v>
      </c>
      <c r="L60">
        <v>4.6161890999999997</v>
      </c>
      <c r="M60">
        <v>230.33901604509541</v>
      </c>
      <c r="N60">
        <v>-9.9255843617979261E-3</v>
      </c>
      <c r="O60" s="1" t="str">
        <f>HYPERLINK(".\sm_car_250504_0030\sm_car_250504_0030_059_Ca135TrN_MaWOT_ode23t.png","figure")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485</v>
      </c>
      <c r="L61">
        <v>5.6489843000000004</v>
      </c>
      <c r="M61">
        <v>70.978941421323512</v>
      </c>
      <c r="N61">
        <v>-0.52443113727017698</v>
      </c>
      <c r="O61" s="1" t="str">
        <f>HYPERLINK(".\sm_car_250504_0030\sm_car_250504_0030_060_Ca135TrN_MaLSS_ode23t.png","figure")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348</v>
      </c>
      <c r="L62">
        <v>5.7035779</v>
      </c>
      <c r="M62">
        <v>230.00779983033868</v>
      </c>
      <c r="N62">
        <v>5.3252449519957598E-2</v>
      </c>
      <c r="O62" s="1" t="str">
        <f>HYPERLINK(".\sm_car_250504_0030\sm_car_250504_0030_061_Ca136TrN_MaWOT_ode23t.png","figure")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486</v>
      </c>
      <c r="L63">
        <v>7.0024974999999996</v>
      </c>
      <c r="M63">
        <v>70.973260422812828</v>
      </c>
      <c r="N63">
        <v>-0.52440862172277602</v>
      </c>
      <c r="O63" s="1" t="str">
        <f>HYPERLINK(".\sm_car_250504_0030\sm_car_250504_0030_062_Ca136TrN_MaLSS_ode23t.png","figure")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328</v>
      </c>
      <c r="L64">
        <v>4.3334549000000004</v>
      </c>
      <c r="M64">
        <v>231.24791041420548</v>
      </c>
      <c r="N64">
        <v>0.14157355059148682</v>
      </c>
      <c r="O64" s="1" t="str">
        <f>HYPERLINK(".\sm_car_250504_0030\sm_car_250504_0030_063_Ca137TrN_MaWOT_ode23t.png","figure")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471</v>
      </c>
      <c r="L65">
        <v>4.8619595999999996</v>
      </c>
      <c r="M65">
        <v>71.239612767591581</v>
      </c>
      <c r="N65">
        <v>-0.51233836334039584</v>
      </c>
      <c r="O65" s="1" t="str">
        <f>HYPERLINK(".\sm_car_250504_0030\sm_car_250504_0030_064_Ca137TrN_MaLSS_ode23t.png","figure")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336</v>
      </c>
      <c r="L66">
        <v>6.9707714000000003</v>
      </c>
      <c r="M66">
        <v>231.18232262475502</v>
      </c>
      <c r="N66">
        <v>0.15072111946497135</v>
      </c>
      <c r="O66" s="1" t="str">
        <f>HYPERLINK(".\sm_car_250504_0030\sm_car_250504_0030_065_Ca138TrN_MaWOT_ode23t.png","figure")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477</v>
      </c>
      <c r="L67">
        <v>7.0707297999999996</v>
      </c>
      <c r="M67">
        <v>71.129064155696724</v>
      </c>
      <c r="N67">
        <v>-0.82774881809402945</v>
      </c>
      <c r="O67" s="1" t="str">
        <f>HYPERLINK(".\sm_car_250504_0030\sm_car_250504_0030_066_Ca138TrN_MaLSS_ode23t.png","figure")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691</v>
      </c>
      <c r="L68">
        <v>28.658814799999998</v>
      </c>
      <c r="M68">
        <v>405.17365123121613</v>
      </c>
      <c r="N68">
        <v>1.6201839926288018</v>
      </c>
      <c r="O68" s="1" t="str">
        <f>HYPERLINK(".\sm_car_250504_0030\sm_car_250504_0030_067_Ca139TrN_MaWOT_ode23t.png","figure")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645</v>
      </c>
      <c r="L69">
        <v>17.707326200000001</v>
      </c>
      <c r="M69">
        <v>154.33676250071449</v>
      </c>
      <c r="N69">
        <v>-0.58267900175231691</v>
      </c>
      <c r="O69" s="1" t="str">
        <f>HYPERLINK(".\sm_car_250504_0030\sm_car_250504_0030_068_Ca139TrN_MaLSS_ode23t.png","figure")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1938</v>
      </c>
      <c r="L70">
        <v>37.460641299999999</v>
      </c>
      <c r="M70">
        <v>405.28818736838844</v>
      </c>
      <c r="N70">
        <v>1.6335590598881913</v>
      </c>
      <c r="O70" s="1" t="str">
        <f>HYPERLINK(".\sm_car_250504_0030\sm_car_250504_0030_069_Ca141TrN_MaWOT_ode23t.png","figure")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1845</v>
      </c>
      <c r="L71">
        <v>25.556753799999999</v>
      </c>
      <c r="M71">
        <v>154.41136117451711</v>
      </c>
      <c r="N71">
        <v>-0.57475698958078203</v>
      </c>
      <c r="O71" s="1" t="str">
        <f>HYPERLINK(".\sm_car_250504_0030\sm_car_250504_0030_070_Ca141TrN_MaLSS_ode23t.png","figure")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355</v>
      </c>
      <c r="L72">
        <v>18.2264792</v>
      </c>
      <c r="M72">
        <v>95.841490812824048</v>
      </c>
      <c r="N72">
        <v>-3.1378255919093545E-2</v>
      </c>
      <c r="O72" s="1" t="str">
        <f>HYPERLINK(".\sm_car_250504_0030\sm_car_250504_0030_071_Ca143TrN_MaWOT_ode23t.png","figure")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468</v>
      </c>
      <c r="L73">
        <v>19.092728699999999</v>
      </c>
      <c r="M73">
        <v>25.014922999606007</v>
      </c>
      <c r="N73">
        <v>-5.3008514919658044E-2</v>
      </c>
      <c r="O73" s="1" t="str">
        <f>HYPERLINK(".\sm_car_250504_0030\sm_car_250504_0030_072_Ca143TrN_MaLSS_ode23t.png","figure")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333</v>
      </c>
      <c r="L74">
        <v>11.554938099999999</v>
      </c>
      <c r="M74">
        <v>114.00003197035915</v>
      </c>
      <c r="N74">
        <v>0.53108493216105246</v>
      </c>
      <c r="O74" s="1" t="str">
        <f>HYPERLINK(".\sm_car_250504_0030\sm_car_250504_0030_073_Ca144TrN_MaWOT_ode23t.png","figure")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443</v>
      </c>
      <c r="L75">
        <v>12.6443704</v>
      </c>
      <c r="M75">
        <v>35.599640444020267</v>
      </c>
      <c r="N75">
        <v>-3.2323219926446246E-2</v>
      </c>
      <c r="O75" s="1" t="str">
        <f>HYPERLINK(".\sm_car_250504_0030\sm_car_250504_0030_074_Ca144TrN_MaLSS_ode23t.png","figure")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2664</v>
      </c>
      <c r="L76">
        <v>27.675383</v>
      </c>
      <c r="M76">
        <v>399.74601931376583</v>
      </c>
      <c r="N76">
        <v>-16.073375184991328</v>
      </c>
      <c r="O76" s="1" t="str">
        <f>HYPERLINK(".\sm_car_250504_0030\sm_car_250504_0030_075_Ca147TrN_MaWOT_ode23t.png","figure")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1275</v>
      </c>
      <c r="L77">
        <v>18.228687099999998</v>
      </c>
      <c r="M77">
        <v>151.93677785577984</v>
      </c>
      <c r="N77">
        <v>-2.4000666779363971</v>
      </c>
      <c r="O77" s="1" t="str">
        <f>HYPERLINK(".\sm_car_250504_0030\sm_car_250504_0030_076_Ca147TrN_MaLSS_ode23t.png","figure")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23</v>
      </c>
      <c r="K78">
        <v>300</v>
      </c>
      <c r="L78">
        <v>8.5745976000000006</v>
      </c>
      <c r="M78">
        <v>229.63501568004187</v>
      </c>
      <c r="N78">
        <v>5.6287716534493106E-3</v>
      </c>
      <c r="O78" s="1" t="str">
        <f>HYPERLINK(".\sm_car_250504_0030\sm_car_250504_0030_077_Ca215TrN_MaWOT_ode23t.png","figure")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23</v>
      </c>
      <c r="K79">
        <v>483</v>
      </c>
      <c r="L79">
        <v>8.1862733999999993</v>
      </c>
      <c r="M79">
        <v>81.273926341917871</v>
      </c>
      <c r="N79">
        <v>-0.2241734653823837</v>
      </c>
      <c r="O79" s="1" t="str">
        <f>HYPERLINK(".\sm_car_250504_0030\sm_car_250504_0030_078_Ca215TrN_MaLSS_ode23t.png","figure")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364</v>
      </c>
      <c r="L80">
        <v>4.3930911999999998</v>
      </c>
      <c r="M80">
        <v>230.39059830960926</v>
      </c>
      <c r="N80">
        <v>0.17287270045340286</v>
      </c>
      <c r="O80" s="1" t="str">
        <f>HYPERLINK(".\sm_car_250504_0030\sm_car_250504_0030_079_Ca218TrN_MaWOT_ode23t.png","figure")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479</v>
      </c>
      <c r="L81">
        <v>4.9754709999999998</v>
      </c>
      <c r="M81">
        <v>70.956113433038794</v>
      </c>
      <c r="N81">
        <v>-0.53522489498893178</v>
      </c>
      <c r="O81" s="1" t="str">
        <f>HYPERLINK(".\sm_car_250504_0030\sm_car_250504_0030_080_Ca218TrN_MaLSS_ode23t.png","figure")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396</v>
      </c>
      <c r="L82">
        <v>6.7909153</v>
      </c>
      <c r="M82">
        <v>229.76866083731991</v>
      </c>
      <c r="N82">
        <v>0.17261189888327247</v>
      </c>
      <c r="O82" s="1" t="str">
        <f>HYPERLINK(".\sm_car_250504_0030\sm_car_250504_0030_081_Ca219TrN_MaWOT_ode23t.png","figure")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515</v>
      </c>
      <c r="L83">
        <v>8.3351293999999996</v>
      </c>
      <c r="M83">
        <v>70.788655397160269</v>
      </c>
      <c r="N83">
        <v>-0.55846344073399268</v>
      </c>
      <c r="O83" s="1" t="str">
        <f>HYPERLINK(".\sm_car_250504_0030\sm_car_250504_0030_082_Ca219TrN_MaLSS_ode23t.png","figure")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23</v>
      </c>
      <c r="K84">
        <v>932</v>
      </c>
      <c r="L84">
        <v>30.641034999999999</v>
      </c>
      <c r="M84">
        <v>223.86221268090432</v>
      </c>
      <c r="N84">
        <v>-1.2055279087904633</v>
      </c>
      <c r="O84" s="1" t="str">
        <f>HYPERLINK(".\sm_car_250504_0030\sm_car_250504_0030_083_Ca220TrN_MaWOT_ode23t.png","figure")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23</v>
      </c>
      <c r="K85">
        <v>1105</v>
      </c>
      <c r="L85">
        <v>38.078400600000002</v>
      </c>
      <c r="M85">
        <v>69.462008148138338</v>
      </c>
      <c r="N85">
        <v>-1.5023405189539343</v>
      </c>
      <c r="O85" s="1" t="str">
        <f>HYPERLINK(".\sm_car_250504_0030\sm_car_250504_0030_084_Ca220TrN_MaLSS_ode23t.png","figure")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466</v>
      </c>
      <c r="L86">
        <v>7.2774380000000001</v>
      </c>
      <c r="M86">
        <v>293.17952826878144</v>
      </c>
      <c r="N86">
        <v>1.3409239753715515E-4</v>
      </c>
      <c r="O86" s="1" t="str">
        <f>HYPERLINK(".\sm_car_250504_0030\sm_car_250504_0030_085_Ca223TrN_MaWOT_ode23t.png","figure")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657</v>
      </c>
      <c r="L87">
        <v>7.0549558000000001</v>
      </c>
      <c r="M87">
        <v>103.53480426086682</v>
      </c>
      <c r="N87">
        <v>-0.14816692111397461</v>
      </c>
      <c r="O87" s="1" t="str">
        <f>HYPERLINK(".\sm_car_250504_0030\sm_car_250504_0030_086_Ca223TrN_MaLSS_ode23t.png","figure")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630</v>
      </c>
      <c r="L88">
        <v>19.137926</v>
      </c>
      <c r="M88">
        <v>409.26530986657036</v>
      </c>
      <c r="N88">
        <v>1.5843608701631842</v>
      </c>
      <c r="O88" s="1" t="str">
        <f>HYPERLINK(".\sm_car_250504_0030\sm_car_250504_0030_087_Ca227TrN_MaWOT_ode23t.png","figure")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619</v>
      </c>
      <c r="L89">
        <v>11.1122891</v>
      </c>
      <c r="M89">
        <v>156.26682898549302</v>
      </c>
      <c r="N89">
        <v>-0.34231779578613464</v>
      </c>
      <c r="O89" s="1" t="str">
        <f>HYPERLINK(".\sm_car_250504_0030\sm_car_250504_0030_088_Ca227TrN_MaLSS_ode23t.png","figure")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397</v>
      </c>
      <c r="L90">
        <v>10.788449699999999</v>
      </c>
      <c r="M90">
        <v>231.33333721148216</v>
      </c>
      <c r="N90">
        <v>-3.2350973361429413E-3</v>
      </c>
      <c r="O90" s="1" t="str">
        <f>HYPERLINK(".\sm_car_250504_0030\sm_car_250504_0030_089_Ca008TrN_MaWOT_ode23t_1.png","figure")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557</v>
      </c>
      <c r="L91">
        <v>12.704741500000001</v>
      </c>
      <c r="M91">
        <v>71.256996148267191</v>
      </c>
      <c r="N91">
        <v>-0.53711214143304886</v>
      </c>
      <c r="O91" s="1" t="str">
        <f>HYPERLINK(".\sm_car_250504_0030\sm_car_250504_0030_090_Ca008TrN_MaLSS_ode23t_1.png","figure")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381</v>
      </c>
      <c r="L92">
        <v>11.6328779</v>
      </c>
      <c r="M92">
        <v>230.35950406262805</v>
      </c>
      <c r="N92">
        <v>-1.2824210419466072E-2</v>
      </c>
      <c r="O92" s="1" t="str">
        <f>HYPERLINK(".\sm_car_250504_0030\sm_car_250504_0030_091_Ca009TrN_MaWOT_ode23t_1.png","figure")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552</v>
      </c>
      <c r="L93">
        <v>14.237172599999999</v>
      </c>
      <c r="M93">
        <v>70.964832186977929</v>
      </c>
      <c r="N93">
        <v>-0.532710529881258</v>
      </c>
      <c r="O93" s="1" t="str">
        <f>HYPERLINK(".\sm_car_250504_0030\sm_car_250504_0030_092_Ca009TrN_MaLSS_ode23t_1.png","figure")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412</v>
      </c>
      <c r="L94">
        <v>12.498542199999999</v>
      </c>
      <c r="M94">
        <v>230.39858352836683</v>
      </c>
      <c r="N94">
        <v>5.616606982715934E-2</v>
      </c>
      <c r="O94" s="1" t="str">
        <f>HYPERLINK(".\sm_car_250504_0030\sm_car_250504_0030_093_Ca010TrN_MaWOT_ode23t_1.png","figure")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557</v>
      </c>
      <c r="L95">
        <v>16.6055797</v>
      </c>
      <c r="M95">
        <v>70.973925505321262</v>
      </c>
      <c r="N95">
        <v>-0.52193859815357169</v>
      </c>
      <c r="O95" s="1" t="str">
        <f>HYPERLINK(".\sm_car_250504_0030\sm_car_250504_0030_094_Ca010TrN_MaLSS_ode23t_1.png","figure")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445</v>
      </c>
      <c r="L96">
        <v>14.067360499999999</v>
      </c>
      <c r="M96">
        <v>229.94491054748838</v>
      </c>
      <c r="N96">
        <v>5.4281275260219933E-2</v>
      </c>
      <c r="O96" s="1" t="str">
        <f>HYPERLINK(".\sm_car_250504_0030\sm_car_250504_0030_095_Ca011TrN_MaWOT_ode23t_1.png","figure")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591</v>
      </c>
      <c r="L97">
        <v>17.201863199999998</v>
      </c>
      <c r="M97">
        <v>70.837678751824043</v>
      </c>
      <c r="N97">
        <v>-0.52261817609779049</v>
      </c>
      <c r="O97" s="1" t="str">
        <f>HYPERLINK(".\sm_car_250504_0030\sm_car_250504_0030_096_Ca011TrN_MaLSS_ode23t_1.png","figure")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852</v>
      </c>
      <c r="L98">
        <v>11.9514399</v>
      </c>
      <c r="M98">
        <v>231.35259019994211</v>
      </c>
      <c r="N98">
        <v>-3.6296214548999384E-3</v>
      </c>
      <c r="O98" s="1" t="str">
        <f>HYPERLINK(".\sm_car_250504_0030\sm_car_250504_0030_097_Ca012TrN_MaWOT_ode23t_1.png","figure")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990</v>
      </c>
      <c r="L99">
        <v>14.231011000000001</v>
      </c>
      <c r="M99">
        <v>71.248485466532543</v>
      </c>
      <c r="N99">
        <v>-0.54428015260195761</v>
      </c>
      <c r="O99" s="1" t="str">
        <f>HYPERLINK(".\sm_car_250504_0030\sm_car_250504_0030_098_Ca012TrN_MaLSS_ode23t_1.png","figure")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839</v>
      </c>
      <c r="L100">
        <v>12.627649399999999</v>
      </c>
      <c r="M100">
        <v>230.28152604285796</v>
      </c>
      <c r="N100">
        <v>-1.211095412216401E-2</v>
      </c>
      <c r="O100" s="1" t="str">
        <f>HYPERLINK(".\sm_car_250504_0030\sm_car_250504_0030_099_Ca013TrN_MaWOT_ode23t_1.png","figure")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1005</v>
      </c>
      <c r="L101">
        <v>15.843875000000001</v>
      </c>
      <c r="M101">
        <v>70.957024185827493</v>
      </c>
      <c r="N101">
        <v>-0.53880287972960694</v>
      </c>
      <c r="O101" s="1" t="str">
        <f>HYPERLINK(".\sm_car_250504_0030\sm_car_250504_0030_100_Ca013TrN_MaLSS_ode23t_1.png","figure")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873</v>
      </c>
      <c r="L102">
        <v>12.257263099999999</v>
      </c>
      <c r="M102">
        <v>230.06795730954991</v>
      </c>
      <c r="N102">
        <v>5.478541188231479E-2</v>
      </c>
      <c r="O102" s="1" t="str">
        <f>HYPERLINK(".\sm_car_250504_0030\sm_car_250504_0030_101_Ca014TrN_MaWOT_ode23t_1.png","figure")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1022</v>
      </c>
      <c r="L103">
        <v>15.748731899999999</v>
      </c>
      <c r="M103">
        <v>70.962253624933254</v>
      </c>
      <c r="N103">
        <v>-0.53348820136504826</v>
      </c>
      <c r="O103" s="1" t="str">
        <f>HYPERLINK(".\sm_car_250504_0030\sm_car_250504_0030_102_Ca014TrN_MaLSS_ode23t_1.png","figure")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891</v>
      </c>
      <c r="L104">
        <v>13.7704079</v>
      </c>
      <c r="M104">
        <v>229.8029670797215</v>
      </c>
      <c r="N104">
        <v>5.3351793660339972E-2</v>
      </c>
      <c r="O104" s="1" t="str">
        <f>HYPERLINK(".\sm_car_250504_0030\sm_car_250504_0030_103_Ca015TrN_MaWOT_ode23t_1.png","figure")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1056</v>
      </c>
      <c r="L105">
        <v>16.980059000000001</v>
      </c>
      <c r="M105">
        <v>70.832059365267227</v>
      </c>
      <c r="N105">
        <v>-0.53247999239249511</v>
      </c>
      <c r="O105" s="1" t="str">
        <f>HYPERLINK(".\sm_car_250504_0030\sm_car_250504_0030_104_Ca015TrN_MaLSS_ode23t_1.png","figure")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413</v>
      </c>
      <c r="L106">
        <v>3.3388673</v>
      </c>
      <c r="M106">
        <v>242.69174294271087</v>
      </c>
      <c r="N106">
        <v>0.23531139292089417</v>
      </c>
      <c r="O106" s="1" t="str">
        <f>HYPERLINK(".\sm_car_250504_0030\sm_car_250504_0030_105_Ca120TrN_MaWOT_ode23t_1.png","figure")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527</v>
      </c>
      <c r="L107">
        <v>4.0691438</v>
      </c>
      <c r="M107">
        <v>74.673062205491476</v>
      </c>
      <c r="N107">
        <v>-0.33895253431539496</v>
      </c>
      <c r="O107" s="1" t="str">
        <f>HYPERLINK(".\sm_car_250504_0030\sm_car_250504_0030_106_Ca120TrN_MaLSS_ode23t_1.png","figure")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407</v>
      </c>
      <c r="L108">
        <v>4.0065743999999999</v>
      </c>
      <c r="M108">
        <v>241.21117175166435</v>
      </c>
      <c r="N108">
        <v>0.23111594004149721</v>
      </c>
      <c r="O108" s="1" t="str">
        <f>HYPERLINK(".\sm_car_250504_0030\sm_car_250504_0030_107_Ca121TrN_MaWOT_ode23t_1.png","figure")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501</v>
      </c>
      <c r="L109">
        <v>4.3545927999999998</v>
      </c>
      <c r="M109">
        <v>74.356591170764588</v>
      </c>
      <c r="N109">
        <v>-0.33015770372572212</v>
      </c>
      <c r="O109" s="1" t="str">
        <f>HYPERLINK(".\sm_car_250504_0030\sm_car_250504_0030_108_Ca121TrN_MaLSS_ode23t_1.png","figure")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414</v>
      </c>
      <c r="L110">
        <v>4.3099148999999999</v>
      </c>
      <c r="M110">
        <v>241.75697356542406</v>
      </c>
      <c r="N110">
        <v>0.23176557887036647</v>
      </c>
      <c r="O110" s="1" t="str">
        <f>HYPERLINK(".\sm_car_250504_0030\sm_car_250504_0030_109_Ca122TrN_MaWOT_ode23t_1.png","figure")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512</v>
      </c>
      <c r="L111">
        <v>4.5868399999999996</v>
      </c>
      <c r="M111">
        <v>74.376812790645658</v>
      </c>
      <c r="N111">
        <v>-0.33433418371150114</v>
      </c>
      <c r="O111" s="1" t="str">
        <f>HYPERLINK(".\sm_car_250504_0030\sm_car_250504_0030_110_Ca122TrN_MaLSS_ode23t_1.png","figure")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445</v>
      </c>
      <c r="L112">
        <v>4.4743021000000001</v>
      </c>
      <c r="M112">
        <v>241.12593775066154</v>
      </c>
      <c r="N112">
        <v>0.22895077015058637</v>
      </c>
      <c r="O112" s="1" t="str">
        <f>HYPERLINK(".\sm_car_250504_0030\sm_car_250504_0030_111_Ca123TrN_MaWOT_ode23t_1.png","figure")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545</v>
      </c>
      <c r="L113">
        <v>4.9380350000000002</v>
      </c>
      <c r="M113">
        <v>74.205123031591341</v>
      </c>
      <c r="N113">
        <v>-0.32986039401505646</v>
      </c>
      <c r="O113" s="1" t="str">
        <f>HYPERLINK(".\sm_car_250504_0030\sm_car_250504_0030_112_Ca123TrN_MaLSS_ode23t_1.png","figure")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994</v>
      </c>
      <c r="L114">
        <v>4.1914420999999997</v>
      </c>
      <c r="M114">
        <v>242.59673926911904</v>
      </c>
      <c r="N114">
        <v>0.23602919838253739</v>
      </c>
      <c r="O114" s="1" t="str">
        <f>HYPERLINK(".\sm_car_250504_0030\sm_car_250504_0030_113_Ca124TrN_MaWOT_ode23t_1.png","figure")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>
        <v>4.9579247000000004</v>
      </c>
      <c r="M115">
        <v>74.658401770241397</v>
      </c>
      <c r="N115">
        <v>-0.34189616306595322</v>
      </c>
      <c r="O115" s="1" t="str">
        <f>HYPERLINK(".\sm_car_250504_0030\sm_car_250504_0030_114_Ca124TrN_MaLSS_ode23t_1.png","figure")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1005</v>
      </c>
      <c r="L116">
        <v>4.8478279000000004</v>
      </c>
      <c r="M116">
        <v>241.58752076350953</v>
      </c>
      <c r="N116">
        <v>0.23266703424713392</v>
      </c>
      <c r="O116" s="1" t="str">
        <f>HYPERLINK(".\sm_car_250504_0030\sm_car_250504_0030_115_Ca125TrN_MaWOT_ode23t_1.png","figure")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1131</v>
      </c>
      <c r="L117">
        <v>5.8928498999999999</v>
      </c>
      <c r="M117">
        <v>74.350050540402492</v>
      </c>
      <c r="N117">
        <v>-0.33747370778325414</v>
      </c>
      <c r="O117" s="1" t="str">
        <f>HYPERLINK(".\sm_car_250504_0030\sm_car_250504_0030_116_Ca125TrN_MaLSS_ode23t_1.png","figure")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1026</v>
      </c>
      <c r="L118">
        <v>5.6698041000000003</v>
      </c>
      <c r="M118">
        <v>241.400115425248</v>
      </c>
      <c r="N118">
        <v>0.23231610167602565</v>
      </c>
      <c r="O118" s="1" t="str">
        <f>HYPERLINK(".\sm_car_250504_0030\sm_car_250504_0030_117_Ca126TrN_MaWOT_ode23t_1.png","figure")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1151</v>
      </c>
      <c r="L119">
        <v>6.0315899000000002</v>
      </c>
      <c r="M119">
        <v>74.340276521405471</v>
      </c>
      <c r="N119">
        <v>-0.33691224467820413</v>
      </c>
      <c r="O119" s="1" t="str">
        <f>HYPERLINK(".\sm_car_250504_0030\sm_car_250504_0030_118_Ca126TrN_MaLSS_ode23t_1.png","figure")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1051</v>
      </c>
      <c r="L120">
        <v>5.7443618000000001</v>
      </c>
      <c r="M120">
        <v>241.13367515508455</v>
      </c>
      <c r="N120">
        <v>0.23114281756778615</v>
      </c>
      <c r="O120" s="1" t="str">
        <f>HYPERLINK(".\sm_car_250504_0030\sm_car_250504_0030_119_Ca127TrN_MaWOT_ode23t_1.png","figure")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1170</v>
      </c>
      <c r="L121">
        <v>6.1461888</v>
      </c>
      <c r="M121">
        <v>74.195661412561051</v>
      </c>
      <c r="N121">
        <v>-0.33370259073265973</v>
      </c>
      <c r="O121" s="1" t="str">
        <f>HYPERLINK(".\sm_car_250504_0030\sm_car_250504_0030_120_Ca127TrN_MaLSS_ode23t_1.png","figure")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666</v>
      </c>
      <c r="L122">
        <v>37.438647099999997</v>
      </c>
      <c r="M122">
        <v>405.06786357868577</v>
      </c>
      <c r="N122">
        <v>1.6831791461220831</v>
      </c>
      <c r="O122" s="1" t="str">
        <f>HYPERLINK(".\sm_car_250504_0030\sm_car_250504_0030_121_Ca140TrN_MaWOT_ode23t_1.png","figure")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643</v>
      </c>
      <c r="L123">
        <v>22.304826299999998</v>
      </c>
      <c r="M123">
        <v>154.3479942439746</v>
      </c>
      <c r="N123">
        <v>-0.58791841920006072</v>
      </c>
      <c r="O123" s="1" t="str">
        <f>HYPERLINK(".\sm_car_250504_0030\sm_car_250504_0030_122_Ca140TrN_MaLSS_ode23t_1.png","figure")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1224</v>
      </c>
      <c r="L124">
        <v>34.167253199999998</v>
      </c>
      <c r="M124">
        <v>405.31001884911171</v>
      </c>
      <c r="N124">
        <v>1.5980414074326026</v>
      </c>
      <c r="O124" s="1" t="str">
        <f>HYPERLINK(".\sm_car_250504_0030\sm_car_250504_0030_123_Ca142TrN_MaWOT_ode23t_1.png","figure")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1212</v>
      </c>
      <c r="L125">
        <v>24.206563899999999</v>
      </c>
      <c r="M125">
        <v>154.47124946097318</v>
      </c>
      <c r="N125">
        <v>-0.6003272140286785</v>
      </c>
      <c r="O125" s="1" t="str">
        <f>HYPERLINK(".\sm_car_250504_0030\sm_car_250504_0030_124_Ca142TrN_MaLSS_ode23t_1.png","figure")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352</v>
      </c>
      <c r="L126">
        <v>14.805773200000001</v>
      </c>
      <c r="M126">
        <v>95.784341217014443</v>
      </c>
      <c r="N126">
        <v>-3.2159605762589159E-2</v>
      </c>
      <c r="O126" s="1" t="str">
        <f>HYPERLINK(".\sm_car_250504_0030\sm_car_250504_0030_125_Ca145TrN_MaWOT_ode23t_1.png","figure")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446</v>
      </c>
      <c r="L127">
        <v>17.022385100000001</v>
      </c>
      <c r="M127">
        <v>25.002044330792856</v>
      </c>
      <c r="N127">
        <v>-4.968052471941032E-2</v>
      </c>
      <c r="O127" s="1" t="str">
        <f>HYPERLINK(".\sm_car_250504_0030\sm_car_250504_0030_126_Ca145TrN_MaLSS_ode23t_1.png","figure")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336</v>
      </c>
      <c r="L128">
        <v>10.595110200000001</v>
      </c>
      <c r="M128">
        <v>113.96637343019812</v>
      </c>
      <c r="N128">
        <v>0.53194984254093269</v>
      </c>
      <c r="O128" s="1" t="str">
        <f>HYPERLINK(".\sm_car_250504_0030\sm_car_250504_0030_127_Ca146TrN_MaWOT_ode23t_1.png","figure")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470</v>
      </c>
      <c r="L129">
        <v>12.925246899999999</v>
      </c>
      <c r="M129">
        <v>35.604306892032334</v>
      </c>
      <c r="N129">
        <v>-2.7703423294080778E-2</v>
      </c>
      <c r="O129" s="1" t="str">
        <f>HYPERLINK(".\sm_car_250504_0030\sm_car_250504_0030_128_Ca146TrN_MaLSS_ode23t_1.png","figure")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336</v>
      </c>
      <c r="L130">
        <v>10.5154763</v>
      </c>
      <c r="M130">
        <v>113.96637343019812</v>
      </c>
      <c r="N130">
        <v>0.53194984254093269</v>
      </c>
      <c r="O130" s="1" t="str">
        <f>HYPERLINK(".\sm_car_250504_0030\sm_car_250504_0030_129_Ca146TrN_MaWOT_ode23t_1.png","figure")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470</v>
      </c>
      <c r="L131">
        <v>13.0597812</v>
      </c>
      <c r="M131">
        <v>35.604306892032334</v>
      </c>
      <c r="N131">
        <v>-2.7703423294080778E-2</v>
      </c>
      <c r="O131" s="1" t="str">
        <f>HYPERLINK(".\sm_car_250504_0030\sm_car_250504_0030_130_Ca146TrN_MaLSS_ode23t_1.png","figure")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564</v>
      </c>
      <c r="L132">
        <v>27.3786296</v>
      </c>
      <c r="M132">
        <v>179.80882833822685</v>
      </c>
      <c r="N132">
        <v>0.2926179607627436</v>
      </c>
      <c r="O132" s="1" t="str">
        <f>HYPERLINK(".\sm_car_250504_0030\sm_car_250504_0030_131_Ca161TrN_MaWOT_ode23t_1.png","figure")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705</v>
      </c>
      <c r="L133">
        <v>30.640837099999999</v>
      </c>
      <c r="M133">
        <v>154.17998389525047</v>
      </c>
      <c r="N133">
        <v>-0.56015388386184506</v>
      </c>
      <c r="O133" s="1" t="str">
        <f>HYPERLINK(".\sm_car_250504_0030\sm_car_250504_0030_132_Ca161TrN_MaLSS_ode23t_1.png","figure")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643</v>
      </c>
      <c r="L134">
        <v>33.848515300000003</v>
      </c>
      <c r="M134">
        <v>277.45516875668187</v>
      </c>
      <c r="N134">
        <v>0.73571609495846835</v>
      </c>
      <c r="O134" s="1" t="str">
        <f>HYPERLINK(".\sm_car_250504_0030\sm_car_250504_0030_133_Ca163TrN_MaWOT_ode23t_1.png","figure")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846</v>
      </c>
      <c r="L135">
        <v>40.7559605</v>
      </c>
      <c r="M135">
        <v>256.38894840938093</v>
      </c>
      <c r="N135">
        <v>-0.85092937979781846</v>
      </c>
      <c r="O135" s="1" t="str">
        <f>HYPERLINK(".\sm_car_250504_0030\sm_car_250504_0030_134_Ca163TrN_MaLSS_ode23t_1.png","figure")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303</v>
      </c>
      <c r="L136">
        <v>14.0341787</v>
      </c>
      <c r="M136">
        <v>294.61861462651581</v>
      </c>
      <c r="N136">
        <v>-1.3317490414991469E-3</v>
      </c>
      <c r="O136" s="1" t="str">
        <f>HYPERLINK(".\sm_car_250504_0030\sm_car_250504_0030_135_Ca184TrN_MaWOT_ode23t_1.png","figure")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452</v>
      </c>
      <c r="L137">
        <v>11.784649399999999</v>
      </c>
      <c r="M137">
        <v>103.56748706242969</v>
      </c>
      <c r="N137">
        <v>-0.2062162036330723</v>
      </c>
      <c r="O137" s="1" t="str">
        <f>HYPERLINK(".\sm_car_250504_0030\sm_car_250504_0030_136_Ca184TrN_MaLSS_ode23t_1.png","figure")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119</v>
      </c>
      <c r="G138" t="s">
        <v>26</v>
      </c>
      <c r="H138" t="s">
        <v>21</v>
      </c>
      <c r="I138" t="s">
        <v>22</v>
      </c>
      <c r="J138" t="s">
        <v>23</v>
      </c>
      <c r="K138">
        <v>729</v>
      </c>
      <c r="L138">
        <v>30.4455122</v>
      </c>
      <c r="M138">
        <v>278.62128877822073</v>
      </c>
      <c r="N138">
        <v>0.73295298735630598</v>
      </c>
      <c r="O138" s="1" t="str">
        <f>HYPERLINK(".\sm_car_250504_0030\sm_car_250504_0030_137_Ca217TrN_MaWOT_ode23t_1.png","figure")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119</v>
      </c>
      <c r="G139" t="s">
        <v>26</v>
      </c>
      <c r="H139" t="s">
        <v>21</v>
      </c>
      <c r="I139" t="s">
        <v>24</v>
      </c>
      <c r="J139" t="s">
        <v>23</v>
      </c>
      <c r="K139">
        <v>859</v>
      </c>
      <c r="L139">
        <v>34.8426045</v>
      </c>
      <c r="M139">
        <v>110.09469360360764</v>
      </c>
      <c r="N139">
        <v>-0.35984329660241815</v>
      </c>
      <c r="O139" s="1" t="str">
        <f>HYPERLINK(".\sm_car_250504_0030\sm_car_250504_0030_138_Ca217TrN_MaLSS_ode23t_1.png","figure")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788</v>
      </c>
      <c r="L140">
        <v>10.8852081</v>
      </c>
      <c r="M140">
        <v>254.56755346610959</v>
      </c>
      <c r="N140">
        <v>3.4300814467833618E-3</v>
      </c>
      <c r="O140" s="1" t="str">
        <f>HYPERLINK(".\sm_car_250504_0030\sm_car_250504_0030_139_Ca012TrN_MaDLC_ode23t_1.png","figure")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934</v>
      </c>
      <c r="L141">
        <v>14.867041800000001</v>
      </c>
      <c r="M141">
        <v>74.80337315681976</v>
      </c>
      <c r="N141">
        <v>0.71996541367414357</v>
      </c>
      <c r="O141" s="1" t="str">
        <f>HYPERLINK(".\sm_car_250504_0030\sm_car_250504_0030_140_Ca012TrN_MaIPA_ode23t_1.png","figure")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769</v>
      </c>
      <c r="L142">
        <v>13.924899399999999</v>
      </c>
      <c r="M142">
        <v>254.93900914304851</v>
      </c>
      <c r="N142">
        <v>-5.1560561439165653E-3</v>
      </c>
      <c r="O142" s="1" t="str">
        <f>HYPERLINK(".\sm_car_250504_0030\sm_car_250504_0030_141_Ca142TrN_MaDLC_ode23t_1.png","figure")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4053</v>
      </c>
      <c r="L143">
        <v>220.11040729999999</v>
      </c>
      <c r="M143">
        <v>83.374200927343409</v>
      </c>
      <c r="N143">
        <v>0.85125925163743199</v>
      </c>
      <c r="O143" s="1" t="str">
        <f>HYPERLINK(".\sm_car_250504_0030\sm_car_250504_0030_142_Ca142TrN_MaIPA_ode23t_1.png","figure")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482</v>
      </c>
      <c r="L144">
        <v>17.351918099999999</v>
      </c>
      <c r="M144">
        <v>254.04862716118646</v>
      </c>
      <c r="N144">
        <v>4.6125644345754502E-2</v>
      </c>
      <c r="O144" s="1" t="str">
        <f>HYPERLINK(".\sm_car_250504_0030\sm_car_250504_0030_143_Ca145TrN_MaDLC_ode23t_1.png","figure")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297</v>
      </c>
      <c r="L145">
        <v>12.4737993</v>
      </c>
      <c r="M145">
        <v>28.087937575919817</v>
      </c>
      <c r="N145">
        <v>1.5884426876861382E-2</v>
      </c>
      <c r="O145" s="1" t="str">
        <f>HYPERLINK(".\sm_car_250504_0030\sm_car_250504_0030_144_Ca145TrN_MaIPA_ode23t_1.png","figure")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118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413</v>
      </c>
      <c r="L146">
        <v>11.2876069</v>
      </c>
      <c r="M146">
        <v>254.78912772422149</v>
      </c>
      <c r="N146">
        <v>1.1784061472128293E-2</v>
      </c>
      <c r="O146" s="1" t="str">
        <f>HYPERLINK(".\sm_car_250504_0030\sm_car_250504_0030_145_Ca184TrN_MaDLC_ode23t_1.png","figure")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118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324</v>
      </c>
      <c r="L147">
        <v>12.9824321</v>
      </c>
      <c r="M147">
        <v>55.272287524615116</v>
      </c>
      <c r="N147">
        <v>5.8143175242799973E-3</v>
      </c>
      <c r="O147" s="1" t="str">
        <f>HYPERLINK(".\sm_car_250504_0030\sm_car_250504_0030_146_Ca184TrN_MaIPA_ode23t_1.png","figure")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1939</v>
      </c>
      <c r="L148">
        <v>25.3055275</v>
      </c>
      <c r="M148">
        <v>254.9216130267115</v>
      </c>
      <c r="N148">
        <v>1.5373757324219639E-2</v>
      </c>
      <c r="O148" s="1" t="str">
        <f>HYPERLINK(".\sm_car_250504_0030\sm_car_250504_0030_147_Ca204TrN_MaDLC_ode23t_1.png","figure")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696</v>
      </c>
      <c r="L149">
        <v>13.000821200000001</v>
      </c>
      <c r="M149">
        <v>26.03878583446588</v>
      </c>
      <c r="N149">
        <v>9.656234380282791E-3</v>
      </c>
      <c r="O149" s="1" t="str">
        <f>HYPERLINK(".\sm_car_250504_0030\sm_car_250504_0030_148_Ca204TrN_MaIPA_ode23t_1.png","figure")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2709</v>
      </c>
      <c r="L150">
        <v>27.878763800000002</v>
      </c>
      <c r="M150">
        <v>-1.9832088175955415E-2</v>
      </c>
      <c r="N150">
        <v>-0.62242011767314442</v>
      </c>
      <c r="O150" s="1" t="str">
        <f>HYPERLINK(".\sm_car_250504_0030\sm_car_250504_0030_149_Ca012TrN_MaMPK_ode23t_1.png","figure")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3118</v>
      </c>
      <c r="L151">
        <v>30.388242000000002</v>
      </c>
      <c r="M151">
        <v>0.78837264641392935</v>
      </c>
      <c r="N151">
        <v>-0.32246742608560847</v>
      </c>
      <c r="O151" s="1" t="str">
        <f>HYPERLINK(".\sm_car_250504_0030\sm_car_250504_0030_150_Ca012TrN_MaMPC_ode23t_1.png","figure")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2594</v>
      </c>
      <c r="L152">
        <v>59.173871900000002</v>
      </c>
      <c r="M152">
        <v>-1.9356637570327309E-2</v>
      </c>
      <c r="N152">
        <v>-0.5470011623407125</v>
      </c>
      <c r="O152" s="1" t="str">
        <f>HYPERLINK(".\sm_car_250504_0030\sm_car_250504_0030_151_Ca142TrN_MaMPK_ode23t_1.png","figure")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3168</v>
      </c>
      <c r="L153">
        <v>68.258150799999996</v>
      </c>
      <c r="M153">
        <v>0.78694535202073723</v>
      </c>
      <c r="N153">
        <v>-0.36517971173358654</v>
      </c>
      <c r="O153" s="1" t="str">
        <f>HYPERLINK(".\sm_car_250504_0030\sm_car_250504_0030_152_Ca142TrN_MaMPC_ode23t_1.png","figure")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2875</v>
      </c>
      <c r="L154">
        <v>12.2449268</v>
      </c>
      <c r="M154">
        <v>-1.8509656634008192E-2</v>
      </c>
      <c r="N154">
        <v>-0.52476092655518158</v>
      </c>
      <c r="O154" s="1" t="str">
        <f>HYPERLINK(".\sm_car_250504_0030\sm_car_250504_0030_153_Ca116TrN_MaMPK_ode23t_1.png","figure")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3388</v>
      </c>
      <c r="L155">
        <v>13.078140299999999</v>
      </c>
      <c r="M155">
        <v>0.78926199658838136</v>
      </c>
      <c r="N155">
        <v>-0.35487179423851195</v>
      </c>
      <c r="O155" s="1" t="str">
        <f>HYPERLINK(".\sm_car_250504_0030\sm_car_250504_0030_154_Ca116TrN_MaMPC_ode23t_1.png","figure")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2701</v>
      </c>
      <c r="L156">
        <v>51.812607700000001</v>
      </c>
      <c r="M156">
        <v>-1.3804232791276225E-2</v>
      </c>
      <c r="N156">
        <v>-0.38967953667833405</v>
      </c>
      <c r="O156" s="1" t="str">
        <f>HYPERLINK(".\sm_car_250504_0030\sm_car_250504_0030_155_Ca143TrN_MaMPK_ode23t_1.png","figure")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2909</v>
      </c>
      <c r="L157">
        <v>65.334283900000003</v>
      </c>
      <c r="M157">
        <v>0.78714814365045349</v>
      </c>
      <c r="N157">
        <v>-0.25890507788717221</v>
      </c>
      <c r="O157" s="1" t="str">
        <f>HYPERLINK(".\sm_car_250504_0030\sm_car_250504_0030_156_Ca143TrN_MaMPC_ode23t_1.png","figure")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3158</v>
      </c>
      <c r="L158">
        <v>39.002481699999997</v>
      </c>
      <c r="M158">
        <v>-1.8752987959798489E-2</v>
      </c>
      <c r="N158">
        <v>-0.55556168288478835</v>
      </c>
      <c r="O158" s="1" t="str">
        <f>HYPERLINK(".\sm_car_250504_0030\sm_car_250504_0030_157_Ca166TrN_MaMPK_ode23t_1.png","figure")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3570</v>
      </c>
      <c r="L159">
        <v>44.893023800000002</v>
      </c>
      <c r="M159">
        <v>0.78781336888090614</v>
      </c>
      <c r="N159">
        <v>-0.35629960252567766</v>
      </c>
      <c r="O159" s="1" t="str">
        <f>HYPERLINK(".\sm_car_250504_0030\sm_car_250504_0030_158_Ca166TrN_MaMPC_ode23t_1.png","figure")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3136</v>
      </c>
      <c r="L160">
        <v>35.495936200000003</v>
      </c>
      <c r="M160">
        <v>-1.9231786958452665E-2</v>
      </c>
      <c r="N160">
        <v>-0.55639130819228488</v>
      </c>
      <c r="O160" s="1" t="str">
        <f>HYPERLINK(".\sm_car_250504_0030\sm_car_250504_0030_159_Ca169TrN_MaMPK_ode23t_1.png","figure")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3378</v>
      </c>
      <c r="L161">
        <v>37.799440699999998</v>
      </c>
      <c r="M161">
        <v>0.78830270097702382</v>
      </c>
      <c r="N161">
        <v>-0.35562755635938953</v>
      </c>
      <c r="O161" s="1" t="str">
        <f>HYPERLINK(".\sm_car_250504_0030\sm_car_250504_0030_160_Ca169TrN_MaMPC_ode23t_1.png","figure")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118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2097</v>
      </c>
      <c r="L162">
        <v>52.006005899999998</v>
      </c>
      <c r="M162">
        <v>6.408517332402594E-3</v>
      </c>
      <c r="N162">
        <v>-0.69731076330967923</v>
      </c>
      <c r="O162" s="1" t="str">
        <f>HYPERLINK(".\sm_car_250504_0030\sm_car_250504_0030_161_Ca184TrN_MaMPK_ode23t_1.png","figure")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118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2152</v>
      </c>
      <c r="L163">
        <v>47.929106500000003</v>
      </c>
      <c r="M163">
        <v>0.78856473189526</v>
      </c>
      <c r="N163">
        <v>-0.32948899606388127</v>
      </c>
      <c r="O163" s="1" t="str">
        <f>HYPERLINK(".\sm_car_250504_0030\sm_car_250504_0030_162_Ca184TrN_MaMPC_ode23t_1.png","figure")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3140</v>
      </c>
      <c r="L164">
        <v>31.587569999999999</v>
      </c>
      <c r="M164">
        <v>-1.8488347049206919E-2</v>
      </c>
      <c r="N164">
        <v>-0.55641372755116369</v>
      </c>
      <c r="O164" s="1" t="str">
        <f>HYPERLINK(".\sm_car_250504_0030\sm_car_250504_0030_163_Ca195TrN_MaMPK_ode23t_1.png","figure")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3367</v>
      </c>
      <c r="L165">
        <v>32.834861099999998</v>
      </c>
      <c r="M165">
        <v>0.78938059001284699</v>
      </c>
      <c r="N165">
        <v>-0.35565609401938386</v>
      </c>
      <c r="O165" s="1" t="str">
        <f>HYPERLINK(".\sm_car_250504_0030\sm_car_250504_0030_164_Ca195TrN_MaMPC_ode23t_1.png","figure")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118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2156</v>
      </c>
      <c r="L166">
        <v>29.215249</v>
      </c>
      <c r="M166">
        <v>-2.2206297498885127E-2</v>
      </c>
      <c r="N166">
        <v>-0.69668816977379155</v>
      </c>
      <c r="O166" s="1" t="str">
        <f>HYPERLINK(".\sm_car_250504_0030\sm_car_250504_0030_165_Ca198TrN_MaMPK_ode23t_1.png","figure")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118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2179</v>
      </c>
      <c r="L167">
        <v>29.516516899999999</v>
      </c>
      <c r="M167">
        <v>0.78783815698287896</v>
      </c>
      <c r="N167">
        <v>-0.32938658306139701</v>
      </c>
      <c r="O167" s="1" t="str">
        <f>HYPERLINK(".\sm_car_250504_0030\sm_car_250504_0030_166_Ca198TrN_MaMPC_ode23t_1.png","figure")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518</v>
      </c>
      <c r="L168">
        <v>12.979111400000001</v>
      </c>
      <c r="M168">
        <v>72.55944644445708</v>
      </c>
      <c r="N168">
        <v>-0.80539648132627717</v>
      </c>
      <c r="O168" s="1" t="str">
        <f>HYPERLINK(".\sm_car_250504_0030\sm_car_250504_0030_167_Ca151TrN_MaLSS_ode23t_1.png","figure")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523</v>
      </c>
      <c r="L169">
        <v>13.185181</v>
      </c>
      <c r="M169">
        <v>70.954251952345629</v>
      </c>
      <c r="N169">
        <v>-0.53260339051132244</v>
      </c>
      <c r="O169" s="1" t="str">
        <f>HYPERLINK(".\sm_car_250504_0030\sm_car_250504_0030_168_Ca152TrN_MaLSS_ode23t_1.png","figure")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539</v>
      </c>
      <c r="L170">
        <v>14.917985</v>
      </c>
      <c r="M170">
        <v>70.793782241466886</v>
      </c>
      <c r="N170">
        <v>-0.86742377551217786</v>
      </c>
      <c r="O170" s="1" t="str">
        <f>HYPERLINK(".\sm_car_250504_0030\sm_car_250504_0030_169_Ca153TrN_MaLSS_ode23t_1.png","figure")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497</v>
      </c>
      <c r="L171">
        <v>16.355338499999998</v>
      </c>
      <c r="M171">
        <v>70.985450404960659</v>
      </c>
      <c r="N171">
        <v>-0.35698141692399177</v>
      </c>
      <c r="O171" s="1" t="str">
        <f>HYPERLINK(".\sm_car_250504_0030\sm_car_250504_0030_170_Ca154TrN_MaLSS_ode23t_1.png","figure")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551</v>
      </c>
      <c r="L172">
        <v>18.448410599999999</v>
      </c>
      <c r="M172">
        <v>70.844847620116653</v>
      </c>
      <c r="N172">
        <v>-0.84652442265511008</v>
      </c>
      <c r="O172" s="1" t="str">
        <f>HYPERLINK(".\sm_car_250504_0030\sm_car_250504_0030_171_Ca155TrN_MaLSS_ode23t_1.png","figure")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>
        <v>8.9171881000000006</v>
      </c>
      <c r="M173">
        <v>231.3822468142121</v>
      </c>
      <c r="N173">
        <v>2.2339716427625142E-3</v>
      </c>
      <c r="O173" s="1" t="str">
        <f>HYPERLINK(".\sm_car_250504_0030\sm_car_250504_0030_172_Ca004TrN_MaWOT_ode3_1.png","figure")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>
        <v>7.3305471999999998</v>
      </c>
      <c r="M174">
        <v>71.251895404577766</v>
      </c>
      <c r="N174">
        <v>-0.54030571151127782</v>
      </c>
      <c r="O174" s="1" t="str">
        <f>HYPERLINK(".\sm_car_250504_0030\sm_car_250504_0030_173_Ca004TrN_MaLSS_ode3_1.png","figure")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>
        <v>7.2721292000000002</v>
      </c>
      <c r="M175">
        <v>63.784285151082628</v>
      </c>
      <c r="N175">
        <v>-25.042725613120531</v>
      </c>
      <c r="O175" s="1" t="str">
        <f>HYPERLINK(".\sm_car_250504_0030\sm_car_250504_0030_174_Ca004TrN_MaTUR_ode3_1.png","figure")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>
        <v>3.8186306999999999</v>
      </c>
      <c r="M176">
        <v>242.69607455502108</v>
      </c>
      <c r="N176">
        <v>0.236354456482231</v>
      </c>
      <c r="O176" s="1" t="str">
        <f>HYPERLINK(".\sm_car_250504_0030\sm_car_250504_0030_175_Ca116TrN_MaWOT_ode3_1.png","figure")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>
        <v>3.1409638000000002</v>
      </c>
      <c r="M177">
        <v>74.657190766459138</v>
      </c>
      <c r="N177">
        <v>-0.34075824603539334</v>
      </c>
      <c r="O177" s="1" t="str">
        <f>HYPERLINK(".\sm_car_250504_0030\sm_car_250504_0030_176_Ca116TrN_MaLSS_ode3_1.png","figure")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>
        <v>3.1685813999999999</v>
      </c>
      <c r="M178">
        <v>71.322015475142095</v>
      </c>
      <c r="N178">
        <v>-17.590329134054983</v>
      </c>
      <c r="O178" s="1" t="str">
        <f>HYPERLINK(".\sm_car_250504_0030\sm_car_250504_0030_177_Ca116TrN_MaTUR_ode3_1.png","figure")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>
        <v>2.2951362</v>
      </c>
      <c r="M179">
        <v>242.87242715682305</v>
      </c>
      <c r="N179">
        <v>0.2361586466438336</v>
      </c>
      <c r="O179" s="1" t="str">
        <f>HYPERLINK(".\sm_car_250504_0030\sm_car_250504_0030_178_Ca124TrN_MaWOT_ode3_1.png","figure")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>
        <v>1.8814914</v>
      </c>
      <c r="M180">
        <v>74.796106048085093</v>
      </c>
      <c r="N180">
        <v>-0.34233746660015291</v>
      </c>
      <c r="O180" s="1" t="str">
        <f>HYPERLINK(".\sm_car_250504_0030\sm_car_250504_0030_179_Ca124TrN_MaLSS_ode3_1.png","figure")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>
        <v>1.8701289999999999</v>
      </c>
      <c r="M181">
        <v>71.447408139063199</v>
      </c>
      <c r="N181">
        <v>-17.636376356645247</v>
      </c>
      <c r="O181" s="1" t="str">
        <f>HYPERLINK(".\sm_car_250504_0030\sm_car_250504_0030_180_Ca124TrN_MaTUR_ode3_1.png","figure")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>
        <v>12.5477063</v>
      </c>
      <c r="M182">
        <v>405.28915147151878</v>
      </c>
      <c r="N182">
        <v>1.5948272595674267</v>
      </c>
      <c r="O182" s="1" t="str">
        <f>HYPERLINK(".\sm_car_250504_0030\sm_car_250504_0030_181_Ca141TrN_MaWOT_ode3_1.png","figure")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>
        <v>10.3727432</v>
      </c>
      <c r="M183">
        <v>154.46780340462431</v>
      </c>
      <c r="N183">
        <v>-0.58059592590144582</v>
      </c>
      <c r="O183" s="1" t="str">
        <f>HYPERLINK(".\sm_car_250504_0030\sm_car_250504_0030_182_Ca141TrN_MaLSS_ode3_1.png","figure")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>
        <v>10.657504899999999</v>
      </c>
      <c r="M184">
        <v>98.347174839197066</v>
      </c>
      <c r="N184">
        <v>-87.521160458158107</v>
      </c>
      <c r="O184" s="1" t="str">
        <f>HYPERLINK(".\sm_car_250504_0030\sm_car_250504_0030_183_Ca141TrN_MaTUR_ode3_1.png","figure")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2856</v>
      </c>
      <c r="L185">
        <v>7.8211266000000004</v>
      </c>
      <c r="M185">
        <v>96.143293584542477</v>
      </c>
      <c r="N185">
        <v>8.6318522634519414E-4</v>
      </c>
      <c r="O185" s="1" t="str">
        <f>HYPERLINK(".\sm_car_250504_0030\sm_car_250504_0030_184_Ca145TrN_MaWOT_ode3_1.png","figure")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2385</v>
      </c>
      <c r="L186">
        <v>6.5874876000000002</v>
      </c>
      <c r="M186">
        <v>25.351601817833707</v>
      </c>
      <c r="N186">
        <v>-4.1368589281911311E-2</v>
      </c>
      <c r="O186" s="1" t="str">
        <f>HYPERLINK(".\sm_car_250504_0030\sm_car_250504_0030_185_Ca145TrN_MaLSS_ode3_1.png","figure")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>
        <v>6.8130721000000003</v>
      </c>
      <c r="M187">
        <v>25.137842847097982</v>
      </c>
      <c r="N187">
        <v>-2.6089117989709583</v>
      </c>
      <c r="O187" s="1" t="str">
        <f>HYPERLINK(".\sm_car_250504_0030\sm_car_250504_0030_186_Ca145TrN_MaTUR_ode3_1.png","figure")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2856</v>
      </c>
      <c r="L188">
        <v>9.0781817</v>
      </c>
      <c r="M188">
        <v>96.874498520697102</v>
      </c>
      <c r="N188">
        <v>0.14711541262466793</v>
      </c>
      <c r="O188" s="1" t="str">
        <f>HYPERLINK(".\sm_car_250504_0030\sm_car_250504_0030_187_Ca199TrN_MaWOT_ode3_1.png","figure")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2387</v>
      </c>
      <c r="L189">
        <v>7.2954432999999996</v>
      </c>
      <c r="M189">
        <v>25.965300865011024</v>
      </c>
      <c r="N189">
        <v>-2.8433107238327707E-2</v>
      </c>
      <c r="O189" s="1" t="str">
        <f>HYPERLINK(".\sm_car_250504_0030\sm_car_250504_0030_188_Ca199TrN_MaLSS_ode3_1.png","figure")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2381</v>
      </c>
      <c r="L190">
        <v>7.3589678000000003</v>
      </c>
      <c r="M190">
        <v>25.753072775503231</v>
      </c>
      <c r="N190">
        <v>-2.6780294853401752</v>
      </c>
      <c r="O190" s="1" t="str">
        <f>HYPERLINK(".\sm_car_250504_0030\sm_car_250504_0030_189_Ca199TrN_MaTUR_ode3_1.png","figure")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548</v>
      </c>
      <c r="L191">
        <v>9.1281844999999997</v>
      </c>
      <c r="M191">
        <v>255.56624984098573</v>
      </c>
      <c r="N191">
        <v>-5.7269309335046259E-3</v>
      </c>
      <c r="O191" s="1" t="str">
        <f>HYPERLINK(".\sm_car_250504_0030\sm_car_250504_0030_190_Ca139TrN_MaDLC_ode23t_1.png","figure")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883</v>
      </c>
      <c r="L192">
        <v>29.0504961</v>
      </c>
      <c r="M192">
        <v>253.22410691867225</v>
      </c>
      <c r="N192">
        <v>0.18244743278496145</v>
      </c>
      <c r="O192" s="1" t="str">
        <f>HYPERLINK(".\sm_car_250504_0030\sm_car_250504_0030_191_Ca139TrE_MaDLC_ode23t_1.png","figure")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1004</v>
      </c>
      <c r="L193">
        <v>34.4748144</v>
      </c>
      <c r="M193">
        <v>253.77297082584727</v>
      </c>
      <c r="N193">
        <v>-6.1375055223464869E-3</v>
      </c>
      <c r="O193" s="1" t="str">
        <f>HYPERLINK(".\sm_car_250504_0030\sm_car_250504_0030_192_Ca139TrT_MaDLC_ode23t_1.png","figure")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781</v>
      </c>
      <c r="L194">
        <v>19.500825599999999</v>
      </c>
      <c r="M194">
        <v>253.64461103300789</v>
      </c>
      <c r="N194">
        <v>1.218953523107924E-2</v>
      </c>
      <c r="O194" s="1" t="str">
        <f>HYPERLINK(".\sm_car_250504_0030\sm_car_250504_0030_193_Ca139TrE_MaDLC_ode23t_1.png","figure")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634</v>
      </c>
      <c r="L195">
        <v>9.5845117000000002</v>
      </c>
      <c r="M195">
        <v>253.91115773787038</v>
      </c>
      <c r="N195">
        <v>3.3388393556927909E-3</v>
      </c>
      <c r="O195" s="1" t="str">
        <f>HYPERLINK(".\sm_car_250504_0030\sm_car_250504_0030_194_Ca002TrN_MaDLC_ode23t_1.png","figure")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789</v>
      </c>
      <c r="L196">
        <v>20.917939700000002</v>
      </c>
      <c r="M196">
        <v>253.20324919159282</v>
      </c>
      <c r="N196">
        <v>3.7223283182434841E-3</v>
      </c>
      <c r="O196" s="1" t="str">
        <f>HYPERLINK(".\sm_car_250504_0030\sm_car_250504_0030_195_Ca002TrE_MaDLC_ode23t_1.png","figure")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941</v>
      </c>
      <c r="L197">
        <v>26.756033500000001</v>
      </c>
      <c r="M197">
        <v>253.58872923846633</v>
      </c>
      <c r="N197">
        <v>3.5267799506550901E-3</v>
      </c>
      <c r="O197" s="1" t="str">
        <f>HYPERLINK(".\sm_car_250504_0030\sm_car_250504_0030_196_Ca002TrT_MaDLC_ode23t_1.png","figure")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802</v>
      </c>
      <c r="L198">
        <v>16.283158199999999</v>
      </c>
      <c r="M198">
        <v>253.84040929906644</v>
      </c>
      <c r="N198">
        <v>3.3898343936087372E-3</v>
      </c>
      <c r="O198" s="1" t="str">
        <f>HYPERLINK(".\sm_car_250504_0030\sm_car_250504_0030_197_Ca002TrE_MaDLC_ode23t_1.png","figure")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482</v>
      </c>
      <c r="L199">
        <v>17.604190599999999</v>
      </c>
      <c r="M199">
        <v>254.04862716118646</v>
      </c>
      <c r="N199">
        <v>4.6125644345754502E-2</v>
      </c>
      <c r="O199" s="1" t="str">
        <f>HYPERLINK(".\sm_car_250504_0030\sm_car_250504_0030_198_Ca145TrN_MaDLC_ode23t_1.png","figure")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555</v>
      </c>
      <c r="L200">
        <v>32.946435800000003</v>
      </c>
      <c r="M200">
        <v>253.42233338195126</v>
      </c>
      <c r="N200">
        <v>4.8940038412821352E-2</v>
      </c>
      <c r="O200" s="1" t="str">
        <f>HYPERLINK(".\sm_car_250504_0030\sm_car_250504_0030_199_Ca145TrE_MaDLC_ode23t_1.png","figure")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610</v>
      </c>
      <c r="L201">
        <v>35.344794100000001</v>
      </c>
      <c r="M201">
        <v>254.98767786044999</v>
      </c>
      <c r="N201">
        <v>4.2893996050388239E-2</v>
      </c>
      <c r="O201" s="1" t="str">
        <f>HYPERLINK(".\sm_car_250504_0030\sm_car_250504_0030_200_Ca145TrT_MaDLC_ode23t_1.png","figure")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553</v>
      </c>
      <c r="L202">
        <v>27.485191199999999</v>
      </c>
      <c r="M202">
        <v>253.34024398630083</v>
      </c>
      <c r="N202">
        <v>4.9259557860444225E-2</v>
      </c>
      <c r="O202" s="1" t="str">
        <f>HYPERLINK(".\sm_car_250504_0030\sm_car_250504_0030_201_Ca145TrE_MaDLC_ode23t_1.png","figure")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483</v>
      </c>
      <c r="L203">
        <v>6.9046108000000004</v>
      </c>
      <c r="M203">
        <v>255.34504044564869</v>
      </c>
      <c r="N203">
        <v>4.1418899807965204E-2</v>
      </c>
      <c r="O203" s="1" t="str">
        <f>HYPERLINK(".\sm_car_250504_0030\sm_car_250504_0030_202_Ca199TrN_MaDLC_ode23t_1.png","figure")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555</v>
      </c>
      <c r="L204">
        <v>16.201291099999999</v>
      </c>
      <c r="M204">
        <v>254.12572454282088</v>
      </c>
      <c r="N204">
        <v>4.6215472975583261E-2</v>
      </c>
      <c r="O204" s="1" t="str">
        <f>HYPERLINK(".\sm_car_250504_0030\sm_car_250504_0030_203_Ca199TrE_MaDLC_ode23t_1.png","figure")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667</v>
      </c>
      <c r="L205">
        <v>19.002849099999999</v>
      </c>
      <c r="M205">
        <v>254.98823414797693</v>
      </c>
      <c r="N205">
        <v>4.2631104830484823E-2</v>
      </c>
      <c r="O205" s="1" t="str">
        <f>HYPERLINK(".\sm_car_250504_0030\sm_car_250504_0030_204_Ca199TrT_MaDLC_ode23t_1.png","figure")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550</v>
      </c>
      <c r="L206">
        <v>11.8883703</v>
      </c>
      <c r="M206">
        <v>254.12716659707991</v>
      </c>
      <c r="N206">
        <v>4.618938606794476E-2</v>
      </c>
      <c r="O206" s="1" t="str">
        <f>HYPERLINK(".\sm_car_250504_0030\sm_car_250504_0030_205_Ca199TrE_MaDLC_ode23t_1.png","figure")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472</v>
      </c>
      <c r="L207">
        <v>11.358140300000001</v>
      </c>
      <c r="M207">
        <v>259.59911335881003</v>
      </c>
      <c r="N207">
        <v>5.0013101039397938</v>
      </c>
      <c r="O207" s="1" t="str">
        <f>HYPERLINK(".\sm_car_250504_0030\sm_car_250504_0030_206_Ca189TrE_MaTRD_ode23t_1.png","figure")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636</v>
      </c>
      <c r="L208">
        <v>13.388476300000001</v>
      </c>
      <c r="M208">
        <v>259.57210013753763</v>
      </c>
      <c r="N208">
        <v>4.9163083246652306</v>
      </c>
      <c r="O208" s="1" t="str">
        <f>HYPERLINK(".\sm_car_250504_0030\sm_car_250504_0030_207_Ca189TrU_MaTRD_ode23t_1.png","figure")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671</v>
      </c>
      <c r="L209">
        <v>9.7459594999999997</v>
      </c>
      <c r="M209">
        <v>-5.9517572795328988E-3</v>
      </c>
      <c r="N209">
        <v>-5.2871457174116787E-4</v>
      </c>
      <c r="O209" s="1" t="str">
        <f>HYPERLINK(".\sm_car_250504_0030\sm_car_250504_0030_208_Ca149TrN_MaPST_ode23t_1.png","figure")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1581</v>
      </c>
      <c r="L210">
        <v>38.1711265</v>
      </c>
      <c r="M210">
        <v>36.714639321410729</v>
      </c>
      <c r="N210">
        <v>0.33757623512539425</v>
      </c>
      <c r="O210" s="1" t="str">
        <f>HYPERLINK(".\sm_car_250504_0030\sm_car_250504_0030_209_Ca139TrN_MaSKD_ode23t_1.png","figure")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1079</v>
      </c>
      <c r="L211">
        <v>32.284868000000003</v>
      </c>
      <c r="M211">
        <v>3.4888061424487837</v>
      </c>
      <c r="N211">
        <v>27.082857060992243</v>
      </c>
      <c r="O211" s="1" t="str">
        <f>HYPERLINK(".\sm_car_250504_0030\sm_car_250504_0030_210_Ca139TrN_MaRAD_ode23t_1.png","figure")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118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1326</v>
      </c>
      <c r="L212">
        <v>49.584705499999998</v>
      </c>
      <c r="M212">
        <v>36.65668435430662</v>
      </c>
      <c r="N212">
        <v>0.23964954791487972</v>
      </c>
      <c r="O212" s="1" t="str">
        <f>HYPERLINK(".\sm_car_250504_0030\sm_car_250504_0030_211_Ca184TrN_MaSKD_ode23t_1.png","figure")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118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626</v>
      </c>
      <c r="L213">
        <v>22.1859188</v>
      </c>
      <c r="M213">
        <v>13.884770448163954</v>
      </c>
      <c r="N213">
        <v>23.76345329938292</v>
      </c>
      <c r="O213" s="1" t="str">
        <f>HYPERLINK(".\sm_car_250504_0030\sm_car_250504_0030_212_Ca184TrN_MaRAD_ode23t_1.png","figure")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118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1417</v>
      </c>
      <c r="L214">
        <v>30.4848502</v>
      </c>
      <c r="M214">
        <v>36.663034660007085</v>
      </c>
      <c r="N214">
        <v>0.23928925486419469</v>
      </c>
      <c r="O214" s="1" t="str">
        <f>HYPERLINK(".\sm_car_250504_0030\sm_car_250504_0030_213_Ca198TrN_MaSKD_ode23t_1.png","figure")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118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668</v>
      </c>
      <c r="L215">
        <v>13.728740200000001</v>
      </c>
      <c r="M215">
        <v>13.858202779551256</v>
      </c>
      <c r="N215">
        <v>23.711039934924685</v>
      </c>
      <c r="O215" s="1" t="str">
        <f>HYPERLINK(".\sm_car_250504_0030\sm_car_250504_0030_214_Ca198TrN_MaRAD_ode23t_1.png","figure")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136</v>
      </c>
      <c r="J216" t="s">
        <v>23</v>
      </c>
      <c r="K216">
        <v>745</v>
      </c>
      <c r="L216">
        <v>10.7222931</v>
      </c>
      <c r="M216">
        <v>120.1184624717705</v>
      </c>
      <c r="N216">
        <v>-15.841798710314515</v>
      </c>
      <c r="O216" s="1" t="str">
        <f>HYPERLINK(".\sm_car_250504_0030\sm_car_250504_0030_215_Ca189TrN_MaFSH_ode23t_1.png","figure")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137</v>
      </c>
      <c r="J217" t="s">
        <v>23</v>
      </c>
      <c r="K217">
        <v>531</v>
      </c>
      <c r="L217">
        <v>7.2640419999999999</v>
      </c>
      <c r="M217">
        <v>117.00407879674476</v>
      </c>
      <c r="N217">
        <v>-9.443706709741015</v>
      </c>
      <c r="O217" s="1" t="str">
        <f>HYPERLINK(".\sm_car_250504_0030\sm_car_250504_0030_216_Ca189TrN_MaSWD_ode23t_1.png","figure")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138</v>
      </c>
      <c r="J218" t="s">
        <v>23</v>
      </c>
      <c r="K218">
        <v>532</v>
      </c>
      <c r="L218">
        <v>8.5881439999999998</v>
      </c>
      <c r="M218">
        <v>100.62996935312827</v>
      </c>
      <c r="N218">
        <v>18.072887976821871</v>
      </c>
      <c r="O218" s="1" t="str">
        <f>HYPERLINK(".\sm_car_250504_0030\sm_car_250504_0030_217_Ca189TrN_MaRST_ode23t_1.png","figure")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139</v>
      </c>
      <c r="J219" t="s">
        <v>23</v>
      </c>
      <c r="K219">
        <v>613</v>
      </c>
      <c r="L219">
        <v>16.5393379</v>
      </c>
      <c r="M219">
        <v>230.87645075033382</v>
      </c>
      <c r="N219">
        <v>6.352960204423197E-2</v>
      </c>
      <c r="O219" s="1" t="str">
        <f>HYPERLINK(".\sm_car_250504_0030\sm_car_250504_0030_218_Ca189TrN_MaSLA_ode23t_1.png","figure")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132</v>
      </c>
      <c r="E220" t="s">
        <v>107</v>
      </c>
      <c r="F220" t="s">
        <v>19</v>
      </c>
      <c r="G220" t="s">
        <v>26</v>
      </c>
      <c r="H220" t="s">
        <v>21</v>
      </c>
      <c r="I220" t="s">
        <v>136</v>
      </c>
      <c r="J220" t="s">
        <v>23</v>
      </c>
      <c r="K220">
        <v>674</v>
      </c>
      <c r="L220">
        <v>6.5383816000000001</v>
      </c>
      <c r="M220">
        <v>90.640841422108068</v>
      </c>
      <c r="N220">
        <v>-21.975333501899875</v>
      </c>
      <c r="O220" s="1" t="str">
        <f>HYPERLINK(".\sm_car_250504_0030\sm_car_250504_0030_219_Ca218TrN_MaFSH_ode23t_1.png","figure")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132</v>
      </c>
      <c r="E221" t="s">
        <v>107</v>
      </c>
      <c r="F221" t="s">
        <v>19</v>
      </c>
      <c r="G221" t="s">
        <v>26</v>
      </c>
      <c r="H221" t="s">
        <v>21</v>
      </c>
      <c r="I221" t="s">
        <v>137</v>
      </c>
      <c r="J221" t="s">
        <v>23</v>
      </c>
      <c r="K221">
        <v>556</v>
      </c>
      <c r="L221">
        <v>4.8907870000000004</v>
      </c>
      <c r="M221">
        <v>125.31006349845396</v>
      </c>
      <c r="N221">
        <v>-8.5953432609937899</v>
      </c>
      <c r="O221" s="1" t="str">
        <f>HYPERLINK(".\sm_car_250504_0030\sm_car_250504_0030_220_Ca218TrN_MaSWD_ode23t_1.png","figure")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132</v>
      </c>
      <c r="E222" t="s">
        <v>107</v>
      </c>
      <c r="F222" t="s">
        <v>19</v>
      </c>
      <c r="G222" t="s">
        <v>26</v>
      </c>
      <c r="H222" t="s">
        <v>21</v>
      </c>
      <c r="I222" t="s">
        <v>138</v>
      </c>
      <c r="J222" t="s">
        <v>23</v>
      </c>
      <c r="K222">
        <v>474</v>
      </c>
      <c r="L222">
        <v>4.8678531999999999</v>
      </c>
      <c r="M222">
        <v>90.663561272187735</v>
      </c>
      <c r="N222">
        <v>28.881664224995401</v>
      </c>
      <c r="O222" s="1" t="str">
        <f>HYPERLINK(".\sm_car_250504_0030\sm_car_250504_0030_221_Ca218TrN_MaRST_ode23t_1.png","figure")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132</v>
      </c>
      <c r="E223" t="s">
        <v>107</v>
      </c>
      <c r="F223" t="s">
        <v>19</v>
      </c>
      <c r="G223" t="s">
        <v>26</v>
      </c>
      <c r="H223" t="s">
        <v>21</v>
      </c>
      <c r="I223" t="s">
        <v>139</v>
      </c>
      <c r="J223" t="s">
        <v>23</v>
      </c>
      <c r="K223">
        <v>566</v>
      </c>
      <c r="L223">
        <v>9.0864604</v>
      </c>
      <c r="M223">
        <v>230.18359254348516</v>
      </c>
      <c r="N223">
        <v>6.6695452690611112E-2</v>
      </c>
      <c r="O223" s="1" t="str">
        <f>HYPERLINK(".\sm_car_250504_0030\sm_car_250504_0030_222_Ca218TrN_MaSLA_ode23t_1.png","figure")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25628</v>
      </c>
      <c r="L224">
        <v>372.16796319999997</v>
      </c>
      <c r="M224">
        <v>19.368499300022677</v>
      </c>
      <c r="N224">
        <v>2.6290013044527196</v>
      </c>
      <c r="O224" s="1" t="str">
        <f>HYPERLINK(".\sm_car_250504_0030\sm_car_250504_0030_223_Ca156TrN_MaIPA_ode23t.png","figure")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18605</v>
      </c>
      <c r="L225">
        <v>273.72822650000001</v>
      </c>
      <c r="M225">
        <v>16.364257471548257</v>
      </c>
      <c r="N225">
        <v>0.56135458902165059</v>
      </c>
      <c r="O225" s="1" t="str">
        <f>HYPERLINK(".\sm_car_250504_0030\sm_car_250504_0030_224_Ca130TrN_MaIPA_ode23t.png","figure")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1367</v>
      </c>
      <c r="L226">
        <v>21.663057599999998</v>
      </c>
      <c r="M226">
        <v>338.79888015746593</v>
      </c>
      <c r="N226">
        <v>0.68954170190603448</v>
      </c>
      <c r="O226" s="1" t="str">
        <f>HYPERLINK(".\sm_car_250504_0030\sm_car_250504_0030_225_Ca171TrN_MaRDP_ode23t_1.png","figure")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1246</v>
      </c>
      <c r="L227">
        <v>11.2168268</v>
      </c>
      <c r="M227">
        <v>137.89560854983438</v>
      </c>
      <c r="N227">
        <v>3.8560457436474314E-2</v>
      </c>
      <c r="O227" s="1" t="str">
        <f>HYPERLINK(".\sm_car_250504_0030\sm_car_250504_0030_226_Ca172TrN_MaRDP_ode23t_1.png","figure")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1458</v>
      </c>
      <c r="L228">
        <v>17.880621399999999</v>
      </c>
      <c r="M228">
        <v>364.33269140095143</v>
      </c>
      <c r="N228">
        <v>0.74448190805698</v>
      </c>
      <c r="O228" s="1" t="str">
        <f>HYPERLINK(".\sm_car_250504_0030\sm_car_250504_0030_227_Ca139TrN_MaZPL_ode23t_1.png","figure")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2094</v>
      </c>
      <c r="L229">
        <v>9.8810003999999996</v>
      </c>
      <c r="M229">
        <v>397.64383078005812</v>
      </c>
      <c r="N229">
        <v>0.34001669269092899</v>
      </c>
      <c r="O229" s="1" t="str">
        <f>HYPERLINK(".\sm_car_250504_0030\sm_car_250504_0030_228_Ca165TrN_MaZPL_ode23t_1.png","figure")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1461</v>
      </c>
      <c r="L230">
        <v>23.2826521</v>
      </c>
      <c r="M230">
        <v>364.34345589183914</v>
      </c>
      <c r="N230">
        <v>0.76312834551201725</v>
      </c>
      <c r="O230" s="1" t="str">
        <f>HYPERLINK(".\sm_car_250504_0030\sm_car_250504_0030_229_Ca171TrN_MaZPL_ode23t_1.png","figure")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506</v>
      </c>
      <c r="L231">
        <v>4.4186072000000003</v>
      </c>
      <c r="M231">
        <v>378.21040444828975</v>
      </c>
      <c r="N231">
        <v>0.32693508783369635</v>
      </c>
      <c r="O231" s="1" t="str">
        <f>HYPERLINK(".\sm_car_250504_0030\sm_car_250504_0030_230_Ca165TrN_MaCPL_ode23t_1.png","figure")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468</v>
      </c>
      <c r="L232">
        <v>2.9233934000000001</v>
      </c>
      <c r="M232">
        <v>381.18700598903507</v>
      </c>
      <c r="N232">
        <v>0.33350001790459682</v>
      </c>
      <c r="O232" s="1" t="str">
        <f>HYPERLINK(".\sm_car_250504_0030\sm_car_250504_0030_231_Ca170TrN_MaCPL_ode23t_1.png","figure")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2463</v>
      </c>
      <c r="L233">
        <v>39.7103003</v>
      </c>
      <c r="M233">
        <v>152.37062282797353</v>
      </c>
      <c r="N233">
        <v>1.9312295300180815E-3</v>
      </c>
      <c r="O233" s="1" t="str">
        <f>HYPERLINK(".\sm_car_250504_0030\sm_car_250504_0030_232_Ca171TrN_MaRDR_ode23t_1.png","figure")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2951</v>
      </c>
      <c r="L234">
        <v>26.1963881</v>
      </c>
      <c r="M234">
        <v>146.50478373143818</v>
      </c>
      <c r="N234">
        <v>-4.8548338457181685E-3</v>
      </c>
      <c r="O234" s="1" t="str">
        <f>HYPERLINK(".\sm_car_250504_0030\sm_car_250504_0030_233_Ca172TrN_MaRDR_ode23t_1.png","figure")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2991</v>
      </c>
      <c r="L235">
        <v>33.447894900000001</v>
      </c>
      <c r="M235">
        <v>176.48042123687765</v>
      </c>
      <c r="N235">
        <v>8.7345174314784125E-4</v>
      </c>
      <c r="O235" s="1" t="str">
        <f>HYPERLINK(".\sm_car_250504_0030\sm_car_250504_0030_234_Ca139TrN_MaZRR_ode23t_1.png","figure")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3540</v>
      </c>
      <c r="L236">
        <v>20.241564100000002</v>
      </c>
      <c r="M236">
        <v>176.81224804211891</v>
      </c>
      <c r="N236">
        <v>8.2807909530452535E-5</v>
      </c>
      <c r="O236" s="1" t="str">
        <f>HYPERLINK(".\sm_car_250504_0030\sm_car_250504_0030_235_Ca165TrN_MaZRR_ode23t_1.png","figure")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3003</v>
      </c>
      <c r="L237">
        <v>47.231180899999998</v>
      </c>
      <c r="M237">
        <v>176.48724179235177</v>
      </c>
      <c r="N237">
        <v>8.5757929824075351E-4</v>
      </c>
      <c r="O237" s="1" t="str">
        <f>HYPERLINK(".\sm_car_250504_0030\sm_car_250504_0030_236_Ca171TrN_MaZRR_ode23t_1.png","figure")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5107</v>
      </c>
      <c r="L238">
        <v>17.413445599999999</v>
      </c>
      <c r="M238">
        <v>-5.9944152727863109</v>
      </c>
      <c r="N238">
        <v>2.8339782165120331E-3</v>
      </c>
      <c r="O238" s="1" t="str">
        <f>HYPERLINK(".\sm_car_250504_0030\sm_car_250504_0030_237_Ca170TrN_MaCMP_ode23t_1.png","figure")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1836</v>
      </c>
      <c r="L239">
        <v>11.419553799999999</v>
      </c>
      <c r="M239">
        <v>-5.9996704140607351</v>
      </c>
      <c r="N239">
        <v>2.859357975474448E-3</v>
      </c>
      <c r="O239" s="1" t="str">
        <f>HYPERLINK(".\sm_car_250504_0030\sm_car_250504_0030_238_Ca170TrN_MaCMF_ode23t_1.png","figure")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4600</v>
      </c>
      <c r="L240">
        <v>30.847055000000001</v>
      </c>
      <c r="M240">
        <v>-329.50645620744166</v>
      </c>
      <c r="N240">
        <v>6.0546673298857483</v>
      </c>
      <c r="O240" s="1" t="str">
        <f>HYPERLINK(".\sm_car_250504_0030\sm_car_250504_0030_239_Ca170TrN_MaMPO_ode23t_1.png","figure")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1194</v>
      </c>
      <c r="L241">
        <v>9.1316068999999995</v>
      </c>
      <c r="M241">
        <v>-13.903197414312004</v>
      </c>
      <c r="N241">
        <v>0.20432006847809703</v>
      </c>
      <c r="O241" s="1" t="str">
        <f>HYPERLINK(".\sm_car_250504_0030\sm_car_250504_0030_240_Ca170TrN_MaMCI_ode23t_1.png","figure")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6313</v>
      </c>
      <c r="L242">
        <v>17.550466799999999</v>
      </c>
      <c r="M242">
        <v>-5.9985810214640685</v>
      </c>
      <c r="N242">
        <v>-4.4459912722809945E-3</v>
      </c>
      <c r="O242" s="1" t="str">
        <f>HYPERLINK(".\sm_car_250504_0030\sm_car_250504_0030_241_Ca170TrN_MaCHO_ode23t_1.png","figure")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3464</v>
      </c>
      <c r="L243">
        <v>15.872803299999999</v>
      </c>
      <c r="M243">
        <v>-5.999940910728216</v>
      </c>
      <c r="N243">
        <v>-4.5060792558596716E-3</v>
      </c>
      <c r="O243" s="1" t="str">
        <f>HYPERLINK(".\sm_car_250504_0030\sm_car_250504_0030_242_Ca170TrN_MaCHF_ode23t_1.png","figure")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7090</v>
      </c>
      <c r="L244">
        <v>28.685650299999999</v>
      </c>
      <c r="M244">
        <v>-751.82030553507877</v>
      </c>
      <c r="N244">
        <v>628.25470857279186</v>
      </c>
      <c r="O244" s="1" t="str">
        <f>HYPERLINK(".\sm_car_250504_0030\sm_car_250504_0030_243_Ca170TrN_MaCKY_ode23t_1.png","figure")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2156</v>
      </c>
      <c r="L245">
        <v>14.367605299999999</v>
      </c>
      <c r="M245">
        <v>-758.4539218620472</v>
      </c>
      <c r="N245">
        <v>632.56287303482225</v>
      </c>
      <c r="O245" s="1" t="str">
        <f>HYPERLINK(".\sm_car_250504_0030\sm_car_250504_0030_244_Ca170TrN_MaCKF_ode23t_1.png","figure")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2848</v>
      </c>
      <c r="L246">
        <v>13.2826778</v>
      </c>
      <c r="M246">
        <v>177.30617637322828</v>
      </c>
      <c r="N246">
        <v>288.173801459863</v>
      </c>
      <c r="O246" s="1" t="str">
        <f>HYPERLINK(".\sm_car_250504_0030\sm_car_250504_0030_245_Ca170TrN_MaCNN_ode23t_1.png","figure")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4345</v>
      </c>
      <c r="L247">
        <v>56.0885806</v>
      </c>
      <c r="M247">
        <v>2995.8578163285838</v>
      </c>
      <c r="N247">
        <v>-3063.9218120215965</v>
      </c>
      <c r="O247" s="1" t="str">
        <f>HYPERLINK(".\sm_car_250504_0030\sm_car_250504_0030_246_Ca170TrN_MaCNF_ode23t_1.png","figure")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2934</v>
      </c>
      <c r="L248">
        <v>11.9277344</v>
      </c>
      <c r="M248">
        <v>522.3064414652365</v>
      </c>
      <c r="N248">
        <v>-164.27218302574636</v>
      </c>
      <c r="O248" s="1" t="str">
        <f>HYPERLINK(".\sm_car_250504_0030\sm_car_250504_0030_247_Ca170TrN_MaCSZ_ode23t_1.png","figure")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5680</v>
      </c>
      <c r="L249">
        <v>68.268966399999996</v>
      </c>
      <c r="M249">
        <v>-8.9621935214957649</v>
      </c>
      <c r="N249">
        <v>9.8661446936225191E-3</v>
      </c>
      <c r="O249" s="1" t="str">
        <f>HYPERLINK(".\sm_car_250504_0030\sm_car_250504_0030_248_Ca170TrN_MaCSF_ode23t_1.png","figure")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2234</v>
      </c>
      <c r="L250">
        <v>13.390536600000001</v>
      </c>
      <c r="M250">
        <v>208.95353468854807</v>
      </c>
      <c r="N250">
        <v>379.20776989145492</v>
      </c>
      <c r="O250" s="1" t="str">
        <f>HYPERLINK(".\sm_car_250504_0030\sm_car_250504_0030_249_Ca170TrN_MaCPU_ode23t_1.png","figure")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2511</v>
      </c>
      <c r="L251">
        <v>13.1145406</v>
      </c>
      <c r="M251">
        <v>183.0473000395059</v>
      </c>
      <c r="N251">
        <v>-170.21965750802519</v>
      </c>
      <c r="O251" s="1" t="str">
        <f>HYPERLINK(".\sm_car_250504_0030\sm_car_250504_0030_250_Ca170TrN_MaCPD_ode23t_1.png","figure")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1844</v>
      </c>
      <c r="L252">
        <v>4.0986038999999996</v>
      </c>
      <c r="M252">
        <v>-5.99785399158137</v>
      </c>
      <c r="N252">
        <v>2.8121445535559779E-3</v>
      </c>
      <c r="O252" s="1" t="str">
        <f>HYPERLINK(".\sm_car_250504_0030\sm_car_250504_0030_251_Ca202TrN_MaCMF_ode23t_1.png","figure")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4542</v>
      </c>
      <c r="L253">
        <v>19.573718100000001</v>
      </c>
      <c r="M253">
        <v>-329.5037445450256</v>
      </c>
      <c r="N253">
        <v>6.0472011693352519</v>
      </c>
      <c r="O253" s="1" t="str">
        <f>HYPERLINK(".\sm_car_250504_0030\sm_car_250504_0030_252_Ca202TrN_MaMPO_ode23t_1.png","figure")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1215</v>
      </c>
      <c r="L254">
        <v>5.1475356999999997</v>
      </c>
      <c r="M254">
        <v>-13.901421018934428</v>
      </c>
      <c r="N254">
        <v>0.20548180403434912</v>
      </c>
      <c r="O254" s="1" t="str">
        <f>HYPERLINK(".\sm_car_250504_0030\sm_car_250504_0030_253_Ca202TrN_MaMCI_ode23t_1.png","figure")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3605</v>
      </c>
      <c r="L255">
        <v>8.8176144000000001</v>
      </c>
      <c r="M255">
        <v>-5.9935889520266761</v>
      </c>
      <c r="N255">
        <v>-7.1869198562647674E-3</v>
      </c>
      <c r="O255" s="1" t="str">
        <f>HYPERLINK(".\sm_car_250504_0030\sm_car_250504_0030_254_Ca202TrN_MaCKF_ode23t_1.png","figure")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10227</v>
      </c>
      <c r="L256">
        <v>84.040388699999994</v>
      </c>
      <c r="M256">
        <v>-8.9986802597639883</v>
      </c>
      <c r="N256">
        <v>4.7244647876871437E-2</v>
      </c>
      <c r="O256" s="1" t="str">
        <f>HYPERLINK(".\sm_car_250504_0030\sm_car_250504_0030_255_Ca202TrN_MaCNF_ode23t_1.png","figure")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5691</v>
      </c>
      <c r="L257">
        <v>39.822075099999999</v>
      </c>
      <c r="M257">
        <v>-8.947001532827608</v>
      </c>
      <c r="N257">
        <v>9.3406998107951542E-3</v>
      </c>
      <c r="O257" s="1" t="str">
        <f>HYPERLINK(".\sm_car_250504_0030\sm_car_250504_0030_256_Ca202TrN_MaCSF_ode23t_1.png","figure")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5378</v>
      </c>
      <c r="L258">
        <v>16.513122299999999</v>
      </c>
      <c r="M258">
        <v>-5.9990343240655513</v>
      </c>
      <c r="N258">
        <v>2.9303591541607068E-3</v>
      </c>
      <c r="O258" s="1" t="str">
        <f>HYPERLINK(".\sm_car_250504_0030\sm_car_250504_0030_257_Ca202TrN_MaCMP_ode23t_1.png","figure")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14966</v>
      </c>
      <c r="L259">
        <v>44.713340100000003</v>
      </c>
      <c r="M259">
        <v>-5.9956862740733126</v>
      </c>
      <c r="N259">
        <v>-8.8826460226686006E-3</v>
      </c>
      <c r="O259" s="1" t="str">
        <f>HYPERLINK(".\sm_car_250504_0030\sm_car_250504_0030_258_Ca202TrN_MaCKY_ode23t_1.png","figure")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458</v>
      </c>
      <c r="L260">
        <v>2.2718512</v>
      </c>
      <c r="M260">
        <v>381.43340802935285</v>
      </c>
      <c r="N260">
        <v>0.33401560638127886</v>
      </c>
      <c r="O260" s="1" t="str">
        <f>HYPERLINK(".\sm_car_250504_0030\sm_car_250504_0030_259_Ca202TrN_MaCPL_ode23t_1.png","figure")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2721</v>
      </c>
      <c r="L261">
        <v>39.382139199999997</v>
      </c>
      <c r="M261">
        <v>176.28487760197862</v>
      </c>
      <c r="N261">
        <v>7.1690259598106197E-4</v>
      </c>
      <c r="O261" s="1" t="str">
        <f>HYPERLINK(".\sm_car_250504_0030\sm_car_250504_0030_260_Ca140TrN_MaCRR_ode23t_1.png","figure")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3294</v>
      </c>
      <c r="L262">
        <v>37.293723999999997</v>
      </c>
      <c r="M262">
        <v>176.34317481282505</v>
      </c>
      <c r="N262">
        <v>7.7232350235801163E-4</v>
      </c>
      <c r="O262" s="1" t="str">
        <f>HYPERLINK(".\sm_car_250504_0030\sm_car_250504_0030_261_Ca189TrN_MaCRR_ode23t_1.png","figure")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189</v>
      </c>
      <c r="C263" t="s">
        <v>45</v>
      </c>
      <c r="D263" t="s">
        <v>17</v>
      </c>
      <c r="E263" t="s">
        <v>107</v>
      </c>
      <c r="F263" t="s">
        <v>19</v>
      </c>
      <c r="G263" t="s">
        <v>26</v>
      </c>
      <c r="H263" t="s">
        <v>21</v>
      </c>
      <c r="I263" t="s">
        <v>120</v>
      </c>
      <c r="J263" t="s">
        <v>23</v>
      </c>
      <c r="K263">
        <v>10549</v>
      </c>
      <c r="L263">
        <v>104.06693660000001</v>
      </c>
      <c r="M263">
        <v>208.80400185247998</v>
      </c>
      <c r="N263">
        <v>-0.77091832676864858</v>
      </c>
      <c r="O263" s="1" t="str">
        <f>HYPERLINK(".\sm_car_250504_0030\sm_car_250504_0030_262_Ca189TrN_MaGSU_ode23t_1.png","figure")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91</v>
      </c>
      <c r="J264" t="s">
        <v>92</v>
      </c>
      <c r="K264">
        <v>1684</v>
      </c>
      <c r="L264">
        <v>77.1074457</v>
      </c>
      <c r="M264">
        <v>51.299375396888045</v>
      </c>
      <c r="N264">
        <v>9.1527724906730924E-3</v>
      </c>
      <c r="O264" s="1" t="str">
        <f>HYPERLINK(".\sm_car_250504_0030\sm_car_250504_0030_263_Ca173TrN_MaDCA_daessc_1.png","figure")</f>
        <v>figure</v>
      </c>
      <c r="P264" t="s">
        <v>15</v>
      </c>
    </row>
    <row r="265" spans="1:16" x14ac:dyDescent="0.25">
      <c r="A265">
        <v>264</v>
      </c>
      <c r="B265">
        <v>173</v>
      </c>
      <c r="C265" t="s">
        <v>45</v>
      </c>
      <c r="D265" t="s">
        <v>35</v>
      </c>
      <c r="E265" t="s">
        <v>49</v>
      </c>
      <c r="F265" t="s">
        <v>19</v>
      </c>
      <c r="G265" t="s">
        <v>90</v>
      </c>
      <c r="H265" t="s">
        <v>21</v>
      </c>
      <c r="I265" t="s">
        <v>93</v>
      </c>
      <c r="J265" t="s">
        <v>92</v>
      </c>
      <c r="K265">
        <v>4216</v>
      </c>
      <c r="L265">
        <v>118.07616160000001</v>
      </c>
      <c r="M265">
        <v>980.46807894399069</v>
      </c>
      <c r="N265">
        <v>0.73390756790021616</v>
      </c>
      <c r="O265" s="1" t="str">
        <f>HYPERLINK(".\sm_car_250504_0030\sm_car_250504_0030_264_Ca173TrN_MaDC1_daessc_1.png","figure")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91</v>
      </c>
      <c r="J266" t="s">
        <v>23</v>
      </c>
      <c r="K266">
        <v>335</v>
      </c>
      <c r="L266">
        <v>3.1342881</v>
      </c>
      <c r="M266">
        <v>53.508043142532351</v>
      </c>
      <c r="N266">
        <v>1.0349937096290349E-2</v>
      </c>
      <c r="O266" s="1" t="str">
        <f>HYPERLINK(".\sm_car_250504_0030\sm_car_250504_0030_265_Ca165TrN_MaDCA_ode23t_1.png","figure")</f>
        <v>figure</v>
      </c>
      <c r="P266" t="s">
        <v>15</v>
      </c>
    </row>
    <row r="267" spans="1:16" x14ac:dyDescent="0.25">
      <c r="A267">
        <v>266</v>
      </c>
      <c r="B267">
        <v>165</v>
      </c>
      <c r="C267" t="s">
        <v>45</v>
      </c>
      <c r="D267" t="s">
        <v>35</v>
      </c>
      <c r="E267" t="s">
        <v>49</v>
      </c>
      <c r="F267" t="s">
        <v>19</v>
      </c>
      <c r="G267" t="s">
        <v>26</v>
      </c>
      <c r="H267" t="s">
        <v>21</v>
      </c>
      <c r="I267" t="s">
        <v>93</v>
      </c>
      <c r="J267" t="s">
        <v>23</v>
      </c>
      <c r="K267">
        <v>1196</v>
      </c>
      <c r="L267">
        <v>6.9457886999999996</v>
      </c>
      <c r="M267">
        <v>992.6541623697334</v>
      </c>
      <c r="N267">
        <v>0.75519876662384233</v>
      </c>
      <c r="O267" s="1" t="str">
        <f>HYPERLINK(".\sm_car_250504_0030\sm_car_250504_0030_266_Ca165TrN_MaDC1_ode23t_1.png","figure")</f>
        <v>figure</v>
      </c>
      <c r="P267" t="s">
        <v>15</v>
      </c>
    </row>
    <row r="268" spans="1:16" x14ac:dyDescent="0.25">
      <c r="A268">
        <v>267</v>
      </c>
      <c r="B268">
        <v>196</v>
      </c>
      <c r="C268" t="s">
        <v>45</v>
      </c>
      <c r="D268" t="s">
        <v>35</v>
      </c>
      <c r="E268" t="s">
        <v>107</v>
      </c>
      <c r="F268" t="s">
        <v>19</v>
      </c>
      <c r="G268" t="s">
        <v>90</v>
      </c>
      <c r="H268" t="s">
        <v>21</v>
      </c>
      <c r="I268" t="s">
        <v>93</v>
      </c>
      <c r="J268" t="s">
        <v>92</v>
      </c>
      <c r="K268">
        <v>3969</v>
      </c>
      <c r="L268">
        <v>50.1042992</v>
      </c>
      <c r="M268">
        <v>980.46411142778311</v>
      </c>
      <c r="N268">
        <v>0.73406217857675204</v>
      </c>
      <c r="O268" s="1" t="str">
        <f>HYPERLINK(".\sm_car_250504_0030\sm_car_250504_0030_267_Ca196TrN_MaDC1_daessc_1.png","figure")</f>
        <v>figure</v>
      </c>
      <c r="P268" t="s">
        <v>15</v>
      </c>
    </row>
    <row r="269" spans="1:16" x14ac:dyDescent="0.25">
      <c r="A269">
        <v>268</v>
      </c>
      <c r="B269">
        <v>179</v>
      </c>
      <c r="C269" t="s">
        <v>45</v>
      </c>
      <c r="D269" t="s">
        <v>57</v>
      </c>
      <c r="E269" t="s">
        <v>18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498</v>
      </c>
      <c r="L269">
        <v>5.2214874</v>
      </c>
      <c r="M269">
        <v>147.83755076534379</v>
      </c>
      <c r="N269">
        <v>9.6421026448992905E-2</v>
      </c>
      <c r="O269" s="1" t="str">
        <f>HYPERLINK(".\sm_car_250504_0030\sm_car_250504_0030_268_Ca179TrN_MaWOT_ode23t_1.png","figure")</f>
        <v>figure</v>
      </c>
      <c r="P269" t="s">
        <v>15</v>
      </c>
    </row>
    <row r="270" spans="1:16" x14ac:dyDescent="0.25">
      <c r="A270">
        <v>269</v>
      </c>
      <c r="B270">
        <v>180</v>
      </c>
      <c r="C270" t="s">
        <v>45</v>
      </c>
      <c r="D270" t="s">
        <v>57</v>
      </c>
      <c r="E270" t="s">
        <v>49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511</v>
      </c>
      <c r="L270">
        <v>6.3248503999999999</v>
      </c>
      <c r="M270">
        <v>147.85411525622717</v>
      </c>
      <c r="N270">
        <v>9.6018644849823254E-2</v>
      </c>
      <c r="O270" s="1" t="str">
        <f>HYPERLINK(".\sm_car_250504_0030\sm_car_250504_0030_269_Ca180TrN_MaWOT_ode23t_1.png","figure")</f>
        <v>figure</v>
      </c>
      <c r="P270" t="s">
        <v>15</v>
      </c>
    </row>
    <row r="271" spans="1:16" x14ac:dyDescent="0.25">
      <c r="A271">
        <v>270</v>
      </c>
      <c r="B271">
        <v>197</v>
      </c>
      <c r="C271" t="s">
        <v>45</v>
      </c>
      <c r="D271" t="s">
        <v>57</v>
      </c>
      <c r="E271" t="s">
        <v>107</v>
      </c>
      <c r="F271" t="s">
        <v>19</v>
      </c>
      <c r="G271" t="s">
        <v>26</v>
      </c>
      <c r="H271" t="s">
        <v>21</v>
      </c>
      <c r="I271" t="s">
        <v>22</v>
      </c>
      <c r="J271" t="s">
        <v>23</v>
      </c>
      <c r="K271">
        <v>448</v>
      </c>
      <c r="L271">
        <v>1.9903301</v>
      </c>
      <c r="M271">
        <v>147.85147561743781</v>
      </c>
      <c r="N271">
        <v>9.6028883994892414E-2</v>
      </c>
      <c r="O271" s="1" t="str">
        <f>HYPERLINK(".\sm_car_250504_0030\sm_car_250504_0030_270_Ca197TrN_MaWOT_ode23t_1.png","figure")</f>
        <v>figure</v>
      </c>
      <c r="P271" t="s">
        <v>15</v>
      </c>
    </row>
    <row r="272" spans="1:16" x14ac:dyDescent="0.25">
      <c r="A272">
        <v>271</v>
      </c>
      <c r="B272">
        <v>182</v>
      </c>
      <c r="C272" t="s">
        <v>45</v>
      </c>
      <c r="D272" t="s">
        <v>17</v>
      </c>
      <c r="E272" t="s">
        <v>49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425</v>
      </c>
      <c r="L272">
        <v>12.2960101</v>
      </c>
      <c r="M272">
        <v>62.252040720015884</v>
      </c>
      <c r="N272">
        <v>-24.545826181157423</v>
      </c>
      <c r="O272" s="1" t="str">
        <f>HYPERLINK(".\sm_car_250504_0030\sm_car_250504_0030_271_Ca182TrN_MaTUR_ode23t_1.png","figure")</f>
        <v>figure</v>
      </c>
      <c r="P272" t="s">
        <v>15</v>
      </c>
    </row>
    <row r="273" spans="1:16" x14ac:dyDescent="0.25">
      <c r="A273">
        <v>272</v>
      </c>
      <c r="B273">
        <v>203</v>
      </c>
      <c r="C273" t="s">
        <v>45</v>
      </c>
      <c r="D273" t="s">
        <v>17</v>
      </c>
      <c r="E273" t="s">
        <v>107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368</v>
      </c>
      <c r="L273">
        <v>4.4902698000000001</v>
      </c>
      <c r="M273">
        <v>62.25949258860625</v>
      </c>
      <c r="N273">
        <v>-24.560546483238713</v>
      </c>
      <c r="O273" s="1" t="str">
        <f>HYPERLINK(".\sm_car_250504_0030\sm_car_250504_0030_272_Ca203TrN_MaTUR_ode23t_1.png","figure")</f>
        <v>figure</v>
      </c>
      <c r="P273" t="s">
        <v>15</v>
      </c>
    </row>
    <row r="274" spans="1:16" x14ac:dyDescent="0.25">
      <c r="A274">
        <v>273</v>
      </c>
      <c r="B274">
        <v>185</v>
      </c>
      <c r="C274" t="s">
        <v>45</v>
      </c>
      <c r="D274" t="s">
        <v>17</v>
      </c>
      <c r="E274" t="s">
        <v>18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552</v>
      </c>
      <c r="L274">
        <v>23.060608500000001</v>
      </c>
      <c r="M274">
        <v>112.76712379488697</v>
      </c>
      <c r="N274">
        <v>-79.276401005620741</v>
      </c>
      <c r="O274" s="1" t="str">
        <f>HYPERLINK(".\sm_car_250504_0030\sm_car_250504_0030_273_Ca185TrN_MaTUR_ode23t_1.png","figure")</f>
        <v>figure</v>
      </c>
      <c r="P274" t="s">
        <v>15</v>
      </c>
    </row>
    <row r="275" spans="1:16" x14ac:dyDescent="0.25">
      <c r="A275">
        <v>274</v>
      </c>
      <c r="B275">
        <v>188</v>
      </c>
      <c r="C275" t="s">
        <v>45</v>
      </c>
      <c r="D275" t="s">
        <v>113</v>
      </c>
      <c r="E275" t="s">
        <v>49</v>
      </c>
      <c r="F275" t="s">
        <v>19</v>
      </c>
      <c r="G275" t="s">
        <v>26</v>
      </c>
      <c r="H275" t="s">
        <v>21</v>
      </c>
      <c r="I275" t="s">
        <v>64</v>
      </c>
      <c r="J275" t="s">
        <v>23</v>
      </c>
      <c r="K275">
        <v>540</v>
      </c>
      <c r="L275">
        <v>6.6607469000000004</v>
      </c>
      <c r="M275">
        <v>140.61652885018083</v>
      </c>
      <c r="N275">
        <v>-71.744052817060265</v>
      </c>
      <c r="O275" s="1" t="str">
        <f>HYPERLINK(".\sm_car_250504_0030\sm_car_250504_0030_274_Ca188TrN_MaTUR_ode23t_1.png","figure")</f>
        <v>figure</v>
      </c>
      <c r="P275" t="s">
        <v>15</v>
      </c>
    </row>
    <row r="276" spans="1:16" x14ac:dyDescent="0.25">
      <c r="A276">
        <v>275</v>
      </c>
      <c r="B276" t="s">
        <v>94</v>
      </c>
      <c r="C276" t="s">
        <v>95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438</v>
      </c>
      <c r="L276">
        <v>13.6269866</v>
      </c>
      <c r="M276">
        <v>79.216158648925386</v>
      </c>
      <c r="N276">
        <v>-0.33361530102816234</v>
      </c>
      <c r="O276" s="1" t="str">
        <f>HYPERLINK(".\sm_car_250504_0030\sm_car_Axle3_250504_0030_275_CaAxle3_000TrN_MaWOT_ode23t_1.png","figure")</f>
        <v>figure</v>
      </c>
      <c r="P276" t="s">
        <v>15</v>
      </c>
    </row>
    <row r="277" spans="1:16" x14ac:dyDescent="0.25">
      <c r="A277">
        <v>276</v>
      </c>
      <c r="B277" t="s">
        <v>99</v>
      </c>
      <c r="C277" t="s">
        <v>100</v>
      </c>
      <c r="D277" t="s">
        <v>35</v>
      </c>
      <c r="E277" t="s">
        <v>18</v>
      </c>
      <c r="F277" t="s">
        <v>19</v>
      </c>
      <c r="G277" t="s">
        <v>96</v>
      </c>
      <c r="H277" t="s">
        <v>21</v>
      </c>
      <c r="I277" t="s">
        <v>22</v>
      </c>
      <c r="J277" t="s">
        <v>23</v>
      </c>
      <c r="K277">
        <v>479</v>
      </c>
      <c r="L277">
        <v>13.600468899999999</v>
      </c>
      <c r="M277">
        <v>68.927320334711155</v>
      </c>
      <c r="N277">
        <v>8.3284667691767886E-2</v>
      </c>
      <c r="O277" s="1" t="str">
        <f>HYPERLINK(".\sm_car_250504_0030\sm_car_Axle3_250504_0030_276_CaAxle3_008TrN_MaWOT_ode23t_1.png","figure")</f>
        <v>figure</v>
      </c>
      <c r="P277" t="s">
        <v>15</v>
      </c>
    </row>
    <row r="278" spans="1:16" x14ac:dyDescent="0.25">
      <c r="A278">
        <v>277</v>
      </c>
      <c r="B278" t="s">
        <v>97</v>
      </c>
      <c r="C278" t="s">
        <v>95</v>
      </c>
      <c r="D278" t="s">
        <v>35</v>
      </c>
      <c r="E278" t="s">
        <v>49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426</v>
      </c>
      <c r="L278">
        <v>11.317364400000001</v>
      </c>
      <c r="M278">
        <v>79.265706861750871</v>
      </c>
      <c r="N278">
        <v>-0.31323883463624247</v>
      </c>
      <c r="O278" s="1" t="str">
        <f>HYPERLINK(".\sm_car_250504_0030\sm_car_Axle3_250504_0030_277_CaAxle3_003TrN_MaWOT_ode23t_1.png","figure")</f>
        <v>figure</v>
      </c>
      <c r="P278" t="s">
        <v>15</v>
      </c>
    </row>
    <row r="279" spans="1:16" x14ac:dyDescent="0.25">
      <c r="A279">
        <v>278</v>
      </c>
      <c r="B279" t="s">
        <v>114</v>
      </c>
      <c r="C279" t="s">
        <v>95</v>
      </c>
      <c r="D279" t="s">
        <v>35</v>
      </c>
      <c r="E279" t="s">
        <v>107</v>
      </c>
      <c r="F279" t="s">
        <v>19</v>
      </c>
      <c r="G279" t="s">
        <v>98</v>
      </c>
      <c r="H279" t="s">
        <v>21</v>
      </c>
      <c r="I279" t="s">
        <v>22</v>
      </c>
      <c r="J279" t="s">
        <v>23</v>
      </c>
      <c r="K279">
        <v>427</v>
      </c>
      <c r="L279">
        <v>1.9731675</v>
      </c>
      <c r="M279">
        <v>80.145520056216895</v>
      </c>
      <c r="N279">
        <v>-0.31945069771391377</v>
      </c>
      <c r="O279" s="1" t="str">
        <f>HYPERLINK(".\sm_car_250504_0030\sm_car_Axle3_250504_0030_278_CaAxle3_017TrN_MaWOT_ode23t_1.png","figure")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391</v>
      </c>
      <c r="L280">
        <v>28.298955599999999</v>
      </c>
      <c r="M280">
        <v>23.439989514767746</v>
      </c>
      <c r="N280">
        <v>2.5340590490938869E-3</v>
      </c>
      <c r="O280" s="1" t="str">
        <f>HYPERLINK(".\sm_car_250504_0030\sm_car_Axle3_250504_0030_279_CaAxle3_010TrK_MaWOT_ode23t_1.png","figure")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101</v>
      </c>
      <c r="C281" t="s">
        <v>100</v>
      </c>
      <c r="D281" t="s">
        <v>35</v>
      </c>
      <c r="E281" t="s">
        <v>49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408</v>
      </c>
      <c r="L281">
        <v>27.206205300000001</v>
      </c>
      <c r="M281">
        <v>23.430003926020028</v>
      </c>
      <c r="N281">
        <v>2.5300641897305041E-3</v>
      </c>
      <c r="O281" s="1" t="str">
        <f>HYPERLINK(".\sm_car_250504_0030\sm_car_Axle3_250504_0030_280_CaAxle3_010TrK_MaWOT_ode23t_1.png","figure")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398</v>
      </c>
      <c r="L282">
        <v>2.4044815000000002</v>
      </c>
      <c r="M282">
        <v>26.93857632389766</v>
      </c>
      <c r="N282">
        <v>3.6338222117920128E-3</v>
      </c>
      <c r="O282" s="1" t="str">
        <f>HYPERLINK(".\sm_car_250504_0030\sm_car_Axle3_250504_0030_281_CaAxle3_019TrK_MaWOT_ode23t_1.png","figure")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115</v>
      </c>
      <c r="C283" t="s">
        <v>100</v>
      </c>
      <c r="D283" t="s">
        <v>35</v>
      </c>
      <c r="E283" t="s">
        <v>107</v>
      </c>
      <c r="F283" t="s">
        <v>19</v>
      </c>
      <c r="G283" t="s">
        <v>96</v>
      </c>
      <c r="H283" t="s">
        <v>102</v>
      </c>
      <c r="I283" t="s">
        <v>22</v>
      </c>
      <c r="J283" t="s">
        <v>23</v>
      </c>
      <c r="K283">
        <v>407</v>
      </c>
      <c r="L283">
        <v>2.4141284000000001</v>
      </c>
      <c r="M283">
        <v>26.922909146453712</v>
      </c>
      <c r="N283">
        <v>3.625095114772936E-3</v>
      </c>
      <c r="O283" s="1" t="str">
        <f>HYPERLINK(".\sm_car_250504_0030\sm_car_Axle3_250504_0030_282_CaAxle3_019TrK_MaWOT_ode23t_1.png","figure")</f>
        <v>figure</v>
      </c>
      <c r="P283" t="s">
        <v>15</v>
      </c>
    </row>
    <row r="284" spans="1:16" x14ac:dyDescent="0.25">
      <c r="A284">
        <v>283</v>
      </c>
      <c r="B284" t="s">
        <v>115</v>
      </c>
      <c r="C284" t="s">
        <v>100</v>
      </c>
      <c r="D284" t="s">
        <v>35</v>
      </c>
      <c r="E284" t="s">
        <v>107</v>
      </c>
      <c r="F284" t="s">
        <v>19</v>
      </c>
      <c r="G284" t="s">
        <v>96</v>
      </c>
      <c r="H284" t="s">
        <v>102</v>
      </c>
      <c r="I284" t="s">
        <v>53</v>
      </c>
      <c r="J284" t="s">
        <v>23</v>
      </c>
      <c r="K284">
        <v>683</v>
      </c>
      <c r="L284">
        <v>3.8569279000000001</v>
      </c>
      <c r="M284">
        <v>253.22499344601738</v>
      </c>
      <c r="N284">
        <v>-9.8051236509429707E-2</v>
      </c>
      <c r="O284" s="1" t="str">
        <f>HYPERLINK(".\sm_car_250504_0030\sm_car_Axle3_250504_0030_283_CaAxle3_019TrK_MaDLC_ode23t_1.png","figure")</f>
        <v>figure</v>
      </c>
      <c r="P284" t="s">
        <v>15</v>
      </c>
    </row>
    <row r="285" spans="1:16" x14ac:dyDescent="0.25">
      <c r="A285">
        <v>284</v>
      </c>
      <c r="B285" t="s">
        <v>115</v>
      </c>
      <c r="C285" t="s">
        <v>100</v>
      </c>
      <c r="D285" t="s">
        <v>35</v>
      </c>
      <c r="E285" t="s">
        <v>107</v>
      </c>
      <c r="F285" t="s">
        <v>19</v>
      </c>
      <c r="G285" t="s">
        <v>96</v>
      </c>
      <c r="H285" t="s">
        <v>102</v>
      </c>
      <c r="I285" t="s">
        <v>53</v>
      </c>
      <c r="J285" t="s">
        <v>23</v>
      </c>
      <c r="K285">
        <v>799</v>
      </c>
      <c r="L285">
        <v>4.1599404</v>
      </c>
      <c r="M285">
        <v>253.88728490411734</v>
      </c>
      <c r="N285">
        <v>-9.9760568215200962E-2</v>
      </c>
      <c r="O285" s="1" t="str">
        <f>HYPERLINK(".\sm_car_250504_0030\sm_car_Axle3_250504_0030_284_CaAxle3_019TrK_MaDLC_ode23t_1.png","figure")</f>
        <v>figure</v>
      </c>
      <c r="P285" t="s">
        <v>15</v>
      </c>
    </row>
    <row r="286" spans="1:16" x14ac:dyDescent="0.25">
      <c r="A286">
        <v>285</v>
      </c>
      <c r="B286" t="s">
        <v>115</v>
      </c>
      <c r="C286" t="s">
        <v>100</v>
      </c>
      <c r="D286" t="s">
        <v>35</v>
      </c>
      <c r="E286" t="s">
        <v>107</v>
      </c>
      <c r="F286" t="s">
        <v>19</v>
      </c>
      <c r="G286" t="s">
        <v>96</v>
      </c>
      <c r="H286" t="s">
        <v>102</v>
      </c>
      <c r="I286" t="s">
        <v>53</v>
      </c>
      <c r="J286" t="s">
        <v>23</v>
      </c>
      <c r="K286">
        <v>677</v>
      </c>
      <c r="L286">
        <v>3.9427067999999998</v>
      </c>
      <c r="M286">
        <v>253.5627974121449</v>
      </c>
      <c r="N286">
        <v>-9.9287224177485811E-2</v>
      </c>
      <c r="O286" s="1" t="str">
        <f>HYPERLINK(".\sm_car_250504_0030\sm_car_Axle3_250504_0030_285_CaAxle3_019TrK_MaDLC_ode23t_1.png","figure")</f>
        <v>figure</v>
      </c>
      <c r="P286" t="s">
        <v>15</v>
      </c>
    </row>
    <row r="287" spans="1:16" x14ac:dyDescent="0.25">
      <c r="A287">
        <v>286</v>
      </c>
      <c r="B287" t="s">
        <v>115</v>
      </c>
      <c r="C287" t="s">
        <v>100</v>
      </c>
      <c r="D287" t="s">
        <v>35</v>
      </c>
      <c r="E287" t="s">
        <v>107</v>
      </c>
      <c r="F287" t="s">
        <v>19</v>
      </c>
      <c r="G287" t="s">
        <v>96</v>
      </c>
      <c r="H287" t="s">
        <v>102</v>
      </c>
      <c r="I287" t="s">
        <v>53</v>
      </c>
      <c r="J287" t="s">
        <v>23</v>
      </c>
      <c r="K287">
        <v>915</v>
      </c>
      <c r="L287">
        <v>4.2619546000000001</v>
      </c>
      <c r="M287">
        <v>253.33423239297792</v>
      </c>
      <c r="N287">
        <v>-9.2262514234171533E-2</v>
      </c>
      <c r="O287" s="1" t="str">
        <f>HYPERLINK(".\sm_car_250504_0030\sm_car_Axle3_250504_0030_286_CaAxle3_019TrK_MaDLC_ode23t_1.png","figure")</f>
        <v>figure</v>
      </c>
      <c r="P287" t="s">
        <v>15</v>
      </c>
    </row>
    <row r="288" spans="1:16" x14ac:dyDescent="0.25">
      <c r="A288">
        <v>287</v>
      </c>
      <c r="B288" t="s">
        <v>142</v>
      </c>
      <c r="C288" t="s">
        <v>143</v>
      </c>
      <c r="D288" t="s">
        <v>35</v>
      </c>
      <c r="E288" t="s">
        <v>49</v>
      </c>
      <c r="F288" t="s">
        <v>19</v>
      </c>
      <c r="G288" t="s">
        <v>96</v>
      </c>
      <c r="H288" t="s">
        <v>102</v>
      </c>
      <c r="I288" t="s">
        <v>22</v>
      </c>
      <c r="J288" t="s">
        <v>23</v>
      </c>
      <c r="K288">
        <v>347</v>
      </c>
      <c r="L288">
        <v>2.4745512000000001</v>
      </c>
      <c r="M288">
        <v>85.308297144904117</v>
      </c>
      <c r="N288">
        <v>7.0160244246986081E-2</v>
      </c>
      <c r="O288" s="1" t="str">
        <f>HYPERLINK(".\sm_car_250504_0030\sm_car_Axle3_250504_0030_287_CaAxle3_023TrK_MaWOT_ode23t_1.png","figure")</f>
        <v>figure</v>
      </c>
      <c r="P288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F908-FE09-42FE-A803-1F4B8D1ADFFF}">
  <dimension ref="A1:Z272"/>
  <sheetViews>
    <sheetView topLeftCell="A214" workbookViewId="0">
      <selection activeCell="R231" sqref="R231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12.42578125" bestFit="1" customWidth="1"/>
    <col min="11" max="11" width="7.140625" bestFit="1" customWidth="1"/>
    <col min="12" max="12" width="7.28515625" bestFit="1" customWidth="1"/>
    <col min="13" max="13" width="7.5703125" bestFit="1" customWidth="1"/>
    <col min="14" max="14" width="8.5703125" bestFit="1" customWidth="1"/>
    <col min="15" max="15" width="9.28515625" bestFit="1" customWidth="1"/>
    <col min="16" max="16" width="6.5703125" bestFit="1" customWidth="1"/>
    <col min="17" max="17" width="4.85546875" bestFit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S1" s="2" t="s">
        <v>149</v>
      </c>
    </row>
    <row r="2" spans="1:26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147</v>
      </c>
      <c r="K2" t="s">
        <v>23</v>
      </c>
      <c r="L2">
        <v>426</v>
      </c>
      <c r="M2" s="4">
        <v>7.5703978999999997</v>
      </c>
      <c r="N2" s="4">
        <v>231.30326068077281</v>
      </c>
      <c r="O2" s="4">
        <v>-5.5115920140166915E-3</v>
      </c>
      <c r="P2" s="1" t="str">
        <f>HYPERLINK(".\sm_car_250702_1901\sm_car_250702_1901_001_Ca000TrN_MaWOT_DrSt_ode23t.png","figure")</f>
        <v>figure</v>
      </c>
      <c r="Q2" t="s">
        <v>15</v>
      </c>
      <c r="S2" s="2" t="s">
        <v>116</v>
      </c>
      <c r="V2" t="b">
        <f>B2='2024b_250504_0030'!B2</f>
        <v>1</v>
      </c>
      <c r="W2">
        <f>L2-'2024b_250504_0030'!K2</f>
        <v>11</v>
      </c>
      <c r="X2" s="7">
        <f>W2/'2024b_250504_0030'!K2</f>
        <v>2.6506024096385541E-2</v>
      </c>
      <c r="Y2" s="4">
        <f>M2-'2024b_250504_0030'!L2</f>
        <v>0.87223839999999964</v>
      </c>
      <c r="Z2" s="6">
        <f>Y2/'2024b_250504_0030'!L2</f>
        <v>0.13022060761616674</v>
      </c>
    </row>
    <row r="3" spans="1:26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147</v>
      </c>
      <c r="K3" t="s">
        <v>23</v>
      </c>
      <c r="L3">
        <v>530</v>
      </c>
      <c r="M3" s="4">
        <v>8.8262494999999994</v>
      </c>
      <c r="N3" s="4">
        <v>71.234935539575417</v>
      </c>
      <c r="O3" s="4">
        <v>-0.54002385198003444</v>
      </c>
      <c r="P3" s="1" t="str">
        <f>HYPERLINK(".\sm_car_250702_1901\sm_car_250702_1901_002_Ca000TrN_MaLSS_DrSt_ode23t.png","figure")</f>
        <v>figure</v>
      </c>
      <c r="Q3" t="s">
        <v>15</v>
      </c>
      <c r="S3" s="2" t="s">
        <v>145</v>
      </c>
      <c r="V3" t="b">
        <f>B3='2024b_250504_0030'!B3</f>
        <v>1</v>
      </c>
      <c r="W3">
        <f>L3-'2024b_250504_0030'!K3</f>
        <v>-8</v>
      </c>
      <c r="X3" s="7">
        <f>W3/'2024b_250504_0030'!K3</f>
        <v>-1.4869888475836431E-2</v>
      </c>
      <c r="Y3" s="4">
        <f>M3-'2024b_250504_0030'!L3</f>
        <v>0.91605599999999932</v>
      </c>
      <c r="Z3" s="6">
        <f>Y3/'2024b_250504_0030'!L3</f>
        <v>0.1158070279823116</v>
      </c>
    </row>
    <row r="4" spans="1:26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147</v>
      </c>
      <c r="K4" t="s">
        <v>23</v>
      </c>
      <c r="L4">
        <v>403</v>
      </c>
      <c r="M4" s="4">
        <v>8.7633314000000002</v>
      </c>
      <c r="N4" s="4">
        <v>230.24202824765311</v>
      </c>
      <c r="O4" s="4">
        <v>-1.2939438434269739E-2</v>
      </c>
      <c r="P4" s="1" t="str">
        <f>HYPERLINK(".\sm_car_250702_1901\sm_car_250702_1901_003_Ca001TrN_MaWOT_DrSt_ode23t.png","figure")</f>
        <v>figure</v>
      </c>
      <c r="Q4" t="s">
        <v>15</v>
      </c>
      <c r="S4" s="2" t="s">
        <v>117</v>
      </c>
      <c r="V4" t="b">
        <f>B4='2024b_250504_0030'!B4</f>
        <v>1</v>
      </c>
      <c r="W4">
        <f>L4-'2024b_250504_0030'!K4</f>
        <v>-1</v>
      </c>
      <c r="X4" s="7">
        <f>W4/'2024b_250504_0030'!K4</f>
        <v>-2.4752475247524753E-3</v>
      </c>
      <c r="Y4" s="4">
        <f>M4-'2024b_250504_0030'!L4</f>
        <v>1.2856963000000006</v>
      </c>
      <c r="Z4" s="6">
        <f>Y4/'2024b_250504_0030'!L4</f>
        <v>0.17193889281920172</v>
      </c>
    </row>
    <row r="5" spans="1:26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147</v>
      </c>
      <c r="K5" t="s">
        <v>23</v>
      </c>
      <c r="L5">
        <v>522</v>
      </c>
      <c r="M5" s="4">
        <v>11.5687465</v>
      </c>
      <c r="N5" s="4">
        <v>70.963718329064434</v>
      </c>
      <c r="O5" s="4">
        <v>-0.53531943431979556</v>
      </c>
      <c r="P5" s="1" t="str">
        <f>HYPERLINK(".\sm_car_250702_1901\sm_car_250702_1901_004_Ca001TrN_MaLSS_DrSt_ode23t.png","figure")</f>
        <v>figure</v>
      </c>
      <c r="Q5" t="s">
        <v>15</v>
      </c>
      <c r="S5" t="s">
        <v>150</v>
      </c>
      <c r="V5" t="b">
        <f>B5='2024b_250504_0030'!B5</f>
        <v>1</v>
      </c>
      <c r="W5">
        <f>L5-'2024b_250504_0030'!K5</f>
        <v>-12</v>
      </c>
      <c r="X5" s="7">
        <f>W5/'2024b_250504_0030'!K5</f>
        <v>-2.247191011235955E-2</v>
      </c>
      <c r="Y5" s="4">
        <f>M5-'2024b_250504_0030'!L5</f>
        <v>3.1572654</v>
      </c>
      <c r="Z5" s="6">
        <f>Y5/'2024b_250504_0030'!L5</f>
        <v>0.37535189849026707</v>
      </c>
    </row>
    <row r="6" spans="1:26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147</v>
      </c>
      <c r="K6" t="s">
        <v>23</v>
      </c>
      <c r="L6">
        <v>434</v>
      </c>
      <c r="M6" s="4">
        <v>12.123669100000001</v>
      </c>
      <c r="N6" s="4">
        <v>230.28106849151257</v>
      </c>
      <c r="O6" s="4">
        <v>5.5533101365517409E-2</v>
      </c>
      <c r="P6" s="1" t="str">
        <f>HYPERLINK(".\sm_car_250702_1901\sm_car_250702_1901_005_Ca002TrN_MaWOT_DrSt_ode23t.png","figure")</f>
        <v>figure</v>
      </c>
      <c r="Q6" t="s">
        <v>15</v>
      </c>
      <c r="V6" t="b">
        <f>B6='2024b_250504_0030'!B6</f>
        <v>1</v>
      </c>
      <c r="W6">
        <f>L6-'2024b_250504_0030'!K6</f>
        <v>-19</v>
      </c>
      <c r="X6" s="7">
        <f>W6/'2024b_250504_0030'!K6</f>
        <v>-4.194260485651214E-2</v>
      </c>
      <c r="Y6" s="4">
        <f>M6-'2024b_250504_0030'!L6</f>
        <v>-0.27705089999999899</v>
      </c>
      <c r="Z6" s="6">
        <f>Y6/'2024b_250504_0030'!L6</f>
        <v>-2.2341517266739271E-2</v>
      </c>
    </row>
    <row r="7" spans="1:26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147</v>
      </c>
      <c r="K7" t="s">
        <v>23</v>
      </c>
      <c r="L7">
        <v>515</v>
      </c>
      <c r="M7" s="4">
        <v>12.581928100000001</v>
      </c>
      <c r="N7" s="4">
        <v>70.957576096496226</v>
      </c>
      <c r="O7" s="4">
        <v>-0.53010811020140536</v>
      </c>
      <c r="P7" s="1" t="str">
        <f>HYPERLINK(".\sm_car_250702_1901\sm_car_250702_1901_006_Ca002TrN_MaLSS_DrSt_ode23t.png","figure")</f>
        <v>figure</v>
      </c>
      <c r="Q7" t="s">
        <v>15</v>
      </c>
      <c r="V7" t="b">
        <f>B7='2024b_250504_0030'!B7</f>
        <v>1</v>
      </c>
      <c r="W7">
        <f>L7-'2024b_250504_0030'!K7</f>
        <v>-8</v>
      </c>
      <c r="X7" s="7">
        <f>W7/'2024b_250504_0030'!K7</f>
        <v>-1.5296367112810707E-2</v>
      </c>
      <c r="Y7" s="4">
        <f>M7-'2024b_250504_0030'!L7</f>
        <v>0.98371390000000147</v>
      </c>
      <c r="Z7" s="6">
        <f>Y7/'2024b_250504_0030'!L7</f>
        <v>8.4815979687631701E-2</v>
      </c>
    </row>
    <row r="8" spans="1:26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147</v>
      </c>
      <c r="K8" t="s">
        <v>23</v>
      </c>
      <c r="L8">
        <v>481</v>
      </c>
      <c r="M8" s="4">
        <v>14.160207</v>
      </c>
      <c r="N8" s="4">
        <v>229.96565835925921</v>
      </c>
      <c r="O8" s="4">
        <v>4.7177509322338489E-2</v>
      </c>
      <c r="P8" s="1" t="str">
        <f>HYPERLINK(".\sm_car_250702_1901\sm_car_250702_1901_007_Ca003TrN_MaWOT_DrSt_ode23t.png","figure")</f>
        <v>figure</v>
      </c>
      <c r="Q8" t="s">
        <v>15</v>
      </c>
      <c r="V8" t="b">
        <f>B8='2024b_250504_0030'!B8</f>
        <v>1</v>
      </c>
      <c r="W8">
        <f>L8-'2024b_250504_0030'!K8</f>
        <v>17</v>
      </c>
      <c r="X8" s="7">
        <f>W8/'2024b_250504_0030'!K8</f>
        <v>3.6637931034482756E-2</v>
      </c>
      <c r="Y8" s="4">
        <f>M8-'2024b_250504_0030'!L8</f>
        <v>0.88637669999999957</v>
      </c>
      <c r="Z8" s="6">
        <f>Y8/'2024b_250504_0030'!L8</f>
        <v>6.6776256737288528E-2</v>
      </c>
    </row>
    <row r="9" spans="1:26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147</v>
      </c>
      <c r="K9" t="s">
        <v>23</v>
      </c>
      <c r="L9">
        <v>552</v>
      </c>
      <c r="M9" s="4">
        <v>14.0689651</v>
      </c>
      <c r="N9" s="4">
        <v>70.827548877551081</v>
      </c>
      <c r="O9" s="4">
        <v>-0.52814858943816034</v>
      </c>
      <c r="P9" s="1" t="str">
        <f>HYPERLINK(".\sm_car_250702_1901\sm_car_250702_1901_008_Ca003TrN_MaLSS_DrSt_ode23t.png","figure")</f>
        <v>figure</v>
      </c>
      <c r="Q9" t="s">
        <v>15</v>
      </c>
      <c r="V9" t="b">
        <f>B9='2024b_250504_0030'!B9</f>
        <v>1</v>
      </c>
      <c r="W9">
        <f>L9-'2024b_250504_0030'!K9</f>
        <v>6</v>
      </c>
      <c r="X9" s="7">
        <f>W9/'2024b_250504_0030'!K9</f>
        <v>1.098901098901099E-2</v>
      </c>
      <c r="Y9" s="4">
        <f>M9-'2024b_250504_0030'!L9</f>
        <v>2.5892017000000003</v>
      </c>
      <c r="Z9" s="6">
        <f>Y9/'2024b_250504_0030'!L9</f>
        <v>0.2255448661947162</v>
      </c>
    </row>
    <row r="10" spans="1:26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147</v>
      </c>
      <c r="K10" t="s">
        <v>23</v>
      </c>
      <c r="L10">
        <v>1089</v>
      </c>
      <c r="M10" s="4">
        <v>13.457891999999999</v>
      </c>
      <c r="N10" s="4">
        <v>231.29279007948639</v>
      </c>
      <c r="O10" s="4">
        <v>-3.7491405077278088E-3</v>
      </c>
      <c r="P10" s="1" t="str">
        <f>HYPERLINK(".\sm_car_250702_1901\sm_car_250702_1901_009_Ca004TrN_MaWOT_DrSt_ode23t.png","figure")</f>
        <v>figure</v>
      </c>
      <c r="Q10" t="s">
        <v>15</v>
      </c>
      <c r="V10" t="b">
        <f>B10='2024b_250504_0030'!B10</f>
        <v>1</v>
      </c>
      <c r="W10">
        <f>L10-'2024b_250504_0030'!K10</f>
        <v>1</v>
      </c>
      <c r="X10" s="7">
        <f>W10/'2024b_250504_0030'!K10</f>
        <v>9.1911764705882352E-4</v>
      </c>
      <c r="Y10" s="4">
        <f>M10-'2024b_250504_0030'!L10</f>
        <v>1.4899157999999986</v>
      </c>
      <c r="Z10" s="6">
        <f>Y10/'2024b_250504_0030'!L10</f>
        <v>0.12449187524286676</v>
      </c>
    </row>
    <row r="11" spans="1:26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147</v>
      </c>
      <c r="K11" t="s">
        <v>23</v>
      </c>
      <c r="L11">
        <v>1208</v>
      </c>
      <c r="M11" s="4">
        <v>14.838337900000001</v>
      </c>
      <c r="N11" s="4">
        <v>71.247529607839866</v>
      </c>
      <c r="O11" s="4">
        <v>-0.54125530864672244</v>
      </c>
      <c r="P11" s="1" t="str">
        <f>HYPERLINK(".\sm_car_250702_1901\sm_car_250702_1901_010_Ca004TrN_MaLSS_DrSt_ode23t.png","figure")</f>
        <v>figure</v>
      </c>
      <c r="Q11" t="s">
        <v>15</v>
      </c>
      <c r="V11" t="b">
        <f>B11='2024b_250504_0030'!B11</f>
        <v>1</v>
      </c>
      <c r="W11">
        <f>L11-'2024b_250504_0030'!K11</f>
        <v>12</v>
      </c>
      <c r="X11" s="7">
        <f>W11/'2024b_250504_0030'!K11</f>
        <v>1.0033444816053512E-2</v>
      </c>
      <c r="Y11" s="4">
        <f>M11-'2024b_250504_0030'!L11</f>
        <v>1.7553707000000003</v>
      </c>
      <c r="Z11" s="6">
        <f>Y11/'2024b_250504_0030'!L11</f>
        <v>0.13417221591750228</v>
      </c>
    </row>
    <row r="12" spans="1:26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147</v>
      </c>
      <c r="K12" t="s">
        <v>23</v>
      </c>
      <c r="L12">
        <v>1130</v>
      </c>
      <c r="M12" s="4">
        <v>15.6842176</v>
      </c>
      <c r="N12" s="4">
        <v>230.32939457383347</v>
      </c>
      <c r="O12" s="4">
        <v>-1.0529868035400543E-2</v>
      </c>
      <c r="P12" s="1" t="str">
        <f>HYPERLINK(".\sm_car_250702_1901\sm_car_250702_1901_011_Ca005TrN_MaWOT_DrSt_ode23t.png","figure")</f>
        <v>figure</v>
      </c>
      <c r="Q12" t="s">
        <v>15</v>
      </c>
      <c r="V12" t="b">
        <f>B12='2024b_250504_0030'!B12</f>
        <v>1</v>
      </c>
      <c r="W12">
        <f>L12-'2024b_250504_0030'!K12</f>
        <v>9</v>
      </c>
      <c r="X12" s="7">
        <f>W12/'2024b_250504_0030'!K12</f>
        <v>8.0285459411239962E-3</v>
      </c>
      <c r="Y12" s="4">
        <f>M12-'2024b_250504_0030'!L12</f>
        <v>2.015429300000001</v>
      </c>
      <c r="Z12" s="6">
        <f>Y12/'2024b_250504_0030'!L12</f>
        <v>0.14744754661245291</v>
      </c>
    </row>
    <row r="13" spans="1:26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147</v>
      </c>
      <c r="K13" t="s">
        <v>23</v>
      </c>
      <c r="L13">
        <v>1233</v>
      </c>
      <c r="M13" s="4">
        <v>18.227318799999999</v>
      </c>
      <c r="N13" s="4">
        <v>70.962509885793409</v>
      </c>
      <c r="O13" s="4">
        <v>-0.5379166977355847</v>
      </c>
      <c r="P13" s="1" t="str">
        <f>HYPERLINK(".\sm_car_250702_1901\sm_car_250702_1901_012_Ca005TrN_MaLSS_DrSt_ode23t.png","figure")</f>
        <v>figure</v>
      </c>
      <c r="Q13" t="s">
        <v>15</v>
      </c>
      <c r="V13" t="b">
        <f>B13='2024b_250504_0030'!B13</f>
        <v>1</v>
      </c>
      <c r="W13">
        <f>L13-'2024b_250504_0030'!K13</f>
        <v>13</v>
      </c>
      <c r="X13" s="7">
        <f>W13/'2024b_250504_0030'!K13</f>
        <v>1.0655737704918032E-2</v>
      </c>
      <c r="Y13" s="4">
        <f>M13-'2024b_250504_0030'!L13</f>
        <v>3.0671723999999987</v>
      </c>
      <c r="Z13" s="6">
        <f>Y13/'2024b_250504_0030'!L13</f>
        <v>0.2023181253711375</v>
      </c>
    </row>
    <row r="14" spans="1:26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147</v>
      </c>
      <c r="K14" t="s">
        <v>23</v>
      </c>
      <c r="L14">
        <v>1197</v>
      </c>
      <c r="M14" s="4">
        <v>19.746691899999998</v>
      </c>
      <c r="N14" s="4">
        <v>230.27867113034296</v>
      </c>
      <c r="O14" s="4">
        <v>5.1971239186879445E-2</v>
      </c>
      <c r="P14" s="1" t="str">
        <f>HYPERLINK(".\sm_car_250702_1901\sm_car_250702_1901_013_Ca006TrN_MaWOT_DrSt_ode23t.png","figure")</f>
        <v>figure</v>
      </c>
      <c r="Q14" t="s">
        <v>15</v>
      </c>
      <c r="V14" t="b">
        <f>B14='2024b_250504_0030'!B14</f>
        <v>1</v>
      </c>
      <c r="W14">
        <f>L14-'2024b_250504_0030'!K14</f>
        <v>-9</v>
      </c>
      <c r="X14" s="7">
        <f>W14/'2024b_250504_0030'!K14</f>
        <v>-7.462686567164179E-3</v>
      </c>
      <c r="Y14" s="4">
        <f>M14-'2024b_250504_0030'!L14</f>
        <v>3.5305679999999988</v>
      </c>
      <c r="Z14" s="6">
        <f>Y14/'2024b_250504_0030'!L14</f>
        <v>0.21771959944139296</v>
      </c>
    </row>
    <row r="15" spans="1:26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147</v>
      </c>
      <c r="K15" t="s">
        <v>23</v>
      </c>
      <c r="L15">
        <v>1273</v>
      </c>
      <c r="M15" s="4">
        <v>18.577776400000001</v>
      </c>
      <c r="N15" s="4">
        <v>70.963354229279233</v>
      </c>
      <c r="O15" s="4">
        <v>-0.53224094576414693</v>
      </c>
      <c r="P15" s="1" t="str">
        <f>HYPERLINK(".\sm_car_250702_1901\sm_car_250702_1901_014_Ca006TrN_MaLSS_DrSt_ode23t.png","figure")</f>
        <v>figure</v>
      </c>
      <c r="Q15" t="s">
        <v>15</v>
      </c>
      <c r="V15" t="b">
        <f>B15='2024b_250504_0030'!B15</f>
        <v>1</v>
      </c>
      <c r="W15">
        <f>L15-'2024b_250504_0030'!K15</f>
        <v>-20</v>
      </c>
      <c r="X15" s="7">
        <f>W15/'2024b_250504_0030'!K15</f>
        <v>-1.5467904098994586E-2</v>
      </c>
      <c r="Y15" s="4">
        <f>M15-'2024b_250504_0030'!L15</f>
        <v>2.3316978000000006</v>
      </c>
      <c r="Z15" s="6">
        <f>Y15/'2024b_250504_0030'!L15</f>
        <v>0.14352373008954916</v>
      </c>
    </row>
    <row r="16" spans="1:26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147</v>
      </c>
      <c r="K16" t="s">
        <v>23</v>
      </c>
      <c r="L16">
        <v>1192</v>
      </c>
      <c r="M16" s="4">
        <v>20.722100399999999</v>
      </c>
      <c r="N16" s="4">
        <v>229.92308171118333</v>
      </c>
      <c r="O16" s="4">
        <v>5.3158577367316377E-2</v>
      </c>
      <c r="P16" s="1" t="str">
        <f>HYPERLINK(".\sm_car_250702_1901\sm_car_250702_1901_015_Ca007TrN_MaWOT_DrSt_ode23t.png","figure")</f>
        <v>figure</v>
      </c>
      <c r="Q16" t="s">
        <v>15</v>
      </c>
      <c r="V16" t="b">
        <f>B16='2024b_250504_0030'!B16</f>
        <v>1</v>
      </c>
      <c r="W16">
        <f>L16-'2024b_250504_0030'!K16</f>
        <v>-4</v>
      </c>
      <c r="X16" s="7">
        <f>W16/'2024b_250504_0030'!K16</f>
        <v>-3.3444816053511705E-3</v>
      </c>
      <c r="Y16" s="4">
        <f>M16-'2024b_250504_0030'!L16</f>
        <v>3.2378479999999996</v>
      </c>
      <c r="Z16" s="6">
        <f>Y16/'2024b_250504_0030'!L16</f>
        <v>0.1851865281926495</v>
      </c>
    </row>
    <row r="17" spans="1:2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147</v>
      </c>
      <c r="K17" t="s">
        <v>23</v>
      </c>
      <c r="L17">
        <v>1263</v>
      </c>
      <c r="M17" s="4">
        <v>19.5358202</v>
      </c>
      <c r="N17" s="4">
        <v>70.829682083862636</v>
      </c>
      <c r="O17" s="4">
        <v>-0.53031033418943996</v>
      </c>
      <c r="P17" s="1" t="str">
        <f>HYPERLINK(".\sm_car_250702_1901\sm_car_250702_1901_016_Ca007TrN_MaLSS_DrSt_ode23t.png","figure")</f>
        <v>figure</v>
      </c>
      <c r="Q17" t="s">
        <v>15</v>
      </c>
      <c r="V17" t="b">
        <f>B17='2024b_250504_0030'!B17</f>
        <v>1</v>
      </c>
      <c r="W17">
        <f>L17-'2024b_250504_0030'!K17</f>
        <v>-9</v>
      </c>
      <c r="X17" s="7">
        <f>W17/'2024b_250504_0030'!K17</f>
        <v>-7.0754716981132077E-3</v>
      </c>
      <c r="Y17" s="4">
        <f>M17-'2024b_250504_0030'!L17</f>
        <v>1.6821917000000006</v>
      </c>
      <c r="Z17" s="6">
        <f>Y17/'2024b_250504_0030'!L17</f>
        <v>9.4221278324459409E-2</v>
      </c>
    </row>
    <row r="18" spans="1:2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147</v>
      </c>
      <c r="K18" t="s">
        <v>23</v>
      </c>
      <c r="L18">
        <v>403</v>
      </c>
      <c r="M18" s="4">
        <v>6.7998716999999997</v>
      </c>
      <c r="N18" s="4">
        <v>231.96560416342828</v>
      </c>
      <c r="O18" s="4">
        <v>-7.2381442432730869E-2</v>
      </c>
      <c r="P18" s="1" t="str">
        <f>HYPERLINK(".\sm_car_250702_1901\sm_car_250702_1901_017_Ca016TrN_MaWOT_DrSt_ode23t.png","figure")</f>
        <v>figure</v>
      </c>
      <c r="Q18" t="s">
        <v>15</v>
      </c>
      <c r="V18" t="b">
        <f>B18='2024b_250504_0030'!B18</f>
        <v>1</v>
      </c>
      <c r="W18">
        <f>L18-'2024b_250504_0030'!K18</f>
        <v>-13</v>
      </c>
      <c r="X18" s="7">
        <f>W18/'2024b_250504_0030'!K18</f>
        <v>-3.125E-2</v>
      </c>
      <c r="Y18" s="4">
        <f>M18-'2024b_250504_0030'!L18</f>
        <v>0.43745989999999946</v>
      </c>
      <c r="Z18" s="6">
        <f>Y18/'2024b_250504_0030'!L18</f>
        <v>6.8756929565608985E-2</v>
      </c>
    </row>
    <row r="19" spans="1:2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147</v>
      </c>
      <c r="K19" t="s">
        <v>23</v>
      </c>
      <c r="L19">
        <v>480</v>
      </c>
      <c r="M19" s="4">
        <v>6.8252503999999998</v>
      </c>
      <c r="N19" s="4">
        <v>71.5235988428756</v>
      </c>
      <c r="O19" s="4">
        <v>-2.1717164716426218E-2</v>
      </c>
      <c r="P19" s="1" t="str">
        <f>HYPERLINK(".\sm_car_250702_1901\sm_car_250702_1901_018_Ca016TrN_MaLSS_DrSt_ode23t.png","figure")</f>
        <v>figure</v>
      </c>
      <c r="Q19" t="s">
        <v>15</v>
      </c>
      <c r="V19" t="b">
        <f>B19='2024b_250504_0030'!B19</f>
        <v>1</v>
      </c>
      <c r="W19">
        <f>L19-'2024b_250504_0030'!K19</f>
        <v>-18</v>
      </c>
      <c r="X19" s="7">
        <f>W19/'2024b_250504_0030'!K19</f>
        <v>-3.614457831325301E-2</v>
      </c>
      <c r="Y19" s="4">
        <f>M19-'2024b_250504_0030'!L19</f>
        <v>0.79703090000000021</v>
      </c>
      <c r="Z19" s="6">
        <f>Y19/'2024b_250504_0030'!L19</f>
        <v>0.13221663544268755</v>
      </c>
    </row>
    <row r="20" spans="1:2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147</v>
      </c>
      <c r="K20" t="s">
        <v>23</v>
      </c>
      <c r="L20">
        <v>405</v>
      </c>
      <c r="M20" s="4">
        <v>9.2139354999999998</v>
      </c>
      <c r="N20" s="4">
        <v>231.09636507350712</v>
      </c>
      <c r="O20" s="4">
        <v>7.4862725897613903E-3</v>
      </c>
      <c r="P20" s="1" t="str">
        <f>HYPERLINK(".\sm_car_250702_1901\sm_car_250702_1901_019_Ca032TrN_MaWOT_DrSt_ode23t.png","figure")</f>
        <v>figure</v>
      </c>
      <c r="Q20" t="s">
        <v>15</v>
      </c>
      <c r="V20" t="b">
        <f>B20='2024b_250504_0030'!B20</f>
        <v>1</v>
      </c>
      <c r="W20">
        <f>L20-'2024b_250504_0030'!K20</f>
        <v>-2</v>
      </c>
      <c r="X20" s="7">
        <f>W20/'2024b_250504_0030'!K20</f>
        <v>-4.9140049140049139E-3</v>
      </c>
      <c r="Y20" s="4">
        <f>M20-'2024b_250504_0030'!L20</f>
        <v>0.48184239999999967</v>
      </c>
      <c r="Z20" s="6">
        <f>Y20/'2024b_250504_0030'!L20</f>
        <v>5.5180630174453779E-2</v>
      </c>
    </row>
    <row r="21" spans="1:2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147</v>
      </c>
      <c r="K21" t="s">
        <v>23</v>
      </c>
      <c r="L21">
        <v>516</v>
      </c>
      <c r="M21" s="4">
        <v>10.120650299999999</v>
      </c>
      <c r="N21" s="4">
        <v>71.247955112767585</v>
      </c>
      <c r="O21" s="4">
        <v>-0.52328768476789989</v>
      </c>
      <c r="P21" s="1" t="str">
        <f>HYPERLINK(".\sm_car_250702_1901\sm_car_250702_1901_020_Ca032TrN_MaLSS_DrSt_ode23t.png","figure")</f>
        <v>figure</v>
      </c>
      <c r="Q21" t="s">
        <v>15</v>
      </c>
      <c r="V21" t="b">
        <f>B21='2024b_250504_0030'!B21</f>
        <v>1</v>
      </c>
      <c r="W21">
        <f>L21-'2024b_250504_0030'!K21</f>
        <v>-3</v>
      </c>
      <c r="X21" s="7">
        <f>W21/'2024b_250504_0030'!K21</f>
        <v>-5.7803468208092483E-3</v>
      </c>
      <c r="Y21" s="4">
        <f>M21-'2024b_250504_0030'!L21</f>
        <v>1.3583115999999986</v>
      </c>
      <c r="Z21" s="6">
        <f>Y21/'2024b_250504_0030'!L21</f>
        <v>0.15501701617628619</v>
      </c>
    </row>
    <row r="22" spans="1:2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147</v>
      </c>
      <c r="K22" t="s">
        <v>23</v>
      </c>
      <c r="L22">
        <v>399</v>
      </c>
      <c r="M22" s="4">
        <v>9.2269182999999995</v>
      </c>
      <c r="N22" s="4">
        <v>231.35789077577942</v>
      </c>
      <c r="O22" s="4">
        <v>-1.7326344445185788E-2</v>
      </c>
      <c r="P22" s="1" t="str">
        <f>HYPERLINK(".\sm_car_250702_1901\sm_car_250702_1901_021_Ca048TrN_MaWOT_DrSt_ode23t.png","figure")</f>
        <v>figure</v>
      </c>
      <c r="Q22" t="s">
        <v>15</v>
      </c>
      <c r="V22" t="b">
        <f>B22='2024b_250504_0030'!B22</f>
        <v>1</v>
      </c>
      <c r="W22">
        <f>L22-'2024b_250504_0030'!K22</f>
        <v>-16</v>
      </c>
      <c r="X22" s="7">
        <f>W22/'2024b_250504_0030'!K22</f>
        <v>-3.8554216867469883E-2</v>
      </c>
      <c r="Y22" s="4">
        <f>M22-'2024b_250504_0030'!L22</f>
        <v>0.82325309999999874</v>
      </c>
      <c r="Z22" s="6">
        <f>Y22/'2024b_250504_0030'!L22</f>
        <v>9.7963576654624296E-2</v>
      </c>
    </row>
    <row r="23" spans="1:2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147</v>
      </c>
      <c r="K23" t="s">
        <v>23</v>
      </c>
      <c r="L23">
        <v>533</v>
      </c>
      <c r="M23" s="4">
        <v>12.02233</v>
      </c>
      <c r="N23" s="4">
        <v>71.241129897486829</v>
      </c>
      <c r="O23" s="4">
        <v>-0.52477170462014389</v>
      </c>
      <c r="P23" s="1" t="str">
        <f>HYPERLINK(".\sm_car_250702_1901\sm_car_250702_1901_022_Ca048TrN_MaLSS_DrSt_ode23t.png","figure")</f>
        <v>figure</v>
      </c>
      <c r="Q23" t="s">
        <v>15</v>
      </c>
      <c r="V23" t="b">
        <f>B23='2024b_250504_0030'!B23</f>
        <v>1</v>
      </c>
      <c r="W23">
        <f>L23-'2024b_250504_0030'!K23</f>
        <v>9</v>
      </c>
      <c r="X23" s="7">
        <f>W23/'2024b_250504_0030'!K23</f>
        <v>1.717557251908397E-2</v>
      </c>
      <c r="Y23" s="4">
        <f>M23-'2024b_250504_0030'!L23</f>
        <v>2.2817146000000008</v>
      </c>
      <c r="Z23" s="6">
        <f>Y23/'2024b_250504_0030'!L23</f>
        <v>0.23424747886052466</v>
      </c>
    </row>
    <row r="24" spans="1:2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147</v>
      </c>
      <c r="K24" t="s">
        <v>23</v>
      </c>
      <c r="L24">
        <v>412</v>
      </c>
      <c r="M24" s="4">
        <v>9.9840136000000008</v>
      </c>
      <c r="N24" s="4">
        <v>231.37225573733505</v>
      </c>
      <c r="O24" s="4">
        <v>9.6715393855422559E-3</v>
      </c>
      <c r="P24" s="1" t="str">
        <f>HYPERLINK(".\sm_car_250702_1901\sm_car_250702_1901_023_Ca064TrN_MaWOT_DrSt_ode23t.png","figure")</f>
        <v>figure</v>
      </c>
      <c r="Q24" t="s">
        <v>15</v>
      </c>
      <c r="V24" t="b">
        <f>B24='2024b_250504_0030'!B24</f>
        <v>1</v>
      </c>
      <c r="W24">
        <f>L24-'2024b_250504_0030'!K24</f>
        <v>10</v>
      </c>
      <c r="X24" s="7">
        <f>W24/'2024b_250504_0030'!K24</f>
        <v>2.4875621890547265E-2</v>
      </c>
      <c r="Y24" s="4">
        <f>M24-'2024b_250504_0030'!L24</f>
        <v>1.6432234000000001</v>
      </c>
      <c r="Z24" s="6">
        <f>Y24/'2024b_250504_0030'!L24</f>
        <v>0.19701051826000851</v>
      </c>
    </row>
    <row r="25" spans="1:2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147</v>
      </c>
      <c r="K25" t="s">
        <v>23</v>
      </c>
      <c r="L25">
        <v>527</v>
      </c>
      <c r="M25" s="4">
        <v>10.587099200000001</v>
      </c>
      <c r="N25" s="4">
        <v>71.255001006260116</v>
      </c>
      <c r="O25" s="4">
        <v>-0.51823400924234464</v>
      </c>
      <c r="P25" s="1" t="str">
        <f>HYPERLINK(".\sm_car_250702_1901\sm_car_250702_1901_024_Ca064TrN_MaLSS_DrSt_ode23t.png","figure")</f>
        <v>figure</v>
      </c>
      <c r="Q25" t="s">
        <v>15</v>
      </c>
      <c r="V25" t="b">
        <f>B25='2024b_250504_0030'!B25</f>
        <v>1</v>
      </c>
      <c r="W25">
        <f>L25-'2024b_250504_0030'!K25</f>
        <v>5</v>
      </c>
      <c r="X25" s="7">
        <f>W25/'2024b_250504_0030'!K25</f>
        <v>9.5785440613026813E-3</v>
      </c>
      <c r="Y25" s="4">
        <f>M25-'2024b_250504_0030'!L25</f>
        <v>0.93614060000000165</v>
      </c>
      <c r="Z25" s="6">
        <f>Y25/'2024b_250504_0030'!L25</f>
        <v>9.6999752957183105E-2</v>
      </c>
    </row>
    <row r="26" spans="1:2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147</v>
      </c>
      <c r="K26" t="s">
        <v>23</v>
      </c>
      <c r="L26">
        <v>422</v>
      </c>
      <c r="M26" s="4">
        <v>10.5031403</v>
      </c>
      <c r="N26" s="4">
        <v>231.23172022216102</v>
      </c>
      <c r="O26" s="4">
        <v>-1.8982884857302599E-2</v>
      </c>
      <c r="P26" s="1" t="str">
        <f>HYPERLINK(".\sm_car_250702_1901\sm_car_250702_1901_025_Ca080TrN_MaWOT_DrSt_ode23t.png","figure")</f>
        <v>figure</v>
      </c>
      <c r="Q26" t="s">
        <v>15</v>
      </c>
      <c r="V26" t="b">
        <f>B26='2024b_250504_0030'!B26</f>
        <v>1</v>
      </c>
      <c r="W26">
        <f>L26-'2024b_250504_0030'!K26</f>
        <v>25</v>
      </c>
      <c r="X26" s="7">
        <f>W26/'2024b_250504_0030'!K26</f>
        <v>6.2972292191435769E-2</v>
      </c>
      <c r="Y26" s="4">
        <f>M26-'2024b_250504_0030'!L26</f>
        <v>1.5063062000000009</v>
      </c>
      <c r="Z26" s="6">
        <f>Y26/'2024b_250504_0030'!L26</f>
        <v>0.16742625052961699</v>
      </c>
    </row>
    <row r="27" spans="1:2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147</v>
      </c>
      <c r="K27" t="s">
        <v>23</v>
      </c>
      <c r="L27">
        <v>512</v>
      </c>
      <c r="M27" s="4">
        <v>11.039216100000001</v>
      </c>
      <c r="N27" s="4">
        <v>71.247972598443567</v>
      </c>
      <c r="O27" s="4">
        <v>-0.52248701860012448</v>
      </c>
      <c r="P27" s="1" t="str">
        <f>HYPERLINK(".\sm_car_250702_1901\sm_car_250702_1901_026_Ca080TrN_MaLSS_DrSt_ode23t.png","figure")</f>
        <v>figure</v>
      </c>
      <c r="Q27" t="s">
        <v>15</v>
      </c>
      <c r="V27" t="b">
        <f>B27='2024b_250504_0030'!B27</f>
        <v>1</v>
      </c>
      <c r="W27">
        <f>L27-'2024b_250504_0030'!K27</f>
        <v>-12</v>
      </c>
      <c r="X27" s="7">
        <f>W27/'2024b_250504_0030'!K27</f>
        <v>-2.2900763358778626E-2</v>
      </c>
      <c r="Y27" s="4">
        <f>M27-'2024b_250504_0030'!L27</f>
        <v>2.0286953000000008</v>
      </c>
      <c r="Z27" s="6">
        <f>Y27/'2024b_250504_0030'!L27</f>
        <v>0.22514739658555594</v>
      </c>
    </row>
    <row r="28" spans="1:2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147</v>
      </c>
      <c r="K28" t="s">
        <v>23</v>
      </c>
      <c r="L28">
        <v>407</v>
      </c>
      <c r="M28" s="4">
        <v>8.1410520000000002</v>
      </c>
      <c r="N28" s="4">
        <v>232.91377663486782</v>
      </c>
      <c r="O28" s="4">
        <v>1.8505834318396436E-2</v>
      </c>
      <c r="P28" s="1" t="str">
        <f>HYPERLINK(".\sm_car_250702_1901\sm_car_250702_1901_027_Ca096TrN_MaWOT_DrSt_ode23t.png","figure")</f>
        <v>figure</v>
      </c>
      <c r="Q28" t="s">
        <v>15</v>
      </c>
      <c r="V28" t="b">
        <f>B28='2024b_250504_0030'!B28</f>
        <v>1</v>
      </c>
      <c r="W28">
        <f>L28-'2024b_250504_0030'!K28</f>
        <v>-6</v>
      </c>
      <c r="X28" s="7">
        <f>W28/'2024b_250504_0030'!K28</f>
        <v>-1.4527845036319613E-2</v>
      </c>
      <c r="Y28" s="4">
        <f>M28-'2024b_250504_0030'!L28</f>
        <v>1.4482631000000001</v>
      </c>
      <c r="Z28" s="6">
        <f>Y28/'2024b_250504_0030'!L28</f>
        <v>0.21639157033624654</v>
      </c>
    </row>
    <row r="29" spans="1:2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147</v>
      </c>
      <c r="K29" t="s">
        <v>23</v>
      </c>
      <c r="L29">
        <v>530</v>
      </c>
      <c r="M29" s="4">
        <v>9.5392878000000003</v>
      </c>
      <c r="N29" s="4">
        <v>71.764910029474507</v>
      </c>
      <c r="O29" s="4">
        <v>-0.52864687778566466</v>
      </c>
      <c r="P29" s="1" t="str">
        <f>HYPERLINK(".\sm_car_250702_1901\sm_car_250702_1901_028_Ca096TrN_MaLSS_DrSt_ode23t.png","figure")</f>
        <v>figure</v>
      </c>
      <c r="Q29" t="s">
        <v>15</v>
      </c>
      <c r="V29" t="b">
        <f>B29='2024b_250504_0030'!B29</f>
        <v>1</v>
      </c>
      <c r="W29">
        <f>L29-'2024b_250504_0030'!K29</f>
        <v>12</v>
      </c>
      <c r="X29" s="7">
        <f>W29/'2024b_250504_0030'!K29</f>
        <v>2.3166023166023165E-2</v>
      </c>
      <c r="Y29" s="4">
        <f>M29-'2024b_250504_0030'!L29</f>
        <v>1.9897837000000003</v>
      </c>
      <c r="Z29" s="6">
        <f>Y29/'2024b_250504_0030'!L29</f>
        <v>0.26356482142979432</v>
      </c>
    </row>
    <row r="30" spans="1:2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147</v>
      </c>
      <c r="K30" t="s">
        <v>23</v>
      </c>
      <c r="L30">
        <v>376</v>
      </c>
      <c r="M30" s="4">
        <v>3.1977391000000002</v>
      </c>
      <c r="N30" s="4">
        <v>242.71475573354644</v>
      </c>
      <c r="O30" s="4">
        <v>0.23559317744444436</v>
      </c>
      <c r="P30" s="1" t="str">
        <f>HYPERLINK(".\sm_car_250702_1901\sm_car_250702_1901_029_Ca112TrN_MaWOT_DrSt_ode23t.png","figure")</f>
        <v>figure</v>
      </c>
      <c r="Q30" t="s">
        <v>15</v>
      </c>
      <c r="V30" t="b">
        <f>B30='2024b_250504_0030'!B30</f>
        <v>1</v>
      </c>
      <c r="W30">
        <f>L30-'2024b_250504_0030'!K30</f>
        <v>1</v>
      </c>
      <c r="X30" s="7">
        <f>W30/'2024b_250504_0030'!K30</f>
        <v>2.6666666666666666E-3</v>
      </c>
      <c r="Y30" s="4">
        <f>M30-'2024b_250504_0030'!L30</f>
        <v>0.59899600000000008</v>
      </c>
      <c r="Z30" s="6">
        <f>Y30/'2024b_250504_0030'!L30</f>
        <v>0.23049450328506887</v>
      </c>
    </row>
    <row r="31" spans="1:2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147</v>
      </c>
      <c r="K31" t="s">
        <v>23</v>
      </c>
      <c r="L31">
        <v>477</v>
      </c>
      <c r="M31" s="4">
        <v>3.5807205999999998</v>
      </c>
      <c r="N31" s="4">
        <v>74.669988527470139</v>
      </c>
      <c r="O31" s="4">
        <v>-0.33333182469483508</v>
      </c>
      <c r="P31" s="1" t="str">
        <f>HYPERLINK(".\sm_car_250702_1901\sm_car_250702_1901_030_Ca112TrN_MaLSS_DrSt_ode23t.png","figure")</f>
        <v>figure</v>
      </c>
      <c r="Q31" t="s">
        <v>15</v>
      </c>
      <c r="V31" t="b">
        <f>B31='2024b_250504_0030'!B31</f>
        <v>1</v>
      </c>
      <c r="W31">
        <f>L31-'2024b_250504_0030'!K31</f>
        <v>-5</v>
      </c>
      <c r="X31" s="7">
        <f>W31/'2024b_250504_0030'!K31</f>
        <v>-1.0373443983402489E-2</v>
      </c>
      <c r="Y31" s="4">
        <f>M31-'2024b_250504_0030'!L31</f>
        <v>0.72020639999999991</v>
      </c>
      <c r="Z31" s="6">
        <f>Y31/'2024b_250504_0030'!L31</f>
        <v>0.25177515287286456</v>
      </c>
    </row>
    <row r="32" spans="1:2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147</v>
      </c>
      <c r="K32" t="s">
        <v>23</v>
      </c>
      <c r="L32">
        <v>376</v>
      </c>
      <c r="M32" s="4">
        <v>3.5753496999999999</v>
      </c>
      <c r="N32" s="4">
        <v>241.62953780953444</v>
      </c>
      <c r="O32" s="4">
        <v>0.23230223293694249</v>
      </c>
      <c r="P32" s="1" t="str">
        <f>HYPERLINK(".\sm_car_250702_1901\sm_car_250702_1901_031_Ca113TrN_MaWOT_DrSt_ode23t.png","figure")</f>
        <v>figure</v>
      </c>
      <c r="Q32" t="s">
        <v>15</v>
      </c>
      <c r="V32" t="b">
        <f>B32='2024b_250504_0030'!B32</f>
        <v>1</v>
      </c>
      <c r="W32">
        <f>L32-'2024b_250504_0030'!K32</f>
        <v>11</v>
      </c>
      <c r="X32" s="7">
        <f>W32/'2024b_250504_0030'!K32</f>
        <v>3.0136986301369864E-2</v>
      </c>
      <c r="Y32" s="4">
        <f>M32-'2024b_250504_0030'!L32</f>
        <v>0.45293289999999997</v>
      </c>
      <c r="Z32" s="6">
        <f>Y32/'2024b_250504_0030'!L32</f>
        <v>0.14505843678524916</v>
      </c>
    </row>
    <row r="33" spans="1:2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147</v>
      </c>
      <c r="K33" t="s">
        <v>23</v>
      </c>
      <c r="L33">
        <v>484</v>
      </c>
      <c r="M33" s="4">
        <v>3.8638001000000002</v>
      </c>
      <c r="N33" s="4">
        <v>74.340098687509567</v>
      </c>
      <c r="O33" s="4">
        <v>-0.33372692734011278</v>
      </c>
      <c r="P33" s="1" t="str">
        <f>HYPERLINK(".\sm_car_250702_1901\sm_car_250702_1901_032_Ca113TrN_MaLSS_DrSt_ode23t.png","figure")</f>
        <v>figure</v>
      </c>
      <c r="Q33" t="s">
        <v>15</v>
      </c>
      <c r="V33" t="b">
        <f>B33='2024b_250504_0030'!B33</f>
        <v>1</v>
      </c>
      <c r="W33">
        <f>L33-'2024b_250504_0030'!K33</f>
        <v>11</v>
      </c>
      <c r="X33" s="7">
        <f>W33/'2024b_250504_0030'!K33</f>
        <v>2.3255813953488372E-2</v>
      </c>
      <c r="Y33" s="4">
        <f>M33-'2024b_250504_0030'!L33</f>
        <v>0.62650210000000017</v>
      </c>
      <c r="Z33" s="6">
        <f>Y33/'2024b_250504_0030'!L33</f>
        <v>0.19352623700382238</v>
      </c>
    </row>
    <row r="34" spans="1:2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147</v>
      </c>
      <c r="K34" t="s">
        <v>23</v>
      </c>
      <c r="L34">
        <v>381</v>
      </c>
      <c r="M34" s="4">
        <v>3.9063919</v>
      </c>
      <c r="N34" s="4">
        <v>241.6949458920887</v>
      </c>
      <c r="O34" s="4">
        <v>0.23138206889408758</v>
      </c>
      <c r="P34" s="1" t="str">
        <f>HYPERLINK(".\sm_car_250702_1901\sm_car_250702_1901_033_Ca114TrN_MaWOT_DrSt_ode23t.png","figure")</f>
        <v>figure</v>
      </c>
      <c r="Q34" t="s">
        <v>15</v>
      </c>
      <c r="V34" t="b">
        <f>B34='2024b_250504_0030'!B34</f>
        <v>1</v>
      </c>
      <c r="W34">
        <f>L34-'2024b_250504_0030'!K34</f>
        <v>9</v>
      </c>
      <c r="X34" s="7">
        <f>W34/'2024b_250504_0030'!K34</f>
        <v>2.4193548387096774E-2</v>
      </c>
      <c r="Y34" s="4">
        <f>M34-'2024b_250504_0030'!L34</f>
        <v>0.66404340000000017</v>
      </c>
      <c r="Z34" s="6">
        <f>Y34/'2024b_250504_0030'!L34</f>
        <v>0.2048032159405444</v>
      </c>
    </row>
    <row r="35" spans="1:2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147</v>
      </c>
      <c r="K35" t="s">
        <v>23</v>
      </c>
      <c r="L35">
        <v>486</v>
      </c>
      <c r="M35" s="4">
        <v>4.5874595999999999</v>
      </c>
      <c r="N35" s="4">
        <v>74.361345656173739</v>
      </c>
      <c r="O35" s="4">
        <v>-0.33462528282329457</v>
      </c>
      <c r="P35" s="1" t="str">
        <f>HYPERLINK(".\sm_car_250702_1901\sm_car_250702_1901_034_Ca114TrN_MaLSS_DrSt_ode23t.png","figure")</f>
        <v>figure</v>
      </c>
      <c r="Q35" t="s">
        <v>15</v>
      </c>
      <c r="V35" t="b">
        <f>B35='2024b_250504_0030'!B35</f>
        <v>1</v>
      </c>
      <c r="W35">
        <f>L35-'2024b_250504_0030'!K35</f>
        <v>10</v>
      </c>
      <c r="X35" s="7">
        <f>W35/'2024b_250504_0030'!K35</f>
        <v>2.100840336134454E-2</v>
      </c>
      <c r="Y35" s="4">
        <f>M35-'2024b_250504_0030'!L35</f>
        <v>1.1415204999999999</v>
      </c>
      <c r="Z35" s="6">
        <f>Y35/'2024b_250504_0030'!L35</f>
        <v>0.33126543066300851</v>
      </c>
    </row>
    <row r="36" spans="1:2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147</v>
      </c>
      <c r="K36" t="s">
        <v>23</v>
      </c>
      <c r="L36">
        <v>411</v>
      </c>
      <c r="M36" s="4">
        <v>4.5212512</v>
      </c>
      <c r="N36" s="4">
        <v>241.1010208281381</v>
      </c>
      <c r="O36" s="4">
        <v>0.20810733907530432</v>
      </c>
      <c r="P36" s="1" t="str">
        <f>HYPERLINK(".\sm_car_250702_1901\sm_car_250702_1901_035_Ca115TrN_MaWOT_DrSt_ode23t.png","figure")</f>
        <v>figure</v>
      </c>
      <c r="Q36" t="s">
        <v>15</v>
      </c>
      <c r="V36" t="b">
        <f>B36='2024b_250504_0030'!B36</f>
        <v>1</v>
      </c>
      <c r="W36">
        <f>L36-'2024b_250504_0030'!K36</f>
        <v>17</v>
      </c>
      <c r="X36" s="7">
        <f>W36/'2024b_250504_0030'!K36</f>
        <v>4.3147208121827409E-2</v>
      </c>
      <c r="Y36" s="4">
        <f>M36-'2024b_250504_0030'!L36</f>
        <v>1.0257353</v>
      </c>
      <c r="Z36" s="6">
        <f>Y36/'2024b_250504_0030'!L36</f>
        <v>0.29344317958902721</v>
      </c>
    </row>
    <row r="37" spans="1:2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147</v>
      </c>
      <c r="K37" t="s">
        <v>23</v>
      </c>
      <c r="L37">
        <v>508</v>
      </c>
      <c r="M37" s="4">
        <v>4.2386067000000001</v>
      </c>
      <c r="N37" s="4">
        <v>74.196675134092615</v>
      </c>
      <c r="O37" s="4">
        <v>-0.33201652146956934</v>
      </c>
      <c r="P37" s="1" t="str">
        <f>HYPERLINK(".\sm_car_250702_1901\sm_car_250702_1901_036_Ca115TrN_MaLSS_DrSt_ode23t.png","figure")</f>
        <v>figure</v>
      </c>
      <c r="Q37" t="s">
        <v>15</v>
      </c>
      <c r="V37" t="b">
        <f>B37='2024b_250504_0030'!B37</f>
        <v>1</v>
      </c>
      <c r="W37">
        <f>L37-'2024b_250504_0030'!K37</f>
        <v>-1</v>
      </c>
      <c r="X37" s="7">
        <f>W37/'2024b_250504_0030'!K37</f>
        <v>-1.9646365422396855E-3</v>
      </c>
      <c r="Y37" s="4">
        <f>M37-'2024b_250504_0030'!L37</f>
        <v>0.52367879999999989</v>
      </c>
      <c r="Z37" s="6">
        <f>Y37/'2024b_250504_0030'!L37</f>
        <v>0.14096607366188718</v>
      </c>
    </row>
    <row r="38" spans="1:2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147</v>
      </c>
      <c r="K38" t="s">
        <v>23</v>
      </c>
      <c r="L38">
        <v>917</v>
      </c>
      <c r="M38" s="4">
        <v>5.7054634000000002</v>
      </c>
      <c r="N38" s="4">
        <v>242.55284377109695</v>
      </c>
      <c r="O38" s="4">
        <v>0.23659137482604095</v>
      </c>
      <c r="P38" s="1" t="str">
        <f>HYPERLINK(".\sm_car_250702_1901\sm_car_250702_1901_037_Ca116TrN_MaWOT_DrSt_ode23t.png","figure")</f>
        <v>figure</v>
      </c>
      <c r="Q38" t="s">
        <v>15</v>
      </c>
      <c r="V38" t="b">
        <f>B38='2024b_250504_0030'!B38</f>
        <v>1</v>
      </c>
      <c r="W38">
        <f>L38-'2024b_250504_0030'!K38</f>
        <v>-8</v>
      </c>
      <c r="X38" s="7">
        <f>W38/'2024b_250504_0030'!K38</f>
        <v>-8.6486486486486488E-3</v>
      </c>
      <c r="Y38" s="4">
        <f>M38-'2024b_250504_0030'!L38</f>
        <v>0.90255609999999997</v>
      </c>
      <c r="Z38" s="6">
        <f>Y38/'2024b_250504_0030'!L38</f>
        <v>0.18791870082522724</v>
      </c>
    </row>
    <row r="39" spans="1:2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147</v>
      </c>
      <c r="K39" t="s">
        <v>23</v>
      </c>
      <c r="L39">
        <v>1057</v>
      </c>
      <c r="M39" s="4">
        <v>6.5871358999999998</v>
      </c>
      <c r="N39" s="4">
        <v>74.662659723869751</v>
      </c>
      <c r="O39" s="4">
        <v>-0.3401055901651473</v>
      </c>
      <c r="P39" s="1" t="str">
        <f>HYPERLINK(".\sm_car_250702_1901\sm_car_250702_1901_038_Ca116TrN_MaLSS_DrSt_ode23t.png","figure")</f>
        <v>figure</v>
      </c>
      <c r="Q39" t="s">
        <v>15</v>
      </c>
      <c r="V39" t="b">
        <f>B39='2024b_250504_0030'!B39</f>
        <v>1</v>
      </c>
      <c r="W39">
        <f>L39-'2024b_250504_0030'!K39</f>
        <v>-6</v>
      </c>
      <c r="X39" s="7">
        <f>W39/'2024b_250504_0030'!K39</f>
        <v>-5.6444026340545629E-3</v>
      </c>
      <c r="Y39" s="4">
        <f>M39-'2024b_250504_0030'!L39</f>
        <v>1.1500503999999996</v>
      </c>
      <c r="Z39" s="6">
        <f>Y39/'2024b_250504_0030'!L39</f>
        <v>0.2115196459573791</v>
      </c>
    </row>
    <row r="40" spans="1:2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147</v>
      </c>
      <c r="K40" t="s">
        <v>23</v>
      </c>
      <c r="L40">
        <v>963</v>
      </c>
      <c r="M40" s="4">
        <v>6.2343257999999997</v>
      </c>
      <c r="N40" s="4">
        <v>241.50229099389202</v>
      </c>
      <c r="O40" s="4">
        <v>0.23261616238238711</v>
      </c>
      <c r="P40" s="1" t="str">
        <f>HYPERLINK(".\sm_car_250702_1901\sm_car_250702_1901_039_Ca117TrN_MaWOT_DrSt_ode23t.png","figure")</f>
        <v>figure</v>
      </c>
      <c r="Q40" t="s">
        <v>15</v>
      </c>
      <c r="V40" t="b">
        <f>B40='2024b_250504_0030'!B40</f>
        <v>1</v>
      </c>
      <c r="W40">
        <f>L40-'2024b_250504_0030'!K40</f>
        <v>-8</v>
      </c>
      <c r="X40" s="7">
        <f>W40/'2024b_250504_0030'!K40</f>
        <v>-8.2389289392378988E-3</v>
      </c>
      <c r="Y40" s="4">
        <f>M40-'2024b_250504_0030'!L40</f>
        <v>0.32474150000000002</v>
      </c>
      <c r="Z40" s="6">
        <f>Y40/'2024b_250504_0030'!L40</f>
        <v>5.4951665551162376E-2</v>
      </c>
    </row>
    <row r="41" spans="1:2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147</v>
      </c>
      <c r="K41" t="s">
        <v>23</v>
      </c>
      <c r="L41">
        <v>1063</v>
      </c>
      <c r="M41" s="4">
        <v>9.3367848999999996</v>
      </c>
      <c r="N41" s="4">
        <v>74.339005108528042</v>
      </c>
      <c r="O41" s="4">
        <v>-0.33658754453363837</v>
      </c>
      <c r="P41" s="1" t="str">
        <f>HYPERLINK(".\sm_car_250702_1901\sm_car_250702_1901_040_Ca117TrN_MaLSS_DrSt_ode23t.png","figure")</f>
        <v>figure</v>
      </c>
      <c r="Q41" t="s">
        <v>15</v>
      </c>
      <c r="V41" t="b">
        <f>B41='2024b_250504_0030'!B41</f>
        <v>1</v>
      </c>
      <c r="W41">
        <f>L41-'2024b_250504_0030'!K41</f>
        <v>-20</v>
      </c>
      <c r="X41" s="7">
        <f>W41/'2024b_250504_0030'!K41</f>
        <v>-1.8467220683287166E-2</v>
      </c>
      <c r="Y41" s="4">
        <f>M41-'2024b_250504_0030'!L41</f>
        <v>2.9995265999999994</v>
      </c>
      <c r="Z41" s="6">
        <f>Y41/'2024b_250504_0030'!L41</f>
        <v>0.47331613420270391</v>
      </c>
    </row>
    <row r="42" spans="1:2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147</v>
      </c>
      <c r="K42" t="s">
        <v>23</v>
      </c>
      <c r="L42">
        <v>952</v>
      </c>
      <c r="M42" s="4">
        <v>6.4656805000000004</v>
      </c>
      <c r="N42" s="4">
        <v>241.36532401579007</v>
      </c>
      <c r="O42" s="4">
        <v>0.23298292468366089</v>
      </c>
      <c r="P42" s="1" t="str">
        <f>HYPERLINK(".\sm_car_250702_1901\sm_car_250702_1901_041_Ca118TrN_MaWOT_DrSt_ode23t.png","figure")</f>
        <v>figure</v>
      </c>
      <c r="Q42" t="s">
        <v>15</v>
      </c>
      <c r="V42" t="b">
        <f>B42='2024b_250504_0030'!B42</f>
        <v>1</v>
      </c>
      <c r="W42">
        <f>L42-'2024b_250504_0030'!K42</f>
        <v>-8</v>
      </c>
      <c r="X42" s="7">
        <f>W42/'2024b_250504_0030'!K42</f>
        <v>-8.3333333333333332E-3</v>
      </c>
      <c r="Y42" s="4">
        <f>M42-'2024b_250504_0030'!L42</f>
        <v>0.91094690000000078</v>
      </c>
      <c r="Z42" s="6">
        <f>Y42/'2024b_250504_0030'!L42</f>
        <v>0.1639947053446453</v>
      </c>
    </row>
    <row r="43" spans="1:2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147</v>
      </c>
      <c r="K43" t="s">
        <v>23</v>
      </c>
      <c r="L43">
        <v>1069</v>
      </c>
      <c r="M43" s="4">
        <v>9.0511259000000006</v>
      </c>
      <c r="N43" s="4">
        <v>74.336586889550276</v>
      </c>
      <c r="O43" s="4">
        <v>-0.33434453915553519</v>
      </c>
      <c r="P43" s="1" t="str">
        <f>HYPERLINK(".\sm_car_250702_1901\sm_car_250702_1901_042_Ca118TrN_MaLSS_DrSt_ode23t.png","figure")</f>
        <v>figure</v>
      </c>
      <c r="Q43" t="s">
        <v>15</v>
      </c>
      <c r="V43" t="b">
        <f>B43='2024b_250504_0030'!B43</f>
        <v>1</v>
      </c>
      <c r="W43">
        <f>L43-'2024b_250504_0030'!K43</f>
        <v>-1</v>
      </c>
      <c r="X43" s="7">
        <f>W43/'2024b_250504_0030'!K43</f>
        <v>-9.3457943925233649E-4</v>
      </c>
      <c r="Y43" s="4">
        <f>M43-'2024b_250504_0030'!L43</f>
        <v>2.6145916000000007</v>
      </c>
      <c r="Z43" s="6">
        <f>Y43/'2024b_250504_0030'!L43</f>
        <v>0.40621108785204496</v>
      </c>
    </row>
    <row r="44" spans="1:2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147</v>
      </c>
      <c r="K44" t="s">
        <v>23</v>
      </c>
      <c r="L44">
        <v>991</v>
      </c>
      <c r="M44" s="4">
        <v>7.1682746000000002</v>
      </c>
      <c r="N44" s="4">
        <v>241.04691881414982</v>
      </c>
      <c r="O44" s="4">
        <v>0.23218578975433146</v>
      </c>
      <c r="P44" s="1" t="str">
        <f>HYPERLINK(".\sm_car_250702_1901\sm_car_250702_1901_043_Ca119TrN_MaWOT_DrSt_ode23t.png","figure")</f>
        <v>figure</v>
      </c>
      <c r="Q44" t="s">
        <v>15</v>
      </c>
      <c r="V44" t="b">
        <f>B44='2024b_250504_0030'!B44</f>
        <v>1</v>
      </c>
      <c r="W44">
        <f>L44-'2024b_250504_0030'!K44</f>
        <v>6</v>
      </c>
      <c r="X44" s="7">
        <f>W44/'2024b_250504_0030'!K44</f>
        <v>6.0913705583756344E-3</v>
      </c>
      <c r="Y44" s="4">
        <f>M44-'2024b_250504_0030'!L44</f>
        <v>1.5130811</v>
      </c>
      <c r="Z44" s="6">
        <f>Y44/'2024b_250504_0030'!L44</f>
        <v>0.26755602615542684</v>
      </c>
    </row>
    <row r="45" spans="1:2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147</v>
      </c>
      <c r="K45" t="s">
        <v>23</v>
      </c>
      <c r="L45">
        <v>1109</v>
      </c>
      <c r="M45" s="4">
        <v>7.8351397</v>
      </c>
      <c r="N45" s="4">
        <v>74.193573909104032</v>
      </c>
      <c r="O45" s="4">
        <v>-0.33310821285643055</v>
      </c>
      <c r="P45" s="1" t="str">
        <f>HYPERLINK(".\sm_car_250702_1901\sm_car_250702_1901_044_Ca119TrN_MaLSS_DrSt_ode23t.png","figure")</f>
        <v>figure</v>
      </c>
      <c r="Q45" t="s">
        <v>15</v>
      </c>
      <c r="V45" t="b">
        <f>B45='2024b_250504_0030'!B45</f>
        <v>1</v>
      </c>
      <c r="W45">
        <f>L45-'2024b_250504_0030'!K45</f>
        <v>1</v>
      </c>
      <c r="X45" s="7">
        <f>W45/'2024b_250504_0030'!K45</f>
        <v>9.025270758122744E-4</v>
      </c>
      <c r="Y45" s="4">
        <f>M45-'2024b_250504_0030'!L45</f>
        <v>1.4934611000000002</v>
      </c>
      <c r="Z45" s="6">
        <f>Y45/'2024b_250504_0030'!L45</f>
        <v>0.23549933609060544</v>
      </c>
    </row>
    <row r="46" spans="1:2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147</v>
      </c>
      <c r="K46" t="s">
        <v>23</v>
      </c>
      <c r="L46">
        <v>317</v>
      </c>
      <c r="M46" s="4">
        <v>6.8427242000000001</v>
      </c>
      <c r="N46" s="4">
        <v>99.835938370615139</v>
      </c>
      <c r="O46" s="4">
        <v>-1.7719356319264384E-2</v>
      </c>
      <c r="P46" s="1" t="str">
        <f>HYPERLINK(".\sm_car_250702_1901\sm_car_250702_1901_045_Ca128TrN_MaWOT_DrSt_ode23t.png","figure")</f>
        <v>figure</v>
      </c>
      <c r="Q46" t="s">
        <v>15</v>
      </c>
      <c r="V46" t="b">
        <f>B46='2024b_250504_0030'!B46</f>
        <v>1</v>
      </c>
      <c r="W46">
        <f>L46-'2024b_250504_0030'!K46</f>
        <v>5</v>
      </c>
      <c r="X46" s="7">
        <f>W46/'2024b_250504_0030'!K46</f>
        <v>1.6025641025641024E-2</v>
      </c>
      <c r="Y46" s="4">
        <f>M46-'2024b_250504_0030'!L46</f>
        <v>1.0263023000000002</v>
      </c>
      <c r="Z46" s="6">
        <f>Y46/'2024b_250504_0030'!L46</f>
        <v>0.17644908117824126</v>
      </c>
    </row>
    <row r="47" spans="1:2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147</v>
      </c>
      <c r="K47" t="s">
        <v>23</v>
      </c>
      <c r="L47">
        <v>458</v>
      </c>
      <c r="M47" s="4">
        <v>15.183566600000001</v>
      </c>
      <c r="N47" s="4">
        <v>36.976063248260672</v>
      </c>
      <c r="O47" s="4">
        <v>-0.13036685392653011</v>
      </c>
      <c r="P47" s="1" t="str">
        <f>HYPERLINK(".\sm_car_250702_1901\sm_car_250702_1901_046_Ca128TrN_MaLSS_DrSt_ode23t.png","figure")</f>
        <v>figure</v>
      </c>
      <c r="Q47" t="s">
        <v>15</v>
      </c>
      <c r="V47" t="b">
        <f>B47='2024b_250504_0030'!B47</f>
        <v>1</v>
      </c>
      <c r="W47">
        <f>L47-'2024b_250504_0030'!K47</f>
        <v>5</v>
      </c>
      <c r="X47" s="7">
        <f>W47/'2024b_250504_0030'!K47</f>
        <v>1.1037527593818985E-2</v>
      </c>
      <c r="Y47" s="4">
        <f>M47-'2024b_250504_0030'!L47</f>
        <v>7.5026178000000003</v>
      </c>
      <c r="Z47" s="6">
        <f>Y47/'2024b_250504_0030'!L47</f>
        <v>0.97678268601399865</v>
      </c>
    </row>
    <row r="48" spans="1:2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147</v>
      </c>
      <c r="K48" t="s">
        <v>23</v>
      </c>
      <c r="L48">
        <v>336</v>
      </c>
      <c r="M48" s="4">
        <v>7.4216888000000001</v>
      </c>
      <c r="N48" s="4">
        <v>229.43287656909621</v>
      </c>
      <c r="O48" s="4">
        <v>6.1844838662403333E-2</v>
      </c>
      <c r="P48" s="1" t="str">
        <f>HYPERLINK(".\sm_car_250702_1901\sm_car_250702_1901_047_Ca129TrN_MaWOT_DrSt_ode23t.png","figure")</f>
        <v>figure</v>
      </c>
      <c r="Q48" t="s">
        <v>15</v>
      </c>
      <c r="V48" t="b">
        <f>B48='2024b_250504_0030'!B48</f>
        <v>1</v>
      </c>
      <c r="W48">
        <f>L48-'2024b_250504_0030'!K48</f>
        <v>-11</v>
      </c>
      <c r="X48" s="7">
        <f>W48/'2024b_250504_0030'!K48</f>
        <v>-3.1700288184438041E-2</v>
      </c>
      <c r="Y48" s="4">
        <f>M48-'2024b_250504_0030'!L48</f>
        <v>0.32245930000000023</v>
      </c>
      <c r="Z48" s="6">
        <f>Y48/'2024b_250504_0030'!L48</f>
        <v>4.5421732034441234E-2</v>
      </c>
    </row>
    <row r="49" spans="1:2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147</v>
      </c>
      <c r="K49" t="s">
        <v>23</v>
      </c>
      <c r="L49">
        <v>473</v>
      </c>
      <c r="M49" s="4">
        <v>14.8100684</v>
      </c>
      <c r="N49" s="4">
        <v>70.690000503906305</v>
      </c>
      <c r="O49" s="4">
        <v>-0.52103683988006788</v>
      </c>
      <c r="P49" s="1" t="str">
        <f>HYPERLINK(".\sm_car_250702_1901\sm_car_250702_1901_048_Ca129TrN_MaLSS_DrSt_ode23t.png","figure")</f>
        <v>figure</v>
      </c>
      <c r="Q49" t="s">
        <v>15</v>
      </c>
      <c r="V49" t="b">
        <f>B49='2024b_250504_0030'!B49</f>
        <v>1</v>
      </c>
      <c r="W49">
        <f>L49-'2024b_250504_0030'!K49</f>
        <v>-9</v>
      </c>
      <c r="X49" s="7">
        <f>W49/'2024b_250504_0030'!K49</f>
        <v>-1.8672199170124481E-2</v>
      </c>
      <c r="Y49" s="4">
        <f>M49-'2024b_250504_0030'!L49</f>
        <v>6.3837340000000005</v>
      </c>
      <c r="Z49" s="6">
        <f>Y49/'2024b_250504_0030'!L49</f>
        <v>0.75759324244240778</v>
      </c>
    </row>
    <row r="50" spans="1:2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147</v>
      </c>
      <c r="K50" t="s">
        <v>23</v>
      </c>
      <c r="L50">
        <v>815</v>
      </c>
      <c r="M50" s="4">
        <v>30.6021836</v>
      </c>
      <c r="N50" s="4">
        <v>217.23675731633</v>
      </c>
      <c r="O50" s="4">
        <v>-1.5361479224940517</v>
      </c>
      <c r="P50" s="1" t="str">
        <f>HYPERLINK(".\sm_car_250702_1901\sm_car_250702_1901_049_Ca130TrN_MaWOT_DrSt_ode23t.png","figure")</f>
        <v>figure</v>
      </c>
      <c r="Q50" t="s">
        <v>15</v>
      </c>
      <c r="V50" t="b">
        <f>B50='2024b_250504_0030'!B50</f>
        <v>1</v>
      </c>
      <c r="W50">
        <f>L50-'2024b_250504_0030'!K50</f>
        <v>15</v>
      </c>
      <c r="X50" s="7">
        <f>W50/'2024b_250504_0030'!K50</f>
        <v>1.8749999999999999E-2</v>
      </c>
      <c r="Y50" s="4">
        <f>M50-'2024b_250504_0030'!L50</f>
        <v>5.4727841999999995</v>
      </c>
      <c r="Z50" s="6">
        <f>Y50/'2024b_250504_0030'!L50</f>
        <v>0.21778412260819888</v>
      </c>
    </row>
    <row r="51" spans="1:2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147</v>
      </c>
      <c r="K51" t="s">
        <v>23</v>
      </c>
      <c r="L51">
        <v>783</v>
      </c>
      <c r="M51" s="4">
        <v>32.901034299999999</v>
      </c>
      <c r="N51" s="4">
        <v>68.768774889683755</v>
      </c>
      <c r="O51" s="4">
        <v>-0.54614825917901799</v>
      </c>
      <c r="P51" s="1" t="str">
        <f>HYPERLINK(".\sm_car_250702_1901\sm_car_250702_1901_050_Ca130TrN_MaLSS_DrSt_ode23t.png","figure")</f>
        <v>figure</v>
      </c>
      <c r="Q51" t="s">
        <v>15</v>
      </c>
      <c r="V51" t="b">
        <f>B51='2024b_250504_0030'!B51</f>
        <v>1</v>
      </c>
      <c r="W51">
        <f>L51-'2024b_250504_0030'!K51</f>
        <v>-8</v>
      </c>
      <c r="X51" s="7">
        <f>W51/'2024b_250504_0030'!K51</f>
        <v>-1.0113780025284451E-2</v>
      </c>
      <c r="Y51" s="4">
        <f>M51-'2024b_250504_0030'!L51</f>
        <v>9.9405918</v>
      </c>
      <c r="Z51" s="6">
        <f>Y51/'2024b_250504_0030'!L51</f>
        <v>0.43294426054724339</v>
      </c>
    </row>
    <row r="52" spans="1:2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147</v>
      </c>
      <c r="K52" t="s">
        <v>23</v>
      </c>
      <c r="L52">
        <v>350</v>
      </c>
      <c r="M52" s="4">
        <v>5.3994029000000001</v>
      </c>
      <c r="N52" s="4">
        <v>229.90604607490658</v>
      </c>
      <c r="O52" s="4">
        <v>-4.342565327935461E-2</v>
      </c>
      <c r="P52" s="1" t="str">
        <f>HYPERLINK(".\sm_car_250702_1901\sm_car_250702_1901_051_Ca131TrN_MaWOT_DrSt_ode23t.png","figure")</f>
        <v>figure</v>
      </c>
      <c r="Q52" t="s">
        <v>15</v>
      </c>
      <c r="V52" t="b">
        <f>B52='2024b_250504_0030'!B52</f>
        <v>1</v>
      </c>
      <c r="W52">
        <f>L52-'2024b_250504_0030'!K52</f>
        <v>-1</v>
      </c>
      <c r="X52" s="7">
        <f>W52/'2024b_250504_0030'!K52</f>
        <v>-2.8490028490028491E-3</v>
      </c>
      <c r="Y52" s="4">
        <f>M52-'2024b_250504_0030'!L52</f>
        <v>0.36316989999999993</v>
      </c>
      <c r="Z52" s="6">
        <f>Y52/'2024b_250504_0030'!L52</f>
        <v>7.2111417402649938E-2</v>
      </c>
    </row>
    <row r="53" spans="1:2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147</v>
      </c>
      <c r="K53" t="s">
        <v>23</v>
      </c>
      <c r="L53">
        <v>489</v>
      </c>
      <c r="M53" s="4">
        <v>11.9074036</v>
      </c>
      <c r="N53" s="4">
        <v>70.96405899521919</v>
      </c>
      <c r="O53" s="4">
        <v>-0.53703792590371346</v>
      </c>
      <c r="P53" s="1" t="str">
        <f>HYPERLINK(".\sm_car_250702_1901\sm_car_250702_1901_052_Ca131TrN_MaLSS_DrSt_ode23t.png","figure")</f>
        <v>figure</v>
      </c>
      <c r="Q53" t="s">
        <v>15</v>
      </c>
      <c r="V53" t="b">
        <f>B53='2024b_250504_0030'!B53</f>
        <v>1</v>
      </c>
      <c r="W53">
        <f>L53-'2024b_250504_0030'!K53</f>
        <v>-6</v>
      </c>
      <c r="X53" s="7">
        <f>W53/'2024b_250504_0030'!K53</f>
        <v>-1.2121212121212121E-2</v>
      </c>
      <c r="Y53" s="4">
        <f>M53-'2024b_250504_0030'!L53</f>
        <v>6.0340783</v>
      </c>
      <c r="Z53" s="6">
        <f>Y53/'2024b_250504_0030'!L53</f>
        <v>1.0273700147342426</v>
      </c>
    </row>
    <row r="54" spans="1:2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147</v>
      </c>
      <c r="K54" t="s">
        <v>23</v>
      </c>
      <c r="L54">
        <v>353</v>
      </c>
      <c r="M54" s="4">
        <v>5.3501471</v>
      </c>
      <c r="N54" s="4">
        <v>230.37733739495394</v>
      </c>
      <c r="O54" s="4">
        <v>-8.2125368678323488E-3</v>
      </c>
      <c r="P54" s="1" t="str">
        <f>HYPERLINK(".\sm_car_250702_1901\sm_car_250702_1901_053_Ca132TrN_MaWOT_DrSt_ode23t.png","figure")</f>
        <v>figure</v>
      </c>
      <c r="Q54" t="s">
        <v>15</v>
      </c>
      <c r="V54" t="b">
        <f>B54='2024b_250504_0030'!B54</f>
        <v>1</v>
      </c>
      <c r="W54">
        <f>L54-'2024b_250504_0030'!K54</f>
        <v>-1</v>
      </c>
      <c r="X54" s="7">
        <f>W54/'2024b_250504_0030'!K54</f>
        <v>-2.8248587570621469E-3</v>
      </c>
      <c r="Y54" s="4">
        <f>M54-'2024b_250504_0030'!L54</f>
        <v>0.64974419999999977</v>
      </c>
      <c r="Z54" s="6">
        <f>Y54/'2024b_250504_0030'!L54</f>
        <v>0.13823159712542935</v>
      </c>
    </row>
    <row r="55" spans="1:2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147</v>
      </c>
      <c r="K55" t="s">
        <v>23</v>
      </c>
      <c r="L55">
        <v>495</v>
      </c>
      <c r="M55" s="4">
        <v>11.0023909</v>
      </c>
      <c r="N55" s="4">
        <v>70.961645209055376</v>
      </c>
      <c r="O55" s="4">
        <v>-0.52874111785865607</v>
      </c>
      <c r="P55" s="1" t="str">
        <f>HYPERLINK(".\sm_car_250702_1901\sm_car_250702_1901_054_Ca132TrN_MaLSS_DrSt_ode23t.png","figure")</f>
        <v>figure</v>
      </c>
      <c r="Q55" t="s">
        <v>15</v>
      </c>
      <c r="V55" t="b">
        <f>B55='2024b_250504_0030'!B55</f>
        <v>1</v>
      </c>
      <c r="W55">
        <f>L55-'2024b_250504_0030'!K55</f>
        <v>-10</v>
      </c>
      <c r="X55" s="7">
        <f>W55/'2024b_250504_0030'!K55</f>
        <v>-1.9801980198019802E-2</v>
      </c>
      <c r="Y55" s="4">
        <f>M55-'2024b_250504_0030'!L55</f>
        <v>5.5124028000000003</v>
      </c>
      <c r="Z55" s="6">
        <f>Y55/'2024b_250504_0030'!L55</f>
        <v>1.0040828321649733</v>
      </c>
    </row>
    <row r="56" spans="1:2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147</v>
      </c>
      <c r="K56" t="s">
        <v>23</v>
      </c>
      <c r="L56">
        <v>340</v>
      </c>
      <c r="M56" s="4">
        <v>4.6404902999999997</v>
      </c>
      <c r="N56" s="4">
        <v>230.35952479646994</v>
      </c>
      <c r="O56" s="4">
        <v>-1.6739138794538474E-2</v>
      </c>
      <c r="P56" s="1" t="str">
        <f>HYPERLINK(".\sm_car_250702_1901\sm_car_250702_1901_055_Ca133TrN_MaWOT_DrSt_ode23t.png","figure")</f>
        <v>figure</v>
      </c>
      <c r="Q56" t="s">
        <v>15</v>
      </c>
      <c r="V56" t="b">
        <f>B56='2024b_250504_0030'!B56</f>
        <v>1</v>
      </c>
      <c r="W56">
        <f>L56-'2024b_250504_0030'!K56</f>
        <v>1</v>
      </c>
      <c r="X56" s="7">
        <f>W56/'2024b_250504_0030'!K56</f>
        <v>2.9498525073746312E-3</v>
      </c>
      <c r="Y56" s="4">
        <f>M56-'2024b_250504_0030'!L56</f>
        <v>-0.29796790000000062</v>
      </c>
      <c r="Z56" s="6">
        <f>Y56/'2024b_250504_0030'!L56</f>
        <v>-6.0336219915762497E-2</v>
      </c>
    </row>
    <row r="57" spans="1:2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147</v>
      </c>
      <c r="K57" t="s">
        <v>23</v>
      </c>
      <c r="L57">
        <v>494</v>
      </c>
      <c r="M57" s="4">
        <v>12.936845399999999</v>
      </c>
      <c r="N57" s="4">
        <v>70.96889101454363</v>
      </c>
      <c r="O57" s="4">
        <v>-0.5291616932489025</v>
      </c>
      <c r="P57" s="1" t="str">
        <f>HYPERLINK(".\sm_car_250702_1901\sm_car_250702_1901_056_Ca133TrN_MaLSS_DrSt_ode23t.png","figure")</f>
        <v>figure</v>
      </c>
      <c r="Q57" t="s">
        <v>15</v>
      </c>
      <c r="V57" t="b">
        <f>B57='2024b_250504_0030'!B57</f>
        <v>1</v>
      </c>
      <c r="W57">
        <f>L57-'2024b_250504_0030'!K57</f>
        <v>-5</v>
      </c>
      <c r="X57" s="7">
        <f>W57/'2024b_250504_0030'!K57</f>
        <v>-1.002004008016032E-2</v>
      </c>
      <c r="Y57" s="4">
        <f>M57-'2024b_250504_0030'!L57</f>
        <v>7.1433055999999997</v>
      </c>
      <c r="Z57" s="6">
        <f>Y57/'2024b_250504_0030'!L57</f>
        <v>1.232977738411325</v>
      </c>
    </row>
    <row r="58" spans="1:2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147</v>
      </c>
      <c r="K58" t="s">
        <v>23</v>
      </c>
      <c r="L58">
        <v>348</v>
      </c>
      <c r="M58" s="4">
        <v>5.2284854000000003</v>
      </c>
      <c r="N58" s="4">
        <v>230.32579217276898</v>
      </c>
      <c r="O58" s="4">
        <v>-1.230538357952389E-2</v>
      </c>
      <c r="P58" s="1" t="str">
        <f>HYPERLINK(".\sm_car_250702_1901\sm_car_250702_1901_057_Ca134TrN_MaWOT_DrSt_ode23t.png","figure")</f>
        <v>figure</v>
      </c>
      <c r="Q58" t="s">
        <v>15</v>
      </c>
      <c r="V58" t="b">
        <f>B58='2024b_250504_0030'!B58</f>
        <v>1</v>
      </c>
      <c r="W58">
        <f>L58-'2024b_250504_0030'!K58</f>
        <v>-5</v>
      </c>
      <c r="X58" s="7">
        <f>W58/'2024b_250504_0030'!K58</f>
        <v>-1.4164305949008499E-2</v>
      </c>
      <c r="Y58" s="4">
        <f>M58-'2024b_250504_0030'!L58</f>
        <v>0.13238070000000057</v>
      </c>
      <c r="Z58" s="6">
        <f>Y58/'2024b_250504_0030'!L58</f>
        <v>2.5976840703449553E-2</v>
      </c>
    </row>
    <row r="59" spans="1:2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147</v>
      </c>
      <c r="K59" t="s">
        <v>23</v>
      </c>
      <c r="L59">
        <v>506</v>
      </c>
      <c r="M59" s="4">
        <v>11.195888099999999</v>
      </c>
      <c r="N59" s="4">
        <v>70.975499491362314</v>
      </c>
      <c r="O59" s="4">
        <v>-0.53213036527429414</v>
      </c>
      <c r="P59" s="1" t="str">
        <f>HYPERLINK(".\sm_car_250702_1901\sm_car_250702_1901_058_Ca134TrN_MaLSS_DrSt_ode23t.png","figure")</f>
        <v>figure</v>
      </c>
      <c r="Q59" t="s">
        <v>15</v>
      </c>
      <c r="V59" t="b">
        <f>B59='2024b_250504_0030'!B59</f>
        <v>1</v>
      </c>
      <c r="W59">
        <f>L59-'2024b_250504_0030'!K59</f>
        <v>7</v>
      </c>
      <c r="X59" s="7">
        <f>W59/'2024b_250504_0030'!K59</f>
        <v>1.4028056112224449E-2</v>
      </c>
      <c r="Y59" s="4">
        <f>M59-'2024b_250504_0030'!L59</f>
        <v>4.2445361999999998</v>
      </c>
      <c r="Z59" s="6">
        <f>Y59/'2024b_250504_0030'!L59</f>
        <v>0.61060585927177702</v>
      </c>
    </row>
    <row r="60" spans="1:2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147</v>
      </c>
      <c r="K60" t="s">
        <v>23</v>
      </c>
      <c r="L60">
        <v>349</v>
      </c>
      <c r="M60" s="4">
        <v>4.7506376000000001</v>
      </c>
      <c r="N60" s="4">
        <v>230.40718893803435</v>
      </c>
      <c r="O60" s="4">
        <v>-1.1021089975450536E-2</v>
      </c>
      <c r="P60" s="1" t="str">
        <f>HYPERLINK(".\sm_car_250702_1901\sm_car_250702_1901_059_Ca135TrN_MaWOT_DrSt_ode23t.png","figure")</f>
        <v>figure</v>
      </c>
      <c r="Q60" t="s">
        <v>15</v>
      </c>
      <c r="V60" t="b">
        <f>B60='2024b_250504_0030'!B60</f>
        <v>1</v>
      </c>
      <c r="W60">
        <f>L60-'2024b_250504_0030'!K60</f>
        <v>12</v>
      </c>
      <c r="X60" s="7">
        <f>W60/'2024b_250504_0030'!K60</f>
        <v>3.5608308605341248E-2</v>
      </c>
      <c r="Y60" s="4">
        <f>M60-'2024b_250504_0030'!L60</f>
        <v>0.13444850000000041</v>
      </c>
      <c r="Z60" s="6">
        <f>Y60/'2024b_250504_0030'!L60</f>
        <v>2.9125431624974035E-2</v>
      </c>
    </row>
    <row r="61" spans="1:2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147</v>
      </c>
      <c r="K61" t="s">
        <v>23</v>
      </c>
      <c r="L61">
        <v>490</v>
      </c>
      <c r="M61" s="4">
        <v>12.4698452</v>
      </c>
      <c r="N61" s="4">
        <v>70.977282427850653</v>
      </c>
      <c r="O61" s="4">
        <v>-0.5190944429755725</v>
      </c>
      <c r="P61" s="1" t="str">
        <f>HYPERLINK(".\sm_car_250702_1901\sm_car_250702_1901_060_Ca135TrN_MaLSS_DrSt_ode23t.png","figure")</f>
        <v>figure</v>
      </c>
      <c r="Q61" t="s">
        <v>15</v>
      </c>
      <c r="V61" t="b">
        <f>B61='2024b_250504_0030'!B61</f>
        <v>1</v>
      </c>
      <c r="W61">
        <f>L61-'2024b_250504_0030'!K61</f>
        <v>5</v>
      </c>
      <c r="X61" s="7">
        <f>W61/'2024b_250504_0030'!K61</f>
        <v>1.0309278350515464E-2</v>
      </c>
      <c r="Y61" s="4">
        <f>M61-'2024b_250504_0030'!L61</f>
        <v>6.8208608999999996</v>
      </c>
      <c r="Z61" s="6">
        <f>Y61/'2024b_250504_0030'!L61</f>
        <v>1.2074490807135008</v>
      </c>
    </row>
    <row r="62" spans="1:2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147</v>
      </c>
      <c r="K62" t="s">
        <v>23</v>
      </c>
      <c r="L62">
        <v>368</v>
      </c>
      <c r="M62" s="4">
        <v>6.0475928000000003</v>
      </c>
      <c r="N62" s="4">
        <v>230.31107088330944</v>
      </c>
      <c r="O62" s="4">
        <v>5.305752426513053E-2</v>
      </c>
      <c r="P62" s="1" t="str">
        <f>HYPERLINK(".\sm_car_250702_1901\sm_car_250702_1901_061_Ca136TrN_MaWOT_DrSt_ode23t.png","figure")</f>
        <v>figure</v>
      </c>
      <c r="Q62" t="s">
        <v>15</v>
      </c>
      <c r="V62" t="b">
        <f>B62='2024b_250504_0030'!B62</f>
        <v>1</v>
      </c>
      <c r="W62">
        <f>L62-'2024b_250504_0030'!K62</f>
        <v>20</v>
      </c>
      <c r="X62" s="7">
        <f>W62/'2024b_250504_0030'!K62</f>
        <v>5.7471264367816091E-2</v>
      </c>
      <c r="Y62" s="4">
        <f>M62-'2024b_250504_0030'!L62</f>
        <v>0.34401490000000035</v>
      </c>
      <c r="Z62" s="6">
        <f>Y62/'2024b_250504_0030'!L62</f>
        <v>6.0315631000674219E-2</v>
      </c>
    </row>
    <row r="63" spans="1:2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147</v>
      </c>
      <c r="K63" t="s">
        <v>23</v>
      </c>
      <c r="L63">
        <v>491</v>
      </c>
      <c r="M63" s="4">
        <v>13.7698047</v>
      </c>
      <c r="N63" s="4">
        <v>70.970785525498925</v>
      </c>
      <c r="O63" s="4">
        <v>-0.52922860938520844</v>
      </c>
      <c r="P63" s="1" t="str">
        <f>HYPERLINK(".\sm_car_250702_1901\sm_car_250702_1901_062_Ca136TrN_MaLSS_DrSt_ode23t.png","figure")</f>
        <v>figure</v>
      </c>
      <c r="Q63" t="s">
        <v>15</v>
      </c>
      <c r="V63" t="b">
        <f>B63='2024b_250504_0030'!B63</f>
        <v>1</v>
      </c>
      <c r="W63">
        <f>L63-'2024b_250504_0030'!K63</f>
        <v>5</v>
      </c>
      <c r="X63" s="7">
        <f>W63/'2024b_250504_0030'!K63</f>
        <v>1.0288065843621399E-2</v>
      </c>
      <c r="Y63" s="4">
        <f>M63-'2024b_250504_0030'!L63</f>
        <v>6.7673072000000003</v>
      </c>
      <c r="Z63" s="6">
        <f>Y63/'2024b_250504_0030'!L63</f>
        <v>0.96641336894443741</v>
      </c>
    </row>
    <row r="64" spans="1:2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147</v>
      </c>
      <c r="K64" t="s">
        <v>23</v>
      </c>
      <c r="L64">
        <v>327</v>
      </c>
      <c r="M64" s="4">
        <v>4.5969337000000001</v>
      </c>
      <c r="N64" s="4">
        <v>231.08888867143762</v>
      </c>
      <c r="O64" s="4">
        <v>0.14188979538329691</v>
      </c>
      <c r="P64" s="1" t="str">
        <f>HYPERLINK(".\sm_car_250702_1901\sm_car_250702_1901_063_Ca137TrN_MaWOT_DrSt_ode23t.png","figure")</f>
        <v>figure</v>
      </c>
      <c r="Q64" t="s">
        <v>15</v>
      </c>
      <c r="V64" t="b">
        <f>B64='2024b_250504_0030'!B64</f>
        <v>1</v>
      </c>
      <c r="W64">
        <f>L64-'2024b_250504_0030'!K64</f>
        <v>-1</v>
      </c>
      <c r="X64" s="7">
        <f>W64/'2024b_250504_0030'!K64</f>
        <v>-3.0487804878048782E-3</v>
      </c>
      <c r="Y64" s="4">
        <f>M64-'2024b_250504_0030'!L64</f>
        <v>0.26347879999999968</v>
      </c>
      <c r="Z64" s="6">
        <f>Y64/'2024b_250504_0030'!L64</f>
        <v>6.0801094295454571E-2</v>
      </c>
    </row>
    <row r="65" spans="1:2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147</v>
      </c>
      <c r="K65" t="s">
        <v>23</v>
      </c>
      <c r="L65">
        <v>479</v>
      </c>
      <c r="M65" s="4">
        <v>9.6226657000000007</v>
      </c>
      <c r="N65" s="4">
        <v>71.238594252125154</v>
      </c>
      <c r="O65" s="4">
        <v>-0.51297012236107886</v>
      </c>
      <c r="P65" s="1" t="str">
        <f>HYPERLINK(".\sm_car_250702_1901\sm_car_250702_1901_064_Ca137TrN_MaLSS_DrSt_ode23t.png","figure")</f>
        <v>figure</v>
      </c>
      <c r="Q65" t="s">
        <v>15</v>
      </c>
      <c r="V65" t="b">
        <f>B65='2024b_250504_0030'!B65</f>
        <v>1</v>
      </c>
      <c r="W65">
        <f>L65-'2024b_250504_0030'!K65</f>
        <v>8</v>
      </c>
      <c r="X65" s="7">
        <f>W65/'2024b_250504_0030'!K65</f>
        <v>1.6985138004246284E-2</v>
      </c>
      <c r="Y65" s="4">
        <f>M65-'2024b_250504_0030'!L65</f>
        <v>4.7607061000000011</v>
      </c>
      <c r="Z65" s="6">
        <f>Y65/'2024b_250504_0030'!L65</f>
        <v>0.97917434361239886</v>
      </c>
    </row>
    <row r="66" spans="1:2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147</v>
      </c>
      <c r="K66" t="s">
        <v>23</v>
      </c>
      <c r="L66">
        <v>333</v>
      </c>
      <c r="M66" s="4">
        <v>6.4535267999999997</v>
      </c>
      <c r="N66" s="4">
        <v>231.22666217414528</v>
      </c>
      <c r="O66" s="4">
        <v>0.14728310393877514</v>
      </c>
      <c r="P66" s="1" t="str">
        <f>HYPERLINK(".\sm_car_250702_1901\sm_car_250702_1901_065_Ca138TrN_MaWOT_DrSt_ode23t.png","figure")</f>
        <v>figure</v>
      </c>
      <c r="Q66" t="s">
        <v>15</v>
      </c>
      <c r="V66" t="b">
        <f>B66='2024b_250504_0030'!B66</f>
        <v>1</v>
      </c>
      <c r="W66">
        <f>L66-'2024b_250504_0030'!K66</f>
        <v>-3</v>
      </c>
      <c r="X66" s="7">
        <f>W66/'2024b_250504_0030'!K66</f>
        <v>-8.9285714285714281E-3</v>
      </c>
      <c r="Y66" s="4">
        <f>M66-'2024b_250504_0030'!L66</f>
        <v>-0.51724460000000061</v>
      </c>
      <c r="Z66" s="6">
        <f>Y66/'2024b_250504_0030'!L66</f>
        <v>-7.4201916878238267E-2</v>
      </c>
    </row>
    <row r="67" spans="1:2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147</v>
      </c>
      <c r="K67" t="s">
        <v>23</v>
      </c>
      <c r="L67">
        <v>485</v>
      </c>
      <c r="M67" s="4">
        <v>7.5896967999999996</v>
      </c>
      <c r="N67" s="4">
        <v>71.131260965545451</v>
      </c>
      <c r="O67" s="4">
        <v>-0.82811908523987388</v>
      </c>
      <c r="P67" s="1" t="str">
        <f>HYPERLINK(".\sm_car_250702_1901\sm_car_250702_1901_066_Ca138TrN_MaLSS_DrSt_ode23t.png","figure")</f>
        <v>figure</v>
      </c>
      <c r="Q67" t="s">
        <v>15</v>
      </c>
      <c r="V67" t="b">
        <f>B67='2024b_250504_0030'!B67</f>
        <v>1</v>
      </c>
      <c r="W67">
        <f>L67-'2024b_250504_0030'!K67</f>
        <v>8</v>
      </c>
      <c r="X67" s="7">
        <f>W67/'2024b_250504_0030'!K67</f>
        <v>1.6771488469601678E-2</v>
      </c>
      <c r="Y67" s="4">
        <f>M67-'2024b_250504_0030'!L67</f>
        <v>0.51896699999999996</v>
      </c>
      <c r="Z67" s="6">
        <f>Y67/'2024b_250504_0030'!L67</f>
        <v>7.3396525490197623E-2</v>
      </c>
    </row>
    <row r="68" spans="1:2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147</v>
      </c>
      <c r="K68" t="s">
        <v>23</v>
      </c>
      <c r="L68">
        <v>657</v>
      </c>
      <c r="M68" s="4">
        <v>30.358089199999998</v>
      </c>
      <c r="N68" s="4">
        <v>405.37814568929605</v>
      </c>
      <c r="O68" s="4">
        <v>1.5880875015290161</v>
      </c>
      <c r="P68" s="1" t="str">
        <f>HYPERLINK(".\sm_car_250702_1901\sm_car_250702_1901_067_Ca139TrN_MaWOT_DrSt_ode23t.png","figure")</f>
        <v>figure</v>
      </c>
      <c r="Q68" t="s">
        <v>15</v>
      </c>
      <c r="V68" t="b">
        <f>B68='2024b_250504_0030'!B68</f>
        <v>1</v>
      </c>
      <c r="W68">
        <f>L68-'2024b_250504_0030'!K68</f>
        <v>-34</v>
      </c>
      <c r="X68" s="7">
        <f>W68/'2024b_250504_0030'!K68</f>
        <v>-4.9204052098408106E-2</v>
      </c>
      <c r="Y68" s="4">
        <f>M68-'2024b_250504_0030'!L68</f>
        <v>1.6992744000000002</v>
      </c>
      <c r="Z68" s="6">
        <f>Y68/'2024b_250504_0030'!L68</f>
        <v>5.9293254513790999E-2</v>
      </c>
    </row>
    <row r="69" spans="1:2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147</v>
      </c>
      <c r="K69" t="s">
        <v>23</v>
      </c>
      <c r="L69">
        <v>616</v>
      </c>
      <c r="M69" s="4">
        <v>22.470586699999998</v>
      </c>
      <c r="N69" s="4">
        <v>154.4130910123142</v>
      </c>
      <c r="O69" s="4">
        <v>-0.57626180551161543</v>
      </c>
      <c r="P69" s="1" t="str">
        <f>HYPERLINK(".\sm_car_250702_1901\sm_car_250702_1901_068_Ca139TrN_MaLSS_DrSt_ode23t.png","figure")</f>
        <v>figure</v>
      </c>
      <c r="Q69" t="s">
        <v>15</v>
      </c>
      <c r="V69" t="b">
        <f>B69='2024b_250504_0030'!B69</f>
        <v>1</v>
      </c>
      <c r="W69">
        <f>L69-'2024b_250504_0030'!K69</f>
        <v>-29</v>
      </c>
      <c r="X69" s="7">
        <f>W69/'2024b_250504_0030'!K69</f>
        <v>-4.4961240310077519E-2</v>
      </c>
      <c r="Y69" s="4">
        <f>M69-'2024b_250504_0030'!L69</f>
        <v>4.7632604999999977</v>
      </c>
      <c r="Z69" s="6">
        <f>Y69/'2024b_250504_0030'!L69</f>
        <v>0.26899942126779125</v>
      </c>
    </row>
    <row r="70" spans="1:2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147</v>
      </c>
      <c r="K70" t="s">
        <v>23</v>
      </c>
      <c r="L70">
        <v>1988</v>
      </c>
      <c r="M70" s="4">
        <v>51.081659100000003</v>
      </c>
      <c r="N70" s="4">
        <v>405.31597069990977</v>
      </c>
      <c r="O70" s="4">
        <v>1.6435738669662219</v>
      </c>
      <c r="P70" s="1" t="str">
        <f>HYPERLINK(".\sm_car_250702_1901\sm_car_250702_1901_069_Ca141TrN_MaWOT_DrSt_ode23t.png","figure")</f>
        <v>figure</v>
      </c>
      <c r="Q70" t="s">
        <v>15</v>
      </c>
      <c r="V70" t="b">
        <f>B70='2024b_250504_0030'!B70</f>
        <v>1</v>
      </c>
      <c r="W70">
        <f>L70-'2024b_250504_0030'!K70</f>
        <v>50</v>
      </c>
      <c r="X70" s="7">
        <f>W70/'2024b_250504_0030'!K70</f>
        <v>2.5799793601651185E-2</v>
      </c>
      <c r="Y70" s="4">
        <f>M70-'2024b_250504_0030'!L70</f>
        <v>13.621017800000004</v>
      </c>
      <c r="Z70" s="6">
        <f>Y70/'2024b_250504_0030'!L70</f>
        <v>0.363608772495841</v>
      </c>
    </row>
    <row r="71" spans="1:2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147</v>
      </c>
      <c r="K71" t="s">
        <v>23</v>
      </c>
      <c r="L71">
        <v>1880</v>
      </c>
      <c r="M71" s="4">
        <v>37.619931700000002</v>
      </c>
      <c r="N71" s="4">
        <v>154.40325138464439</v>
      </c>
      <c r="O71" s="4">
        <v>-0.58066655361674335</v>
      </c>
      <c r="P71" s="1" t="str">
        <f>HYPERLINK(".\sm_car_250702_1901\sm_car_250702_1901_070_Ca141TrN_MaLSS_DrSt_ode23t.png","figure")</f>
        <v>figure</v>
      </c>
      <c r="Q71" t="s">
        <v>15</v>
      </c>
      <c r="V71" t="b">
        <f>B71='2024b_250504_0030'!B71</f>
        <v>1</v>
      </c>
      <c r="W71">
        <f>L71-'2024b_250504_0030'!K71</f>
        <v>35</v>
      </c>
      <c r="X71" s="7">
        <f>W71/'2024b_250504_0030'!K71</f>
        <v>1.8970189701897018E-2</v>
      </c>
      <c r="Y71" s="4">
        <f>M71-'2024b_250504_0030'!L71</f>
        <v>12.063177900000003</v>
      </c>
      <c r="Z71" s="6">
        <f>Y71/'2024b_250504_0030'!L71</f>
        <v>0.47201526431733293</v>
      </c>
    </row>
    <row r="72" spans="1:2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147</v>
      </c>
      <c r="K72" t="s">
        <v>23</v>
      </c>
      <c r="L72">
        <v>335</v>
      </c>
      <c r="M72" s="4">
        <v>17.888341700000002</v>
      </c>
      <c r="N72" s="4">
        <v>62.687854488288167</v>
      </c>
      <c r="O72" s="4">
        <v>1.9433750066068883E-2</v>
      </c>
      <c r="P72" s="1" t="str">
        <f>HYPERLINK(".\sm_car_250702_1901\sm_car_250702_1901_071_Ca143TrN_MaWOT_DrSt_ode23t.png","figure")</f>
        <v>figure</v>
      </c>
      <c r="Q72" t="s">
        <v>15</v>
      </c>
      <c r="V72" t="b">
        <f>B72='2024b_250504_0030'!B72</f>
        <v>1</v>
      </c>
      <c r="W72">
        <f>L72-'2024b_250504_0030'!K72</f>
        <v>-20</v>
      </c>
      <c r="X72" s="7">
        <f>W72/'2024b_250504_0030'!K72</f>
        <v>-5.6338028169014086E-2</v>
      </c>
      <c r="Y72" s="4">
        <f>M72-'2024b_250504_0030'!L72</f>
        <v>-0.33813749999999843</v>
      </c>
      <c r="Z72" s="6">
        <f>Y72/'2024b_250504_0030'!L72</f>
        <v>-1.8551992202641004E-2</v>
      </c>
    </row>
    <row r="73" spans="1:2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147</v>
      </c>
      <c r="K73" t="s">
        <v>23</v>
      </c>
      <c r="L73">
        <v>477</v>
      </c>
      <c r="M73" s="4">
        <v>22.631030899999999</v>
      </c>
      <c r="N73" s="4">
        <v>25.008822989723694</v>
      </c>
      <c r="O73" s="4">
        <v>-5.3112741964964572E-2</v>
      </c>
      <c r="P73" s="1" t="str">
        <f>HYPERLINK(".\sm_car_250702_1901\sm_car_250702_1901_072_Ca143TrN_MaLSS_DrSt_ode23t.png","figure")</f>
        <v>figure</v>
      </c>
      <c r="Q73" t="s">
        <v>15</v>
      </c>
      <c r="V73" t="b">
        <f>B73='2024b_250504_0030'!B73</f>
        <v>1</v>
      </c>
      <c r="W73">
        <f>L73-'2024b_250504_0030'!K73</f>
        <v>9</v>
      </c>
      <c r="X73" s="7">
        <f>W73/'2024b_250504_0030'!K73</f>
        <v>1.9230769230769232E-2</v>
      </c>
      <c r="Y73" s="4">
        <f>M73-'2024b_250504_0030'!L73</f>
        <v>3.5383022000000004</v>
      </c>
      <c r="Z73" s="6">
        <f>Y73/'2024b_250504_0030'!L73</f>
        <v>0.18532197548064466</v>
      </c>
    </row>
    <row r="74" spans="1:2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147</v>
      </c>
      <c r="K74" t="s">
        <v>23</v>
      </c>
      <c r="L74">
        <v>339</v>
      </c>
      <c r="M74" s="4">
        <v>13.1535568</v>
      </c>
      <c r="N74" s="4">
        <v>77.33117297740904</v>
      </c>
      <c r="O74" s="4">
        <v>0.24858504267523535</v>
      </c>
      <c r="P74" s="1" t="str">
        <f>HYPERLINK(".\sm_car_250702_1901\sm_car_250702_1901_073_Ca144TrN_MaWOT_DrSt_ode23t.png","figure")</f>
        <v>figure</v>
      </c>
      <c r="Q74" t="s">
        <v>15</v>
      </c>
      <c r="V74" t="b">
        <f>B74='2024b_250504_0030'!B74</f>
        <v>1</v>
      </c>
      <c r="W74">
        <f>L74-'2024b_250504_0030'!K74</f>
        <v>6</v>
      </c>
      <c r="X74" s="7">
        <f>W74/'2024b_250504_0030'!K74</f>
        <v>1.8018018018018018E-2</v>
      </c>
      <c r="Y74" s="4">
        <f>M74-'2024b_250504_0030'!L74</f>
        <v>1.5986187000000012</v>
      </c>
      <c r="Z74" s="6">
        <f>Y74/'2024b_250504_0030'!L74</f>
        <v>0.13834939539831903</v>
      </c>
    </row>
    <row r="75" spans="1:2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147</v>
      </c>
      <c r="K75" t="s">
        <v>23</v>
      </c>
      <c r="L75">
        <v>443</v>
      </c>
      <c r="M75" s="4">
        <v>15.7896331</v>
      </c>
      <c r="N75" s="4">
        <v>35.599640444020267</v>
      </c>
      <c r="O75" s="4">
        <v>-3.2323219926446246E-2</v>
      </c>
      <c r="P75" s="1" t="str">
        <f>HYPERLINK(".\sm_car_250702_1901\sm_car_250702_1901_074_Ca144TrN_MaLSS_DrSt_ode23t.png","figure")</f>
        <v>figure</v>
      </c>
      <c r="Q75" t="s">
        <v>15</v>
      </c>
      <c r="V75" t="b">
        <f>B75='2024b_250504_0030'!B75</f>
        <v>1</v>
      </c>
      <c r="W75">
        <f>L75-'2024b_250504_0030'!K75</f>
        <v>0</v>
      </c>
      <c r="X75" s="7">
        <f>W75/'2024b_250504_0030'!K75</f>
        <v>0</v>
      </c>
      <c r="Y75" s="4">
        <f>M75-'2024b_250504_0030'!L75</f>
        <v>3.1452627</v>
      </c>
      <c r="Z75" s="6">
        <f>Y75/'2024b_250504_0030'!L75</f>
        <v>0.24874806736126617</v>
      </c>
    </row>
    <row r="76" spans="1:2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147</v>
      </c>
      <c r="K76" t="s">
        <v>23</v>
      </c>
      <c r="L76">
        <v>2412</v>
      </c>
      <c r="M76" s="4">
        <v>29.972384099999999</v>
      </c>
      <c r="N76" s="4">
        <v>399.76674963029836</v>
      </c>
      <c r="O76" s="4">
        <v>-16.040872780889124</v>
      </c>
      <c r="P76" s="1" t="str">
        <f>HYPERLINK(".\sm_car_250702_1901\sm_car_250702_1901_075_Ca147TrN_MaWOT_DrSt_ode23t.png","figure")</f>
        <v>figure</v>
      </c>
      <c r="Q76" t="s">
        <v>15</v>
      </c>
      <c r="V76" t="b">
        <f>B76='2024b_250504_0030'!B76</f>
        <v>1</v>
      </c>
      <c r="W76">
        <f>L76-'2024b_250504_0030'!K76</f>
        <v>-252</v>
      </c>
      <c r="X76" s="7">
        <f>W76/'2024b_250504_0030'!K76</f>
        <v>-9.45945945945946E-2</v>
      </c>
      <c r="Y76" s="4">
        <f>M76-'2024b_250504_0030'!L76</f>
        <v>2.2970010999999992</v>
      </c>
      <c r="Z76" s="6">
        <f>Y76/'2024b_250504_0030'!L76</f>
        <v>8.2997987778525031E-2</v>
      </c>
    </row>
    <row r="77" spans="1:2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147</v>
      </c>
      <c r="K77" t="s">
        <v>23</v>
      </c>
      <c r="L77">
        <v>1319</v>
      </c>
      <c r="M77" s="4">
        <v>22.688465000000001</v>
      </c>
      <c r="N77" s="4">
        <v>151.93080877218028</v>
      </c>
      <c r="O77" s="4">
        <v>-2.4501150993308367</v>
      </c>
      <c r="P77" s="1" t="str">
        <f>HYPERLINK(".\sm_car_250702_1901\sm_car_250702_1901_076_Ca147TrN_MaLSS_DrSt_ode23t.png","figure")</f>
        <v>figure</v>
      </c>
      <c r="Q77" t="s">
        <v>15</v>
      </c>
      <c r="V77" t="b">
        <f>B77='2024b_250504_0030'!B77</f>
        <v>1</v>
      </c>
      <c r="W77">
        <f>L77-'2024b_250504_0030'!K77</f>
        <v>44</v>
      </c>
      <c r="X77" s="7">
        <f>W77/'2024b_250504_0030'!K77</f>
        <v>3.4509803921568626E-2</v>
      </c>
      <c r="Y77" s="4">
        <f>M77-'2024b_250504_0030'!L77</f>
        <v>4.4597779000000024</v>
      </c>
      <c r="Z77" s="6">
        <f>Y77/'2024b_250504_0030'!L77</f>
        <v>0.24465710972678897</v>
      </c>
    </row>
    <row r="78" spans="1:2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147</v>
      </c>
      <c r="K78" t="s">
        <v>23</v>
      </c>
      <c r="L78">
        <v>300</v>
      </c>
      <c r="M78" s="4">
        <v>11.664395799999999</v>
      </c>
      <c r="N78" s="4">
        <v>229.63501568004187</v>
      </c>
      <c r="O78" s="4">
        <v>5.6287716534493106E-3</v>
      </c>
      <c r="P78" s="1" t="str">
        <f>HYPERLINK(".\sm_car_250702_1901\sm_car_250702_1901_077_Ca215TrN_MaWOT_DrSt_ode23t.png","figure")</f>
        <v>figure</v>
      </c>
      <c r="Q78" t="s">
        <v>15</v>
      </c>
      <c r="V78" t="b">
        <f>B78='2024b_250504_0030'!B78</f>
        <v>1</v>
      </c>
      <c r="W78">
        <f>L78-'2024b_250504_0030'!K78</f>
        <v>0</v>
      </c>
      <c r="X78" s="7">
        <f>W78/'2024b_250504_0030'!K78</f>
        <v>0</v>
      </c>
      <c r="Y78" s="4">
        <f>M78-'2024b_250504_0030'!L78</f>
        <v>3.0897981999999988</v>
      </c>
      <c r="Z78" s="6">
        <f>Y78/'2024b_250504_0030'!L78</f>
        <v>0.36034323056746109</v>
      </c>
    </row>
    <row r="79" spans="1:2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147</v>
      </c>
      <c r="K79" t="s">
        <v>23</v>
      </c>
      <c r="L79">
        <v>483</v>
      </c>
      <c r="M79" s="4">
        <v>9.7849830000000004</v>
      </c>
      <c r="N79" s="4">
        <v>81.273926341917871</v>
      </c>
      <c r="O79" s="4">
        <v>-0.2241734653823837</v>
      </c>
      <c r="P79" s="1" t="str">
        <f>HYPERLINK(".\sm_car_250702_1901\sm_car_250702_1901_078_Ca215TrN_MaLSS_DrSt_ode23t.png","figure")</f>
        <v>figure</v>
      </c>
      <c r="Q79" t="s">
        <v>15</v>
      </c>
      <c r="V79" t="b">
        <f>B79='2024b_250504_0030'!B79</f>
        <v>1</v>
      </c>
      <c r="W79">
        <f>L79-'2024b_250504_0030'!K79</f>
        <v>0</v>
      </c>
      <c r="X79" s="7">
        <f>W79/'2024b_250504_0030'!K79</f>
        <v>0</v>
      </c>
      <c r="Y79" s="4">
        <f>M79-'2024b_250504_0030'!L79</f>
        <v>1.5987096000000012</v>
      </c>
      <c r="Z79" s="6">
        <f>Y79/'2024b_250504_0030'!L79</f>
        <v>0.19529149857125483</v>
      </c>
    </row>
    <row r="80" spans="1:2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147</v>
      </c>
      <c r="K80" t="s">
        <v>23</v>
      </c>
      <c r="L80">
        <v>363</v>
      </c>
      <c r="M80" s="4">
        <v>5.0629834000000002</v>
      </c>
      <c r="N80" s="4">
        <v>230.38286762170824</v>
      </c>
      <c r="O80" s="4">
        <v>0.17112570634305652</v>
      </c>
      <c r="P80" s="1" t="str">
        <f>HYPERLINK(".\sm_car_250702_1901\sm_car_250702_1901_079_Ca218TrN_MaWOT_DrSt_ode23t.png","figure")</f>
        <v>figure</v>
      </c>
      <c r="Q80" t="s">
        <v>15</v>
      </c>
      <c r="V80" t="b">
        <f>B80='2024b_250504_0030'!B80</f>
        <v>1</v>
      </c>
      <c r="W80">
        <f>L80-'2024b_250504_0030'!K80</f>
        <v>-1</v>
      </c>
      <c r="X80" s="7">
        <f>W80/'2024b_250504_0030'!K80</f>
        <v>-2.7472527472527475E-3</v>
      </c>
      <c r="Y80" s="4">
        <f>M80-'2024b_250504_0030'!L80</f>
        <v>0.66989220000000049</v>
      </c>
      <c r="Z80" s="6">
        <f>Y80/'2024b_250504_0030'!L80</f>
        <v>0.15248766062493774</v>
      </c>
    </row>
    <row r="81" spans="1:2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147</v>
      </c>
      <c r="K81" t="s">
        <v>23</v>
      </c>
      <c r="L81">
        <v>485</v>
      </c>
      <c r="M81" s="4">
        <v>10.958631799999999</v>
      </c>
      <c r="N81" s="4">
        <v>70.958637694562228</v>
      </c>
      <c r="O81" s="4">
        <v>-0.53682109960368374</v>
      </c>
      <c r="P81" s="1" t="str">
        <f>HYPERLINK(".\sm_car_250702_1901\sm_car_250702_1901_080_Ca218TrN_MaLSS_DrSt_ode23t.png","figure")</f>
        <v>figure</v>
      </c>
      <c r="Q81" t="s">
        <v>15</v>
      </c>
      <c r="V81" t="b">
        <f>B81='2024b_250504_0030'!B81</f>
        <v>1</v>
      </c>
      <c r="W81">
        <f>L81-'2024b_250504_0030'!K81</f>
        <v>6</v>
      </c>
      <c r="X81" s="7">
        <f>W81/'2024b_250504_0030'!K81</f>
        <v>1.2526096033402923E-2</v>
      </c>
      <c r="Y81" s="4">
        <f>M81-'2024b_250504_0030'!L81</f>
        <v>5.9831607999999994</v>
      </c>
      <c r="Z81" s="6">
        <f>Y81/'2024b_250504_0030'!L81</f>
        <v>1.2025315392251306</v>
      </c>
    </row>
    <row r="82" spans="1:2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147</v>
      </c>
      <c r="K82" t="s">
        <v>23</v>
      </c>
      <c r="L82">
        <v>394</v>
      </c>
      <c r="M82" s="4">
        <v>8.0746307999999996</v>
      </c>
      <c r="N82" s="4">
        <v>229.72961893009358</v>
      </c>
      <c r="O82" s="4">
        <v>0.17248753049351384</v>
      </c>
      <c r="P82" s="1" t="str">
        <f>HYPERLINK(".\sm_car_250702_1901\sm_car_250702_1901_081_Ca219TrN_MaWOT_DrSt_ode23t.png","figure")</f>
        <v>figure</v>
      </c>
      <c r="Q82" t="s">
        <v>15</v>
      </c>
      <c r="V82" t="b">
        <f>B82='2024b_250504_0030'!B82</f>
        <v>1</v>
      </c>
      <c r="W82">
        <f>L82-'2024b_250504_0030'!K82</f>
        <v>-2</v>
      </c>
      <c r="X82" s="7">
        <f>W82/'2024b_250504_0030'!K82</f>
        <v>-5.0505050505050509E-3</v>
      </c>
      <c r="Y82" s="4">
        <f>M82-'2024b_250504_0030'!L82</f>
        <v>1.2837154999999996</v>
      </c>
      <c r="Z82" s="6">
        <f>Y82/'2024b_250504_0030'!L82</f>
        <v>0.18903423813870857</v>
      </c>
    </row>
    <row r="83" spans="1:2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147</v>
      </c>
      <c r="K83" t="s">
        <v>23</v>
      </c>
      <c r="L83">
        <v>508</v>
      </c>
      <c r="M83" s="4">
        <v>15.3653101</v>
      </c>
      <c r="N83" s="4">
        <v>70.790350406946843</v>
      </c>
      <c r="O83" s="4">
        <v>-0.55334302487129838</v>
      </c>
      <c r="P83" s="1" t="str">
        <f>HYPERLINK(".\sm_car_250702_1901\sm_car_250702_1901_082_Ca219TrN_MaLSS_DrSt_ode23t.png","figure")</f>
        <v>figure</v>
      </c>
      <c r="Q83" t="s">
        <v>15</v>
      </c>
      <c r="V83" t="b">
        <f>B83='2024b_250504_0030'!B83</f>
        <v>1</v>
      </c>
      <c r="W83">
        <f>L83-'2024b_250504_0030'!K83</f>
        <v>-7</v>
      </c>
      <c r="X83" s="7">
        <f>W83/'2024b_250504_0030'!K83</f>
        <v>-1.3592233009708738E-2</v>
      </c>
      <c r="Y83" s="4">
        <f>M83-'2024b_250504_0030'!L83</f>
        <v>7.0301807000000007</v>
      </c>
      <c r="Z83" s="6">
        <f>Y83/'2024b_250504_0030'!L83</f>
        <v>0.84343989908543004</v>
      </c>
    </row>
    <row r="84" spans="1:2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147</v>
      </c>
      <c r="K84" t="s">
        <v>23</v>
      </c>
      <c r="L84">
        <v>923</v>
      </c>
      <c r="M84" s="4">
        <v>36.422741700000003</v>
      </c>
      <c r="N84" s="4">
        <v>223.92791266780927</v>
      </c>
      <c r="O84" s="4">
        <v>-1.2133115826129099</v>
      </c>
      <c r="P84" s="1" t="str">
        <f>HYPERLINK(".\sm_car_250702_1901\sm_car_250702_1901_083_Ca220TrN_MaWOT_DrSt_ode23t.png","figure")</f>
        <v>figure</v>
      </c>
      <c r="Q84" t="s">
        <v>15</v>
      </c>
      <c r="V84" t="b">
        <f>B84='2024b_250504_0030'!B84</f>
        <v>1</v>
      </c>
      <c r="W84">
        <f>L84-'2024b_250504_0030'!K84</f>
        <v>-9</v>
      </c>
      <c r="X84" s="7">
        <f>W84/'2024b_250504_0030'!K84</f>
        <v>-9.6566523605150223E-3</v>
      </c>
      <c r="Y84" s="4">
        <f>M84-'2024b_250504_0030'!L84</f>
        <v>5.7817067000000044</v>
      </c>
      <c r="Z84" s="6">
        <f>Y84/'2024b_250504_0030'!L84</f>
        <v>0.18869162546239071</v>
      </c>
    </row>
    <row r="85" spans="1:2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147</v>
      </c>
      <c r="K85" t="s">
        <v>23</v>
      </c>
      <c r="L85">
        <v>1083</v>
      </c>
      <c r="M85" s="4">
        <v>46.884119400000003</v>
      </c>
      <c r="N85" s="4">
        <v>69.476805651819859</v>
      </c>
      <c r="O85" s="4">
        <v>-1.5039338557090656</v>
      </c>
      <c r="P85" s="1" t="str">
        <f>HYPERLINK(".\sm_car_250702_1901\sm_car_250702_1901_084_Ca220TrN_MaLSS_DrSt_ode23t.png","figure")</f>
        <v>figure</v>
      </c>
      <c r="Q85" t="s">
        <v>15</v>
      </c>
      <c r="V85" t="b">
        <f>B85='2024b_250504_0030'!B85</f>
        <v>1</v>
      </c>
      <c r="W85">
        <f>L85-'2024b_250504_0030'!K85</f>
        <v>-22</v>
      </c>
      <c r="X85" s="7">
        <f>W85/'2024b_250504_0030'!K85</f>
        <v>-1.9909502262443438E-2</v>
      </c>
      <c r="Y85" s="4">
        <f>M85-'2024b_250504_0030'!L85</f>
        <v>8.8057188000000011</v>
      </c>
      <c r="Z85" s="6">
        <f>Y85/'2024b_250504_0030'!L85</f>
        <v>0.23125232838692286</v>
      </c>
    </row>
    <row r="86" spans="1:2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147</v>
      </c>
      <c r="K86" t="s">
        <v>23</v>
      </c>
      <c r="L86">
        <v>478</v>
      </c>
      <c r="M86" s="4">
        <v>7.7321555000000002</v>
      </c>
      <c r="N86" s="4">
        <v>293.18104045316539</v>
      </c>
      <c r="O86" s="4">
        <v>-5.0217424197798602E-5</v>
      </c>
      <c r="P86" s="1" t="str">
        <f>HYPERLINK(".\sm_car_250702_1901\sm_car_250702_1901_085_Ca223TrN_MaWOT_DrSt_ode23t.png","figure")</f>
        <v>figure</v>
      </c>
      <c r="Q86" t="s">
        <v>15</v>
      </c>
      <c r="V86" t="b">
        <f>B86='2024b_250504_0030'!B86</f>
        <v>1</v>
      </c>
      <c r="W86">
        <f>L86-'2024b_250504_0030'!K86</f>
        <v>12</v>
      </c>
      <c r="X86" s="7">
        <f>W86/'2024b_250504_0030'!K86</f>
        <v>2.575107296137339E-2</v>
      </c>
      <c r="Y86" s="4">
        <f>M86-'2024b_250504_0030'!L86</f>
        <v>0.45471750000000011</v>
      </c>
      <c r="Z86" s="6">
        <f>Y86/'2024b_250504_0030'!L86</f>
        <v>6.2483184329430237E-2</v>
      </c>
    </row>
    <row r="87" spans="1:2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147</v>
      </c>
      <c r="K87" t="s">
        <v>23</v>
      </c>
      <c r="L87">
        <v>657</v>
      </c>
      <c r="M87" s="4">
        <v>8.0139315</v>
      </c>
      <c r="N87" s="4">
        <v>103.53168559694267</v>
      </c>
      <c r="O87" s="4">
        <v>-0.15025280106145003</v>
      </c>
      <c r="P87" s="1" t="str">
        <f>HYPERLINK(".\sm_car_250702_1901\sm_car_250702_1901_086_Ca223TrN_MaLSS_DrSt_ode23t.png","figure")</f>
        <v>figure</v>
      </c>
      <c r="Q87" t="s">
        <v>15</v>
      </c>
      <c r="V87" t="b">
        <f>B87='2024b_250504_0030'!B87</f>
        <v>1</v>
      </c>
      <c r="W87">
        <f>L87-'2024b_250504_0030'!K87</f>
        <v>0</v>
      </c>
      <c r="X87" s="7">
        <f>W87/'2024b_250504_0030'!K87</f>
        <v>0</v>
      </c>
      <c r="Y87" s="4">
        <f>M87-'2024b_250504_0030'!L87</f>
        <v>0.95897569999999988</v>
      </c>
      <c r="Z87" s="6">
        <f>Y87/'2024b_250504_0030'!L87</f>
        <v>0.13592937038670036</v>
      </c>
    </row>
    <row r="88" spans="1:2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147</v>
      </c>
      <c r="K88" t="s">
        <v>23</v>
      </c>
      <c r="L88">
        <v>785</v>
      </c>
      <c r="M88" s="4">
        <v>28.973196399999999</v>
      </c>
      <c r="N88" s="4">
        <v>407.04560057747716</v>
      </c>
      <c r="O88" s="4">
        <v>-13.393452142994985</v>
      </c>
      <c r="P88" s="1" t="str">
        <f>HYPERLINK(".\sm_car_250702_1901\sm_car_250702_1901_087_Ca227TrN_MaWOT_DrSt_ode23t.png","figure")</f>
        <v>figure</v>
      </c>
      <c r="Q88" t="s">
        <v>15</v>
      </c>
      <c r="V88" t="b">
        <f>B88='2024b_250504_0030'!B88</f>
        <v>1</v>
      </c>
      <c r="W88">
        <f>L88-'2024b_250504_0030'!K88</f>
        <v>155</v>
      </c>
      <c r="X88" s="7">
        <f>W88/'2024b_250504_0030'!K88</f>
        <v>0.24603174603174602</v>
      </c>
      <c r="Y88" s="4">
        <f>M88-'2024b_250504_0030'!L88</f>
        <v>9.8352703999999989</v>
      </c>
      <c r="Z88" s="6">
        <f>Y88/'2024b_250504_0030'!L88</f>
        <v>0.5139151651020073</v>
      </c>
    </row>
    <row r="89" spans="1:2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147</v>
      </c>
      <c r="K89" t="s">
        <v>23</v>
      </c>
      <c r="L89">
        <v>708</v>
      </c>
      <c r="M89" s="4">
        <v>20.1769906</v>
      </c>
      <c r="N89" s="4">
        <v>155.22023116723008</v>
      </c>
      <c r="O89" s="4">
        <v>-2.9009912838288119</v>
      </c>
      <c r="P89" s="1" t="str">
        <f>HYPERLINK(".\sm_car_250702_1901\sm_car_250702_1901_088_Ca227TrN_MaLSS_DrSt_ode23t.png","figure")</f>
        <v>figure</v>
      </c>
      <c r="Q89" t="s">
        <v>15</v>
      </c>
      <c r="V89" t="b">
        <f>B89='2024b_250504_0030'!B89</f>
        <v>1</v>
      </c>
      <c r="W89">
        <f>L89-'2024b_250504_0030'!K89</f>
        <v>89</v>
      </c>
      <c r="X89" s="7">
        <f>W89/'2024b_250504_0030'!K89</f>
        <v>0.14378029079159935</v>
      </c>
      <c r="Y89" s="4">
        <f>M89-'2024b_250504_0030'!L89</f>
        <v>9.0647015</v>
      </c>
      <c r="Z89" s="6">
        <f>Y89/'2024b_250504_0030'!L89</f>
        <v>0.81573665141595353</v>
      </c>
    </row>
    <row r="90" spans="1:2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147</v>
      </c>
      <c r="K90" t="s">
        <v>23</v>
      </c>
      <c r="L90">
        <v>392</v>
      </c>
      <c r="M90" s="4">
        <v>14.2484109</v>
      </c>
      <c r="N90" s="4">
        <v>231.32026979623757</v>
      </c>
      <c r="O90" s="4">
        <v>-3.1637463932753908E-3</v>
      </c>
      <c r="P90" s="1" t="str">
        <f>HYPERLINK(".\sm_car_250702_1901\sm_car_250702_1901_089_Ca008TrN_MaWOT_DrSt_ode23t_1.png","figure")</f>
        <v>figure</v>
      </c>
      <c r="Q90" t="s">
        <v>15</v>
      </c>
      <c r="V90" t="b">
        <f>B90='2024b_250504_0030'!B90</f>
        <v>1</v>
      </c>
      <c r="W90">
        <f>L90-'2024b_250504_0030'!K90</f>
        <v>-5</v>
      </c>
      <c r="X90" s="7">
        <f>W90/'2024b_250504_0030'!K90</f>
        <v>-1.2594458438287154E-2</v>
      </c>
      <c r="Y90" s="4">
        <f>M90-'2024b_250504_0030'!L90</f>
        <v>3.4599612000000004</v>
      </c>
      <c r="Z90" s="6">
        <f>Y90/'2024b_250504_0030'!L90</f>
        <v>0.3207097679660128</v>
      </c>
    </row>
    <row r="91" spans="1:2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147</v>
      </c>
      <c r="K91" t="s">
        <v>23</v>
      </c>
      <c r="L91">
        <v>554</v>
      </c>
      <c r="M91" s="4">
        <v>16.415398400000001</v>
      </c>
      <c r="N91" s="4">
        <v>71.25645309365089</v>
      </c>
      <c r="O91" s="4">
        <v>-0.53857442471685768</v>
      </c>
      <c r="P91" s="1" t="str">
        <f>HYPERLINK(".\sm_car_250702_1901\sm_car_250702_1901_090_Ca008TrN_MaLSS_DrSt_ode23t_1.png","figure")</f>
        <v>figure</v>
      </c>
      <c r="Q91" t="s">
        <v>15</v>
      </c>
      <c r="V91" t="b">
        <f>B91='2024b_250504_0030'!B91</f>
        <v>1</v>
      </c>
      <c r="W91">
        <f>L91-'2024b_250504_0030'!K91</f>
        <v>-3</v>
      </c>
      <c r="X91" s="7">
        <f>W91/'2024b_250504_0030'!K91</f>
        <v>-5.3859964093357273E-3</v>
      </c>
      <c r="Y91" s="4">
        <f>M91-'2024b_250504_0030'!L91</f>
        <v>3.7106569</v>
      </c>
      <c r="Z91" s="6">
        <f>Y91/'2024b_250504_0030'!L91</f>
        <v>0.29206866585990748</v>
      </c>
    </row>
    <row r="92" spans="1:26" x14ac:dyDescent="0.25">
      <c r="A92">
        <v>91</v>
      </c>
      <c r="B92">
        <v>13</v>
      </c>
      <c r="C92" t="s">
        <v>16</v>
      </c>
      <c r="D92" t="s">
        <v>17</v>
      </c>
      <c r="E92" t="s">
        <v>49</v>
      </c>
      <c r="F92" t="s">
        <v>28</v>
      </c>
      <c r="G92" t="s">
        <v>25</v>
      </c>
      <c r="H92" t="s">
        <v>21</v>
      </c>
      <c r="I92" t="s">
        <v>22</v>
      </c>
      <c r="J92" t="s">
        <v>147</v>
      </c>
      <c r="K92" t="s">
        <v>23</v>
      </c>
      <c r="L92">
        <v>841</v>
      </c>
      <c r="M92" s="4">
        <v>14.4360771</v>
      </c>
      <c r="N92" s="4">
        <v>230.33211272602077</v>
      </c>
      <c r="O92" s="4">
        <v>-1.1930399518881092E-2</v>
      </c>
      <c r="P92" s="1" t="str">
        <f>HYPERLINK(".\sm_car_250702_1901\sm_car_250702_1901_091_Ca013TrN_MaWOT_DrSt_ode23t_1.png","figure")</f>
        <v>figure</v>
      </c>
      <c r="Q92" t="s">
        <v>15</v>
      </c>
      <c r="V92" t="b">
        <f>B92='2024b_250504_0030'!B92</f>
        <v>0</v>
      </c>
    </row>
    <row r="93" spans="1:26" x14ac:dyDescent="0.25">
      <c r="A93">
        <v>92</v>
      </c>
      <c r="B93">
        <v>13</v>
      </c>
      <c r="C93" t="s">
        <v>16</v>
      </c>
      <c r="D93" t="s">
        <v>17</v>
      </c>
      <c r="E93" t="s">
        <v>49</v>
      </c>
      <c r="F93" t="s">
        <v>28</v>
      </c>
      <c r="G93" t="s">
        <v>25</v>
      </c>
      <c r="H93" t="s">
        <v>21</v>
      </c>
      <c r="I93" t="s">
        <v>24</v>
      </c>
      <c r="J93" t="s">
        <v>147</v>
      </c>
      <c r="K93" t="s">
        <v>23</v>
      </c>
      <c r="L93">
        <v>968</v>
      </c>
      <c r="M93" s="4">
        <v>15.607605400000001</v>
      </c>
      <c r="N93" s="4">
        <v>70.957925563013319</v>
      </c>
      <c r="O93" s="4">
        <v>-0.53721908173535382</v>
      </c>
      <c r="P93" s="1" t="str">
        <f>HYPERLINK(".\sm_car_250702_1901\sm_car_250702_1901_092_Ca013TrN_MaLSS_DrSt_ode23t_1.png","figure")</f>
        <v>figure</v>
      </c>
      <c r="Q93" t="s">
        <v>15</v>
      </c>
      <c r="V93" t="b">
        <f>B93='2024b_250504_0030'!B93</f>
        <v>0</v>
      </c>
    </row>
    <row r="94" spans="1:26" x14ac:dyDescent="0.25">
      <c r="A94">
        <v>93</v>
      </c>
      <c r="B94">
        <v>120</v>
      </c>
      <c r="C94" t="s">
        <v>16</v>
      </c>
      <c r="D94" t="s">
        <v>35</v>
      </c>
      <c r="E94" t="s">
        <v>49</v>
      </c>
      <c r="F94" t="s">
        <v>19</v>
      </c>
      <c r="G94" t="s">
        <v>20</v>
      </c>
      <c r="H94" t="s">
        <v>21</v>
      </c>
      <c r="I94" t="s">
        <v>22</v>
      </c>
      <c r="J94" t="s">
        <v>147</v>
      </c>
      <c r="K94" t="s">
        <v>23</v>
      </c>
      <c r="L94">
        <v>409</v>
      </c>
      <c r="M94" s="4">
        <v>3.8616576999999999</v>
      </c>
      <c r="N94" s="4">
        <v>242.69176861264364</v>
      </c>
      <c r="O94" s="4">
        <v>0.23531217076053165</v>
      </c>
      <c r="P94" s="1" t="str">
        <f>HYPERLINK(".\sm_car_250702_1901\sm_car_250702_1901_093_Ca120TrN_MaWOT_DrSt_ode23t_1.png","figure")</f>
        <v>figure</v>
      </c>
      <c r="Q94" t="s">
        <v>15</v>
      </c>
      <c r="V94" t="b">
        <f>B94='2024b_250504_0030'!B94</f>
        <v>0</v>
      </c>
    </row>
    <row r="95" spans="1:26" x14ac:dyDescent="0.25">
      <c r="A95">
        <v>94</v>
      </c>
      <c r="B95">
        <v>120</v>
      </c>
      <c r="C95" t="s">
        <v>16</v>
      </c>
      <c r="D95" t="s">
        <v>35</v>
      </c>
      <c r="E95" t="s">
        <v>49</v>
      </c>
      <c r="F95" t="s">
        <v>19</v>
      </c>
      <c r="G95" t="s">
        <v>20</v>
      </c>
      <c r="H95" t="s">
        <v>21</v>
      </c>
      <c r="I95" t="s">
        <v>24</v>
      </c>
      <c r="J95" t="s">
        <v>147</v>
      </c>
      <c r="K95" t="s">
        <v>23</v>
      </c>
      <c r="L95">
        <v>532</v>
      </c>
      <c r="M95" s="4">
        <v>4.4619400000000002</v>
      </c>
      <c r="N95" s="4">
        <v>74.671499220145861</v>
      </c>
      <c r="O95" s="4">
        <v>-0.3387734755925863</v>
      </c>
      <c r="P95" s="1" t="str">
        <f>HYPERLINK(".\sm_car_250702_1901\sm_car_250702_1901_094_Ca120TrN_MaLSS_DrSt_ode23t_1.png","figure")</f>
        <v>figure</v>
      </c>
      <c r="Q95" t="s">
        <v>15</v>
      </c>
      <c r="V95" t="b">
        <f>B95='2024b_250504_0030'!B95</f>
        <v>0</v>
      </c>
    </row>
    <row r="96" spans="1:26" x14ac:dyDescent="0.25">
      <c r="A96">
        <v>95</v>
      </c>
      <c r="B96">
        <v>126</v>
      </c>
      <c r="C96" t="s">
        <v>16</v>
      </c>
      <c r="D96" t="s">
        <v>35</v>
      </c>
      <c r="E96" t="s">
        <v>49</v>
      </c>
      <c r="F96" t="s">
        <v>28</v>
      </c>
      <c r="G96" t="s">
        <v>26</v>
      </c>
      <c r="H96" t="s">
        <v>21</v>
      </c>
      <c r="I96" t="s">
        <v>22</v>
      </c>
      <c r="J96" t="s">
        <v>147</v>
      </c>
      <c r="K96" t="s">
        <v>23</v>
      </c>
      <c r="L96">
        <v>1023</v>
      </c>
      <c r="M96" s="4">
        <v>6.2247696000000001</v>
      </c>
      <c r="N96" s="4">
        <v>241.41538965392758</v>
      </c>
      <c r="O96" s="4">
        <v>0.23234207581680558</v>
      </c>
      <c r="P96" s="1" t="str">
        <f>HYPERLINK(".\sm_car_250702_1901\sm_car_250702_1901_095_Ca126TrN_MaWOT_DrSt_ode23t_1.png","figure")</f>
        <v>figure</v>
      </c>
      <c r="Q96" t="s">
        <v>15</v>
      </c>
      <c r="V96" t="b">
        <f>B96='2024b_250504_0030'!B96</f>
        <v>0</v>
      </c>
    </row>
    <row r="97" spans="1:22" x14ac:dyDescent="0.25">
      <c r="A97">
        <v>96</v>
      </c>
      <c r="B97">
        <v>126</v>
      </c>
      <c r="C97" t="s">
        <v>16</v>
      </c>
      <c r="D97" t="s">
        <v>35</v>
      </c>
      <c r="E97" t="s">
        <v>49</v>
      </c>
      <c r="F97" t="s">
        <v>28</v>
      </c>
      <c r="G97" t="s">
        <v>26</v>
      </c>
      <c r="H97" t="s">
        <v>21</v>
      </c>
      <c r="I97" t="s">
        <v>24</v>
      </c>
      <c r="J97" t="s">
        <v>147</v>
      </c>
      <c r="K97" t="s">
        <v>23</v>
      </c>
      <c r="L97">
        <v>1158</v>
      </c>
      <c r="M97" s="4">
        <v>7.2757575000000001</v>
      </c>
      <c r="N97" s="4">
        <v>74.340124689586219</v>
      </c>
      <c r="O97" s="4">
        <v>-0.33571118407388223</v>
      </c>
      <c r="P97" s="1" t="str">
        <f>HYPERLINK(".\sm_car_250702_1901\sm_car_250702_1901_096_Ca126TrN_MaLSS_DrSt_ode23t_1.png","figure")</f>
        <v>figure</v>
      </c>
      <c r="Q97" t="s">
        <v>15</v>
      </c>
      <c r="V97" t="b">
        <f>B97='2024b_250504_0030'!B97</f>
        <v>0</v>
      </c>
    </row>
    <row r="98" spans="1:22" x14ac:dyDescent="0.25">
      <c r="A98">
        <v>97</v>
      </c>
      <c r="B98">
        <v>127</v>
      </c>
      <c r="C98" t="s">
        <v>16</v>
      </c>
      <c r="D98" t="s">
        <v>35</v>
      </c>
      <c r="E98" t="s">
        <v>49</v>
      </c>
      <c r="F98" t="s">
        <v>28</v>
      </c>
      <c r="G98" t="s">
        <v>27</v>
      </c>
      <c r="H98" t="s">
        <v>21</v>
      </c>
      <c r="I98" t="s">
        <v>22</v>
      </c>
      <c r="J98" t="s">
        <v>147</v>
      </c>
      <c r="K98" t="s">
        <v>23</v>
      </c>
      <c r="L98">
        <v>1031</v>
      </c>
      <c r="M98" s="4">
        <v>7.3582134999999997</v>
      </c>
      <c r="N98" s="4">
        <v>241.00291350707923</v>
      </c>
      <c r="O98" s="4">
        <v>0.23090795112353801</v>
      </c>
      <c r="P98" s="1" t="str">
        <f>HYPERLINK(".\sm_car_250702_1901\sm_car_250702_1901_097_Ca127TrN_MaWOT_DrSt_ode23t_1.png","figure")</f>
        <v>figure</v>
      </c>
      <c r="Q98" t="s">
        <v>15</v>
      </c>
      <c r="V98" t="b">
        <f>B98='2024b_250504_0030'!B98</f>
        <v>0</v>
      </c>
    </row>
    <row r="99" spans="1:22" x14ac:dyDescent="0.25">
      <c r="A99">
        <v>98</v>
      </c>
      <c r="B99">
        <v>127</v>
      </c>
      <c r="C99" t="s">
        <v>16</v>
      </c>
      <c r="D99" t="s">
        <v>35</v>
      </c>
      <c r="E99" t="s">
        <v>49</v>
      </c>
      <c r="F99" t="s">
        <v>28</v>
      </c>
      <c r="G99" t="s">
        <v>27</v>
      </c>
      <c r="H99" t="s">
        <v>21</v>
      </c>
      <c r="I99" t="s">
        <v>24</v>
      </c>
      <c r="J99" t="s">
        <v>147</v>
      </c>
      <c r="K99" t="s">
        <v>23</v>
      </c>
      <c r="L99">
        <v>1176</v>
      </c>
      <c r="M99" s="4">
        <v>7.1323657000000003</v>
      </c>
      <c r="N99" s="4">
        <v>74.195504950779267</v>
      </c>
      <c r="O99" s="4">
        <v>-0.3329165162500145</v>
      </c>
      <c r="P99" s="1" t="str">
        <f>HYPERLINK(".\sm_car_250702_1901\sm_car_250702_1901_098_Ca127TrN_MaLSS_DrSt_ode23t_1.png","figure")</f>
        <v>figure</v>
      </c>
      <c r="Q99" t="s">
        <v>15</v>
      </c>
      <c r="V99" t="b">
        <f>B99='2024b_250504_0030'!B99</f>
        <v>0</v>
      </c>
    </row>
    <row r="100" spans="1:22" x14ac:dyDescent="0.25">
      <c r="A100">
        <v>99</v>
      </c>
      <c r="B100">
        <v>145</v>
      </c>
      <c r="C100" t="s">
        <v>46</v>
      </c>
      <c r="D100" t="s">
        <v>17</v>
      </c>
      <c r="E100" t="s">
        <v>50</v>
      </c>
      <c r="F100" t="s">
        <v>19</v>
      </c>
      <c r="G100" t="s">
        <v>26</v>
      </c>
      <c r="H100" t="s">
        <v>21</v>
      </c>
      <c r="I100" t="s">
        <v>22</v>
      </c>
      <c r="J100" t="s">
        <v>147</v>
      </c>
      <c r="K100" t="s">
        <v>23</v>
      </c>
      <c r="L100">
        <v>341</v>
      </c>
      <c r="M100" s="4">
        <v>15.6366061</v>
      </c>
      <c r="N100" s="4">
        <v>62.668551087526936</v>
      </c>
      <c r="O100" s="4">
        <v>1.9346410472265575E-2</v>
      </c>
      <c r="P100" s="1" t="str">
        <f>HYPERLINK(".\sm_car_250702_1901\sm_car_250702_1901_099_Ca145TrN_MaWOT_DrSt_ode23t_1.png","figure")</f>
        <v>figure</v>
      </c>
      <c r="Q100" t="s">
        <v>15</v>
      </c>
      <c r="V100" t="b">
        <f>B100='2024b_250504_0030'!B100</f>
        <v>0</v>
      </c>
    </row>
    <row r="101" spans="1:22" x14ac:dyDescent="0.25">
      <c r="A101">
        <v>100</v>
      </c>
      <c r="B101">
        <v>145</v>
      </c>
      <c r="C101" t="s">
        <v>46</v>
      </c>
      <c r="D101" t="s">
        <v>17</v>
      </c>
      <c r="E101" t="s">
        <v>50</v>
      </c>
      <c r="F101" t="s">
        <v>19</v>
      </c>
      <c r="G101" t="s">
        <v>26</v>
      </c>
      <c r="H101" t="s">
        <v>21</v>
      </c>
      <c r="I101" t="s">
        <v>24</v>
      </c>
      <c r="J101" t="s">
        <v>147</v>
      </c>
      <c r="K101" t="s">
        <v>23</v>
      </c>
      <c r="L101">
        <v>446</v>
      </c>
      <c r="M101" s="4">
        <v>23.711168300000001</v>
      </c>
      <c r="N101" s="4">
        <v>25.002044330792856</v>
      </c>
      <c r="O101" s="4">
        <v>-4.968052471941032E-2</v>
      </c>
      <c r="P101" s="1" t="str">
        <f>HYPERLINK(".\sm_car_250702_1901\sm_car_250702_1901_100_Ca145TrN_MaLSS_DrSt_ode23t_1.png","figure")</f>
        <v>figure</v>
      </c>
      <c r="Q101" t="s">
        <v>15</v>
      </c>
      <c r="V101" t="b">
        <f>B101='2024b_250504_0030'!B101</f>
        <v>0</v>
      </c>
    </row>
    <row r="102" spans="1:22" x14ac:dyDescent="0.25">
      <c r="A102">
        <v>101</v>
      </c>
      <c r="B102">
        <v>184</v>
      </c>
      <c r="C102" t="s">
        <v>105</v>
      </c>
      <c r="D102" t="s">
        <v>118</v>
      </c>
      <c r="E102" t="s">
        <v>49</v>
      </c>
      <c r="F102" t="s">
        <v>19</v>
      </c>
      <c r="G102" t="s">
        <v>20</v>
      </c>
      <c r="H102" t="s">
        <v>21</v>
      </c>
      <c r="I102" t="s">
        <v>22</v>
      </c>
      <c r="J102" t="s">
        <v>147</v>
      </c>
      <c r="K102" t="s">
        <v>23</v>
      </c>
      <c r="L102">
        <v>326</v>
      </c>
      <c r="M102" s="4">
        <v>20.041513599999998</v>
      </c>
      <c r="N102" s="4">
        <v>294.61515789993717</v>
      </c>
      <c r="O102" s="4">
        <v>-1.6059695534002412E-4</v>
      </c>
      <c r="P102" s="1" t="str">
        <f>HYPERLINK(".\sm_car_250702_1901\sm_car_250702_1901_101_Ca184TrN_MaWOT_DrSt_ode23t_1.png","figure")</f>
        <v>figure</v>
      </c>
      <c r="Q102" t="s">
        <v>15</v>
      </c>
      <c r="V102" t="b">
        <f>B102='2024b_250504_0030'!B102</f>
        <v>0</v>
      </c>
    </row>
    <row r="103" spans="1:22" x14ac:dyDescent="0.25">
      <c r="A103">
        <v>102</v>
      </c>
      <c r="B103">
        <v>184</v>
      </c>
      <c r="C103" t="s">
        <v>105</v>
      </c>
      <c r="D103" t="s">
        <v>118</v>
      </c>
      <c r="E103" t="s">
        <v>49</v>
      </c>
      <c r="F103" t="s">
        <v>19</v>
      </c>
      <c r="G103" t="s">
        <v>20</v>
      </c>
      <c r="H103" t="s">
        <v>21</v>
      </c>
      <c r="I103" t="s">
        <v>24</v>
      </c>
      <c r="J103" t="s">
        <v>147</v>
      </c>
      <c r="K103" t="s">
        <v>23</v>
      </c>
      <c r="L103">
        <v>447</v>
      </c>
      <c r="M103" s="4">
        <v>14.0453323</v>
      </c>
      <c r="N103" s="4">
        <v>103.56618444982256</v>
      </c>
      <c r="O103" s="4">
        <v>-0.20463898282701742</v>
      </c>
      <c r="P103" s="1" t="str">
        <f>HYPERLINK(".\sm_car_250702_1901\sm_car_250702_1901_102_Ca184TrN_MaLSS_DrSt_ode23t_1.png","figure")</f>
        <v>figure</v>
      </c>
      <c r="Q103" t="s">
        <v>15</v>
      </c>
      <c r="V103" t="b">
        <f>B103='2024b_250504_0030'!B103</f>
        <v>0</v>
      </c>
    </row>
    <row r="104" spans="1:22" x14ac:dyDescent="0.25">
      <c r="A104">
        <v>103</v>
      </c>
      <c r="B104">
        <v>217</v>
      </c>
      <c r="C104" t="s">
        <v>45</v>
      </c>
      <c r="D104" t="s">
        <v>17</v>
      </c>
      <c r="E104" t="s">
        <v>107</v>
      </c>
      <c r="F104" t="s">
        <v>119</v>
      </c>
      <c r="G104" t="s">
        <v>26</v>
      </c>
      <c r="H104" t="s">
        <v>21</v>
      </c>
      <c r="I104" t="s">
        <v>22</v>
      </c>
      <c r="J104" t="s">
        <v>147</v>
      </c>
      <c r="K104" t="s">
        <v>23</v>
      </c>
      <c r="L104">
        <v>720</v>
      </c>
      <c r="M104" s="4">
        <v>43.090933</v>
      </c>
      <c r="N104" s="4">
        <v>278.50711237082686</v>
      </c>
      <c r="O104" s="4">
        <v>0.73413483701691529</v>
      </c>
      <c r="P104" s="1" t="str">
        <f>HYPERLINK(".\sm_car_250702_1901\sm_car_250702_1901_103_Ca217TrN_MaWOT_DrSt_ode23t_1.png","figure")</f>
        <v>figure</v>
      </c>
      <c r="Q104" t="s">
        <v>15</v>
      </c>
      <c r="V104" t="b">
        <f>B104='2024b_250504_0030'!B104</f>
        <v>0</v>
      </c>
    </row>
    <row r="105" spans="1:22" x14ac:dyDescent="0.25">
      <c r="A105">
        <v>104</v>
      </c>
      <c r="B105">
        <v>217</v>
      </c>
      <c r="C105" t="s">
        <v>45</v>
      </c>
      <c r="D105" t="s">
        <v>17</v>
      </c>
      <c r="E105" t="s">
        <v>107</v>
      </c>
      <c r="F105" t="s">
        <v>119</v>
      </c>
      <c r="G105" t="s">
        <v>26</v>
      </c>
      <c r="H105" t="s">
        <v>21</v>
      </c>
      <c r="I105" t="s">
        <v>24</v>
      </c>
      <c r="J105" t="s">
        <v>147</v>
      </c>
      <c r="K105" t="s">
        <v>23</v>
      </c>
      <c r="L105">
        <v>862</v>
      </c>
      <c r="M105" s="4">
        <v>48.4303977</v>
      </c>
      <c r="N105" s="4">
        <v>110.07155166282237</v>
      </c>
      <c r="O105" s="4">
        <v>-0.35962119689287747</v>
      </c>
      <c r="P105" s="1" t="str">
        <f>HYPERLINK(".\sm_car_250702_1901\sm_car_250702_1901_104_Ca217TrN_MaLSS_DrSt_ode23t_1.png","figure")</f>
        <v>figure</v>
      </c>
      <c r="Q105" t="s">
        <v>15</v>
      </c>
      <c r="V105" t="b">
        <f>B105='2024b_250504_0030'!B105</f>
        <v>0</v>
      </c>
    </row>
    <row r="106" spans="1:22" x14ac:dyDescent="0.25">
      <c r="A106">
        <v>105</v>
      </c>
      <c r="B106">
        <v>12</v>
      </c>
      <c r="C106" t="s">
        <v>16</v>
      </c>
      <c r="D106" t="s">
        <v>17</v>
      </c>
      <c r="E106" t="s">
        <v>49</v>
      </c>
      <c r="F106" t="s">
        <v>28</v>
      </c>
      <c r="G106" t="s">
        <v>20</v>
      </c>
      <c r="H106" t="s">
        <v>21</v>
      </c>
      <c r="I106" t="s">
        <v>53</v>
      </c>
      <c r="J106" t="s">
        <v>147</v>
      </c>
      <c r="K106" t="s">
        <v>23</v>
      </c>
      <c r="L106">
        <v>875</v>
      </c>
      <c r="M106" s="4">
        <v>13.533728200000001</v>
      </c>
      <c r="N106" s="4">
        <v>254.15037979020735</v>
      </c>
      <c r="O106" s="4">
        <v>4.4477199770889264E-2</v>
      </c>
      <c r="P106" s="1" t="str">
        <f>HYPERLINK(".\sm_car_250702_1901\sm_car_250702_1901_105_Ca012TrN_MaDLC_DrSt_ode23t_1.png","figure")</f>
        <v>figure</v>
      </c>
      <c r="Q106" t="s">
        <v>15</v>
      </c>
      <c r="V106" t="b">
        <f>B106='2024b_250504_0030'!B106</f>
        <v>0</v>
      </c>
    </row>
    <row r="107" spans="1:22" x14ac:dyDescent="0.25">
      <c r="A107">
        <v>106</v>
      </c>
      <c r="B107">
        <v>12</v>
      </c>
      <c r="C107" t="s">
        <v>16</v>
      </c>
      <c r="D107" t="s">
        <v>17</v>
      </c>
      <c r="E107" t="s">
        <v>49</v>
      </c>
      <c r="F107" t="s">
        <v>28</v>
      </c>
      <c r="G107" t="s">
        <v>20</v>
      </c>
      <c r="H107" t="s">
        <v>21</v>
      </c>
      <c r="I107" t="s">
        <v>54</v>
      </c>
      <c r="J107" t="s">
        <v>147</v>
      </c>
      <c r="K107" t="s">
        <v>23</v>
      </c>
      <c r="L107">
        <v>927</v>
      </c>
      <c r="M107" s="4">
        <v>17.209779300000001</v>
      </c>
      <c r="N107" s="4">
        <v>74.803162600850996</v>
      </c>
      <c r="O107" s="4">
        <v>0.71986257203241455</v>
      </c>
      <c r="P107" s="1" t="str">
        <f>HYPERLINK(".\sm_car_250702_1901\sm_car_250702_1901_106_Ca012TrN_MaIPA_DrSt_ode23t_1.png","figure")</f>
        <v>figure</v>
      </c>
      <c r="Q107" t="s">
        <v>15</v>
      </c>
      <c r="V107" t="b">
        <f>B107='2024b_250504_0030'!B107</f>
        <v>0</v>
      </c>
    </row>
    <row r="108" spans="1:22" x14ac:dyDescent="0.25">
      <c r="A108">
        <v>107</v>
      </c>
      <c r="B108">
        <v>142</v>
      </c>
      <c r="C108" t="s">
        <v>45</v>
      </c>
      <c r="D108" t="s">
        <v>17</v>
      </c>
      <c r="E108" t="s">
        <v>49</v>
      </c>
      <c r="F108" t="s">
        <v>28</v>
      </c>
      <c r="G108" t="s">
        <v>26</v>
      </c>
      <c r="H108" t="s">
        <v>21</v>
      </c>
      <c r="I108" t="s">
        <v>53</v>
      </c>
      <c r="J108" t="s">
        <v>147</v>
      </c>
      <c r="K108" t="s">
        <v>23</v>
      </c>
      <c r="L108">
        <v>969</v>
      </c>
      <c r="M108" s="4">
        <v>18.283289799999999</v>
      </c>
      <c r="N108" s="4">
        <v>254.08462424743129</v>
      </c>
      <c r="O108" s="4">
        <v>-6.9926607681001229E-3</v>
      </c>
      <c r="P108" s="1" t="str">
        <f>HYPERLINK(".\sm_car_250702_1901\sm_car_250702_1901_107_Ca142TrN_MaDLC_DrSt_ode23t_1.png","figure")</f>
        <v>figure</v>
      </c>
      <c r="Q108" t="s">
        <v>15</v>
      </c>
      <c r="V108" t="b">
        <f>B108='2024b_250504_0030'!B108</f>
        <v>0</v>
      </c>
    </row>
    <row r="109" spans="1:22" x14ac:dyDescent="0.25">
      <c r="A109">
        <v>108</v>
      </c>
      <c r="B109">
        <v>142</v>
      </c>
      <c r="C109" t="s">
        <v>45</v>
      </c>
      <c r="D109" t="s">
        <v>17</v>
      </c>
      <c r="E109" t="s">
        <v>49</v>
      </c>
      <c r="F109" t="s">
        <v>28</v>
      </c>
      <c r="G109" t="s">
        <v>26</v>
      </c>
      <c r="H109" t="s">
        <v>21</v>
      </c>
      <c r="I109" t="s">
        <v>54</v>
      </c>
      <c r="J109" t="s">
        <v>147</v>
      </c>
      <c r="K109" t="s">
        <v>23</v>
      </c>
      <c r="L109">
        <v>2418</v>
      </c>
      <c r="M109" s="4">
        <v>123.3357094</v>
      </c>
      <c r="N109" s="4">
        <v>83.361769669152395</v>
      </c>
      <c r="O109" s="4">
        <v>0.84639428812979989</v>
      </c>
      <c r="P109" s="1" t="str">
        <f>HYPERLINK(".\sm_car_250702_1901\sm_car_250702_1901_108_Ca142TrN_MaIPA_DrSt_ode23t_1.png","figure")</f>
        <v>figure</v>
      </c>
      <c r="Q109" t="s">
        <v>15</v>
      </c>
      <c r="V109" t="b">
        <f>B109='2024b_250504_0030'!B109</f>
        <v>0</v>
      </c>
    </row>
    <row r="110" spans="1:22" x14ac:dyDescent="0.25">
      <c r="A110">
        <v>109</v>
      </c>
      <c r="B110">
        <v>145</v>
      </c>
      <c r="C110" t="s">
        <v>46</v>
      </c>
      <c r="D110" t="s">
        <v>17</v>
      </c>
      <c r="E110" t="s">
        <v>50</v>
      </c>
      <c r="F110" t="s">
        <v>19</v>
      </c>
      <c r="G110" t="s">
        <v>26</v>
      </c>
      <c r="H110" t="s">
        <v>21</v>
      </c>
      <c r="I110" t="s">
        <v>53</v>
      </c>
      <c r="J110" t="s">
        <v>147</v>
      </c>
      <c r="K110" t="s">
        <v>23</v>
      </c>
      <c r="L110">
        <v>463</v>
      </c>
      <c r="M110" s="4">
        <v>16.826752800000001</v>
      </c>
      <c r="N110" s="4">
        <v>254.99212092535544</v>
      </c>
      <c r="O110" s="4">
        <v>6.9610608464464541E-2</v>
      </c>
      <c r="P110" s="1" t="str">
        <f>HYPERLINK(".\sm_car_250702_1901\sm_car_250702_1901_109_Ca145TrN_MaDLC_DrSt_ode23t_1.png","figure")</f>
        <v>figure</v>
      </c>
      <c r="Q110" t="s">
        <v>15</v>
      </c>
      <c r="V110" t="b">
        <f>B110='2024b_250504_0030'!B110</f>
        <v>0</v>
      </c>
    </row>
    <row r="111" spans="1:22" x14ac:dyDescent="0.25">
      <c r="A111">
        <v>110</v>
      </c>
      <c r="B111">
        <v>145</v>
      </c>
      <c r="C111" t="s">
        <v>46</v>
      </c>
      <c r="D111" t="s">
        <v>17</v>
      </c>
      <c r="E111" t="s">
        <v>50</v>
      </c>
      <c r="F111" t="s">
        <v>19</v>
      </c>
      <c r="G111" t="s">
        <v>26</v>
      </c>
      <c r="H111" t="s">
        <v>21</v>
      </c>
      <c r="I111" t="s">
        <v>54</v>
      </c>
      <c r="J111" t="s">
        <v>147</v>
      </c>
      <c r="K111" t="s">
        <v>23</v>
      </c>
      <c r="L111">
        <v>297</v>
      </c>
      <c r="M111" s="4">
        <v>13.607086900000001</v>
      </c>
      <c r="N111" s="4">
        <v>28.087937575919817</v>
      </c>
      <c r="O111" s="4">
        <v>1.5884426876861382E-2</v>
      </c>
      <c r="P111" s="1" t="str">
        <f>HYPERLINK(".\sm_car_250702_1901\sm_car_250702_1901_110_Ca145TrN_MaIPA_DrSt_ode23t_1.png","figure")</f>
        <v>figure</v>
      </c>
      <c r="Q111" t="s">
        <v>15</v>
      </c>
      <c r="V111" t="b">
        <f>B111='2024b_250504_0030'!B111</f>
        <v>0</v>
      </c>
    </row>
    <row r="112" spans="1:22" x14ac:dyDescent="0.25">
      <c r="A112">
        <v>111</v>
      </c>
      <c r="B112">
        <v>184</v>
      </c>
      <c r="C112" t="s">
        <v>105</v>
      </c>
      <c r="D112" t="s">
        <v>118</v>
      </c>
      <c r="E112" t="s">
        <v>49</v>
      </c>
      <c r="F112" t="s">
        <v>19</v>
      </c>
      <c r="G112" t="s">
        <v>20</v>
      </c>
      <c r="H112" t="s">
        <v>21</v>
      </c>
      <c r="I112" t="s">
        <v>53</v>
      </c>
      <c r="J112" t="s">
        <v>147</v>
      </c>
      <c r="K112" t="s">
        <v>23</v>
      </c>
      <c r="L112">
        <v>380</v>
      </c>
      <c r="M112" s="4">
        <v>11.8305867</v>
      </c>
      <c r="N112" s="4">
        <v>255.85130487851484</v>
      </c>
      <c r="O112" s="4">
        <v>8.8958883724226112E-3</v>
      </c>
      <c r="P112" s="1" t="str">
        <f>HYPERLINK(".\sm_car_250702_1901\sm_car_250702_1901_111_Ca184TrN_MaDLC_DrSt_ode23t_1.png","figure")</f>
        <v>figure</v>
      </c>
      <c r="Q112" t="s">
        <v>15</v>
      </c>
      <c r="V112" t="b">
        <f>B112='2024b_250504_0030'!B112</f>
        <v>0</v>
      </c>
    </row>
    <row r="113" spans="1:17" x14ac:dyDescent="0.25">
      <c r="A113">
        <v>112</v>
      </c>
      <c r="B113">
        <v>184</v>
      </c>
      <c r="C113" t="s">
        <v>105</v>
      </c>
      <c r="D113" t="s">
        <v>118</v>
      </c>
      <c r="E113" t="s">
        <v>49</v>
      </c>
      <c r="F113" t="s">
        <v>19</v>
      </c>
      <c r="G113" t="s">
        <v>20</v>
      </c>
      <c r="H113" t="s">
        <v>21</v>
      </c>
      <c r="I113" t="s">
        <v>54</v>
      </c>
      <c r="J113" t="s">
        <v>147</v>
      </c>
      <c r="K113" t="s">
        <v>23</v>
      </c>
      <c r="L113">
        <v>334</v>
      </c>
      <c r="M113" s="4">
        <v>14.7915887</v>
      </c>
      <c r="N113" s="4">
        <v>55.266445656855446</v>
      </c>
      <c r="O113" s="4">
        <v>5.657231590299276E-3</v>
      </c>
      <c r="P113" s="1" t="str">
        <f>HYPERLINK(".\sm_car_250702_1901\sm_car_250702_1901_112_Ca184TrN_MaIPA_DrSt_ode23t_1.png","figure")</f>
        <v>figure</v>
      </c>
      <c r="Q113" t="s">
        <v>15</v>
      </c>
    </row>
    <row r="114" spans="1:17" x14ac:dyDescent="0.25">
      <c r="A114">
        <v>113</v>
      </c>
      <c r="B114">
        <v>204</v>
      </c>
      <c r="C114" t="s">
        <v>105</v>
      </c>
      <c r="D114" t="s">
        <v>106</v>
      </c>
      <c r="E114" t="s">
        <v>18</v>
      </c>
      <c r="F114" t="s">
        <v>19</v>
      </c>
      <c r="G114" t="s">
        <v>20</v>
      </c>
      <c r="H114" t="s">
        <v>21</v>
      </c>
      <c r="I114" t="s">
        <v>53</v>
      </c>
      <c r="J114" t="s">
        <v>147</v>
      </c>
      <c r="K114" t="s">
        <v>23</v>
      </c>
      <c r="L114">
        <v>1747</v>
      </c>
      <c r="M114" s="4">
        <v>28.7550554</v>
      </c>
      <c r="N114" s="4">
        <v>253.28103989234353</v>
      </c>
      <c r="O114" s="4">
        <v>1.9208558998787595E-2</v>
      </c>
      <c r="P114" s="1" t="str">
        <f>HYPERLINK(".\sm_car_250702_1901\sm_car_250702_1901_113_Ca204TrN_MaDLC_DrSt_ode23t_1.png","figure")</f>
        <v>figure</v>
      </c>
      <c r="Q114" t="s">
        <v>15</v>
      </c>
    </row>
    <row r="115" spans="1:17" x14ac:dyDescent="0.25">
      <c r="A115">
        <v>114</v>
      </c>
      <c r="B115">
        <v>204</v>
      </c>
      <c r="C115" t="s">
        <v>105</v>
      </c>
      <c r="D115" t="s">
        <v>106</v>
      </c>
      <c r="E115" t="s">
        <v>18</v>
      </c>
      <c r="F115" t="s">
        <v>19</v>
      </c>
      <c r="G115" t="s">
        <v>20</v>
      </c>
      <c r="H115" t="s">
        <v>21</v>
      </c>
      <c r="I115" t="s">
        <v>54</v>
      </c>
      <c r="J115" t="s">
        <v>147</v>
      </c>
      <c r="K115" t="s">
        <v>23</v>
      </c>
      <c r="L115">
        <v>704</v>
      </c>
      <c r="M115" s="4">
        <v>15.507096199999999</v>
      </c>
      <c r="N115" s="4">
        <v>26.038369466422857</v>
      </c>
      <c r="O115" s="4">
        <v>9.6441214159081173E-3</v>
      </c>
      <c r="P115" s="1" t="str">
        <f>HYPERLINK(".\sm_car_250702_1901\sm_car_250702_1901_114_Ca204TrN_MaIPA_DrSt_ode23t_1.png","figure")</f>
        <v>figure</v>
      </c>
      <c r="Q115" t="s">
        <v>15</v>
      </c>
    </row>
    <row r="116" spans="1:17" x14ac:dyDescent="0.25">
      <c r="A116">
        <v>115</v>
      </c>
      <c r="B116">
        <v>12</v>
      </c>
      <c r="C116" t="s">
        <v>16</v>
      </c>
      <c r="D116" t="s">
        <v>17</v>
      </c>
      <c r="E116" t="s">
        <v>49</v>
      </c>
      <c r="F116" t="s">
        <v>28</v>
      </c>
      <c r="G116" t="s">
        <v>20</v>
      </c>
      <c r="H116" t="s">
        <v>21</v>
      </c>
      <c r="I116" t="s">
        <v>55</v>
      </c>
      <c r="J116" t="s">
        <v>147</v>
      </c>
      <c r="K116" t="s">
        <v>23</v>
      </c>
      <c r="L116">
        <v>2568</v>
      </c>
      <c r="M116" s="4">
        <v>26.1012089</v>
      </c>
      <c r="N116" s="4">
        <v>-2.0542236764333185E-2</v>
      </c>
      <c r="O116" s="4">
        <v>-0.64551913549261619</v>
      </c>
      <c r="P116" s="1" t="str">
        <f>HYPERLINK(".\sm_car_250702_1901\sm_car_250702_1901_115_Ca012TrN_MaMPK_DrSt_ode23t_1.png","figure")</f>
        <v>figure</v>
      </c>
      <c r="Q116" t="s">
        <v>15</v>
      </c>
    </row>
    <row r="117" spans="1:17" x14ac:dyDescent="0.25">
      <c r="A117">
        <v>116</v>
      </c>
      <c r="B117">
        <v>12</v>
      </c>
      <c r="C117" t="s">
        <v>16</v>
      </c>
      <c r="D117" t="s">
        <v>17</v>
      </c>
      <c r="E117" t="s">
        <v>49</v>
      </c>
      <c r="F117" t="s">
        <v>28</v>
      </c>
      <c r="G117" t="s">
        <v>20</v>
      </c>
      <c r="H117" t="s">
        <v>21</v>
      </c>
      <c r="I117" t="s">
        <v>55</v>
      </c>
      <c r="J117" t="s">
        <v>148</v>
      </c>
      <c r="K117" t="s">
        <v>23</v>
      </c>
      <c r="L117">
        <v>2378</v>
      </c>
      <c r="M117" s="4">
        <v>24.0709084</v>
      </c>
      <c r="N117" s="4">
        <v>6.4533116159343623E-3</v>
      </c>
      <c r="O117" s="4">
        <v>-3.9641402807391701E-2</v>
      </c>
      <c r="P117" s="1" t="str">
        <f>HYPERLINK(".\sm_car_250702_1901\sm_car_250702_1901_116_Ca012TrN_MaMPK_DrSt_ode23t_1.png","figure")</f>
        <v>figure</v>
      </c>
      <c r="Q117" t="s">
        <v>15</v>
      </c>
    </row>
    <row r="118" spans="1:17" x14ac:dyDescent="0.25">
      <c r="A118">
        <v>117</v>
      </c>
      <c r="B118">
        <v>12</v>
      </c>
      <c r="C118" t="s">
        <v>16</v>
      </c>
      <c r="D118" t="s">
        <v>17</v>
      </c>
      <c r="E118" t="s">
        <v>49</v>
      </c>
      <c r="F118" t="s">
        <v>28</v>
      </c>
      <c r="G118" t="s">
        <v>20</v>
      </c>
      <c r="H118" t="s">
        <v>21</v>
      </c>
      <c r="I118" t="s">
        <v>56</v>
      </c>
      <c r="J118" t="s">
        <v>147</v>
      </c>
      <c r="K118" t="s">
        <v>23</v>
      </c>
      <c r="L118">
        <v>2404</v>
      </c>
      <c r="M118" s="4">
        <v>26.687011800000001</v>
      </c>
      <c r="N118" s="4">
        <v>0.77636098397768727</v>
      </c>
      <c r="O118" s="4">
        <v>-0.33097277170608352</v>
      </c>
      <c r="P118" s="1" t="str">
        <f>HYPERLINK(".\sm_car_250702_1901\sm_car_250702_1901_117_Ca012TrN_MaMPC_DrSt_ode23t_1.png","figure")</f>
        <v>figure</v>
      </c>
      <c r="Q118" t="s">
        <v>15</v>
      </c>
    </row>
    <row r="119" spans="1:17" x14ac:dyDescent="0.25">
      <c r="A119">
        <v>118</v>
      </c>
      <c r="B119">
        <v>12</v>
      </c>
      <c r="C119" t="s">
        <v>16</v>
      </c>
      <c r="D119" t="s">
        <v>17</v>
      </c>
      <c r="E119" t="s">
        <v>49</v>
      </c>
      <c r="F119" t="s">
        <v>28</v>
      </c>
      <c r="G119" t="s">
        <v>20</v>
      </c>
      <c r="H119" t="s">
        <v>21</v>
      </c>
      <c r="I119" t="s">
        <v>56</v>
      </c>
      <c r="J119" t="s">
        <v>148</v>
      </c>
      <c r="K119" t="s">
        <v>23</v>
      </c>
      <c r="L119">
        <v>2241</v>
      </c>
      <c r="M119" s="4">
        <v>25.966480199999999</v>
      </c>
      <c r="N119" s="4">
        <v>0.78707244927496234</v>
      </c>
      <c r="O119" s="4">
        <v>0.10802588748194568</v>
      </c>
      <c r="P119" s="1" t="str">
        <f>HYPERLINK(".\sm_car_250702_1901\sm_car_250702_1901_118_Ca012TrN_MaMPC_DrSt_ode23t_1.png","figure")</f>
        <v>figure</v>
      </c>
      <c r="Q119" t="s">
        <v>15</v>
      </c>
    </row>
    <row r="120" spans="1:17" x14ac:dyDescent="0.25">
      <c r="A120">
        <v>119</v>
      </c>
      <c r="B120">
        <v>142</v>
      </c>
      <c r="C120" t="s">
        <v>45</v>
      </c>
      <c r="D120" t="s">
        <v>17</v>
      </c>
      <c r="E120" t="s">
        <v>49</v>
      </c>
      <c r="F120" t="s">
        <v>28</v>
      </c>
      <c r="G120" t="s">
        <v>26</v>
      </c>
      <c r="H120" t="s">
        <v>21</v>
      </c>
      <c r="I120" t="s">
        <v>55</v>
      </c>
      <c r="J120" t="s">
        <v>147</v>
      </c>
      <c r="K120" t="s">
        <v>23</v>
      </c>
      <c r="L120">
        <v>2545</v>
      </c>
      <c r="M120" s="4">
        <v>52.270817800000003</v>
      </c>
      <c r="N120" s="4">
        <v>3.0841880708746966E-2</v>
      </c>
      <c r="O120" s="4">
        <v>-0.56351477909087999</v>
      </c>
      <c r="P120" s="1" t="str">
        <f>HYPERLINK(".\sm_car_250702_1901\sm_car_250702_1901_119_Ca142TrN_MaMPK_DrSt_ode23t_1.png","figure")</f>
        <v>figure</v>
      </c>
      <c r="Q120" t="s">
        <v>15</v>
      </c>
    </row>
    <row r="121" spans="1:17" x14ac:dyDescent="0.25">
      <c r="A121">
        <v>120</v>
      </c>
      <c r="B121">
        <v>142</v>
      </c>
      <c r="C121" t="s">
        <v>45</v>
      </c>
      <c r="D121" t="s">
        <v>17</v>
      </c>
      <c r="E121" t="s">
        <v>49</v>
      </c>
      <c r="F121" t="s">
        <v>28</v>
      </c>
      <c r="G121" t="s">
        <v>26</v>
      </c>
      <c r="H121" t="s">
        <v>21</v>
      </c>
      <c r="I121" t="s">
        <v>55</v>
      </c>
      <c r="J121" t="s">
        <v>148</v>
      </c>
      <c r="K121" t="s">
        <v>23</v>
      </c>
      <c r="L121">
        <v>2902</v>
      </c>
      <c r="M121" s="4">
        <v>52.147805200000001</v>
      </c>
      <c r="N121" s="4">
        <v>-1.0845025540391406E-2</v>
      </c>
      <c r="O121" s="4">
        <v>-8.0419334396891098E-2</v>
      </c>
      <c r="P121" s="1" t="str">
        <f>HYPERLINK(".\sm_car_250702_1901\sm_car_250702_1901_120_Ca142TrN_MaMPK_DrSt_ode23t_1.png","figure")</f>
        <v>figure</v>
      </c>
      <c r="Q121" t="s">
        <v>15</v>
      </c>
    </row>
    <row r="122" spans="1:17" x14ac:dyDescent="0.25">
      <c r="A122">
        <v>121</v>
      </c>
      <c r="B122">
        <v>142</v>
      </c>
      <c r="C122" t="s">
        <v>45</v>
      </c>
      <c r="D122" t="s">
        <v>17</v>
      </c>
      <c r="E122" t="s">
        <v>49</v>
      </c>
      <c r="F122" t="s">
        <v>28</v>
      </c>
      <c r="G122" t="s">
        <v>26</v>
      </c>
      <c r="H122" t="s">
        <v>21</v>
      </c>
      <c r="I122" t="s">
        <v>56</v>
      </c>
      <c r="J122" t="s">
        <v>147</v>
      </c>
      <c r="K122" t="s">
        <v>23</v>
      </c>
      <c r="L122">
        <v>2396</v>
      </c>
      <c r="M122" s="4">
        <v>49.442744599999997</v>
      </c>
      <c r="N122" s="4">
        <v>0.78881249205421256</v>
      </c>
      <c r="O122" s="4">
        <v>-0.37001481664239766</v>
      </c>
      <c r="P122" s="1" t="str">
        <f>HYPERLINK(".\sm_car_250702_1901\sm_car_250702_1901_121_Ca142TrN_MaMPC_DrSt_ode23t_1.png","figure")</f>
        <v>figure</v>
      </c>
      <c r="Q122" t="s">
        <v>15</v>
      </c>
    </row>
    <row r="123" spans="1:17" x14ac:dyDescent="0.25">
      <c r="A123">
        <v>122</v>
      </c>
      <c r="B123">
        <v>142</v>
      </c>
      <c r="C123" t="s">
        <v>45</v>
      </c>
      <c r="D123" t="s">
        <v>17</v>
      </c>
      <c r="E123" t="s">
        <v>49</v>
      </c>
      <c r="F123" t="s">
        <v>28</v>
      </c>
      <c r="G123" t="s">
        <v>26</v>
      </c>
      <c r="H123" t="s">
        <v>21</v>
      </c>
      <c r="I123" t="s">
        <v>56</v>
      </c>
      <c r="J123" t="s">
        <v>148</v>
      </c>
      <c r="K123" t="s">
        <v>23</v>
      </c>
      <c r="L123">
        <v>2783</v>
      </c>
      <c r="M123" s="4">
        <v>63.810881199999997</v>
      </c>
      <c r="N123" s="4">
        <v>0.78722772560109888</v>
      </c>
      <c r="O123" s="4">
        <v>1.9551512217087046E-2</v>
      </c>
      <c r="P123" s="1" t="str">
        <f>HYPERLINK(".\sm_car_250702_1901\sm_car_250702_1901_122_Ca142TrN_MaMPC_DrSt_ode23t_1.png","figure")</f>
        <v>figure</v>
      </c>
      <c r="Q123" t="s">
        <v>15</v>
      </c>
    </row>
    <row r="124" spans="1:17" x14ac:dyDescent="0.25">
      <c r="A124">
        <v>123</v>
      </c>
      <c r="B124">
        <v>116</v>
      </c>
      <c r="C124" t="s">
        <v>16</v>
      </c>
      <c r="D124" t="s">
        <v>35</v>
      </c>
      <c r="E124" t="s">
        <v>18</v>
      </c>
      <c r="F124" t="s">
        <v>28</v>
      </c>
      <c r="G124" t="s">
        <v>20</v>
      </c>
      <c r="H124" t="s">
        <v>21</v>
      </c>
      <c r="I124" t="s">
        <v>55</v>
      </c>
      <c r="J124" t="s">
        <v>147</v>
      </c>
      <c r="K124" t="s">
        <v>23</v>
      </c>
      <c r="L124">
        <v>2860</v>
      </c>
      <c r="M124" s="4">
        <v>14.626181900000001</v>
      </c>
      <c r="N124" s="4">
        <v>-1.4650188080569088E-2</v>
      </c>
      <c r="O124" s="4">
        <v>-0.54221138740208208</v>
      </c>
      <c r="P124" s="1" t="str">
        <f>HYPERLINK(".\sm_car_250702_1901\sm_car_250702_1901_123_Ca116TrN_MaMPK_DrSt_ode23t_1.png","figure")</f>
        <v>figure</v>
      </c>
      <c r="Q124" t="s">
        <v>15</v>
      </c>
    </row>
    <row r="125" spans="1:17" x14ac:dyDescent="0.25">
      <c r="A125">
        <v>124</v>
      </c>
      <c r="B125">
        <v>116</v>
      </c>
      <c r="C125" t="s">
        <v>16</v>
      </c>
      <c r="D125" t="s">
        <v>35</v>
      </c>
      <c r="E125" t="s">
        <v>18</v>
      </c>
      <c r="F125" t="s">
        <v>28</v>
      </c>
      <c r="G125" t="s">
        <v>20</v>
      </c>
      <c r="H125" t="s">
        <v>21</v>
      </c>
      <c r="I125" t="s">
        <v>55</v>
      </c>
      <c r="J125" t="s">
        <v>148</v>
      </c>
      <c r="K125" t="s">
        <v>23</v>
      </c>
      <c r="L125">
        <v>2782</v>
      </c>
      <c r="M125" s="4">
        <v>13.5477919</v>
      </c>
      <c r="N125" s="4">
        <v>-1.8925572210936839E-2</v>
      </c>
      <c r="O125" s="4">
        <v>-0.53238567557633132</v>
      </c>
      <c r="P125" s="1" t="str">
        <f>HYPERLINK(".\sm_car_250702_1901\sm_car_250702_1901_124_Ca116TrN_MaMPK_DrSt_ode23t_1.png","figure")</f>
        <v>figure</v>
      </c>
      <c r="Q125" t="s">
        <v>15</v>
      </c>
    </row>
    <row r="126" spans="1:17" x14ac:dyDescent="0.25">
      <c r="A126">
        <v>125</v>
      </c>
      <c r="B126">
        <v>116</v>
      </c>
      <c r="C126" t="s">
        <v>16</v>
      </c>
      <c r="D126" t="s">
        <v>35</v>
      </c>
      <c r="E126" t="s">
        <v>18</v>
      </c>
      <c r="F126" t="s">
        <v>28</v>
      </c>
      <c r="G126" t="s">
        <v>20</v>
      </c>
      <c r="H126" t="s">
        <v>21</v>
      </c>
      <c r="I126" t="s">
        <v>56</v>
      </c>
      <c r="J126" t="s">
        <v>147</v>
      </c>
      <c r="K126" t="s">
        <v>23</v>
      </c>
      <c r="L126">
        <v>2740</v>
      </c>
      <c r="M126" s="4">
        <v>14.1560519</v>
      </c>
      <c r="N126" s="4">
        <v>0.78799501948184769</v>
      </c>
      <c r="O126" s="4">
        <v>-0.36317862622251679</v>
      </c>
      <c r="P126" s="1" t="str">
        <f>HYPERLINK(".\sm_car_250702_1901\sm_car_250702_1901_125_Ca116TrN_MaMPC_DrSt_ode23t_1.png","figure")</f>
        <v>figure</v>
      </c>
      <c r="Q126" t="s">
        <v>15</v>
      </c>
    </row>
    <row r="127" spans="1:17" x14ac:dyDescent="0.25">
      <c r="A127">
        <v>126</v>
      </c>
      <c r="B127">
        <v>116</v>
      </c>
      <c r="C127" t="s">
        <v>16</v>
      </c>
      <c r="D127" t="s">
        <v>35</v>
      </c>
      <c r="E127" t="s">
        <v>18</v>
      </c>
      <c r="F127" t="s">
        <v>28</v>
      </c>
      <c r="G127" t="s">
        <v>20</v>
      </c>
      <c r="H127" t="s">
        <v>21</v>
      </c>
      <c r="I127" t="s">
        <v>56</v>
      </c>
      <c r="J127" t="s">
        <v>148</v>
      </c>
      <c r="K127" t="s">
        <v>23</v>
      </c>
      <c r="L127">
        <v>2638</v>
      </c>
      <c r="M127" s="4">
        <v>13.4935483</v>
      </c>
      <c r="N127" s="4">
        <v>0.78677063823486115</v>
      </c>
      <c r="O127" s="4">
        <v>0.4489912284950624</v>
      </c>
      <c r="P127" s="1" t="str">
        <f>HYPERLINK(".\sm_car_250702_1901\sm_car_250702_1901_126_Ca116TrN_MaMPC_DrSt_ode23t_1.png","figure")</f>
        <v>figure</v>
      </c>
      <c r="Q127" t="s">
        <v>15</v>
      </c>
    </row>
    <row r="128" spans="1:17" x14ac:dyDescent="0.25">
      <c r="A128">
        <v>127</v>
      </c>
      <c r="B128">
        <v>143</v>
      </c>
      <c r="C128" t="s">
        <v>46</v>
      </c>
      <c r="D128" t="s">
        <v>17</v>
      </c>
      <c r="E128" t="s">
        <v>47</v>
      </c>
      <c r="F128" t="s">
        <v>19</v>
      </c>
      <c r="G128" t="s">
        <v>26</v>
      </c>
      <c r="H128" t="s">
        <v>21</v>
      </c>
      <c r="I128" t="s">
        <v>55</v>
      </c>
      <c r="J128" t="s">
        <v>147</v>
      </c>
      <c r="K128" t="s">
        <v>23</v>
      </c>
      <c r="L128">
        <v>2438</v>
      </c>
      <c r="M128" s="4">
        <v>58.2396879</v>
      </c>
      <c r="N128" s="4">
        <v>-1.5523326160730364E-2</v>
      </c>
      <c r="O128" s="4">
        <v>-0.40332412245993476</v>
      </c>
      <c r="P128" s="1" t="str">
        <f>HYPERLINK(".\sm_car_250702_1901\sm_car_250702_1901_127_Ca143TrN_MaMPK_DrSt_ode23t_1.png","figure")</f>
        <v>figure</v>
      </c>
      <c r="Q128" t="s">
        <v>15</v>
      </c>
    </row>
    <row r="129" spans="1:17" x14ac:dyDescent="0.25">
      <c r="A129">
        <v>128</v>
      </c>
      <c r="B129">
        <v>143</v>
      </c>
      <c r="C129" t="s">
        <v>46</v>
      </c>
      <c r="D129" t="s">
        <v>17</v>
      </c>
      <c r="E129" t="s">
        <v>47</v>
      </c>
      <c r="F129" t="s">
        <v>19</v>
      </c>
      <c r="G129" t="s">
        <v>26</v>
      </c>
      <c r="H129" t="s">
        <v>21</v>
      </c>
      <c r="I129" t="s">
        <v>55</v>
      </c>
      <c r="J129" t="s">
        <v>148</v>
      </c>
      <c r="K129" t="s">
        <v>23</v>
      </c>
      <c r="L129">
        <v>2168</v>
      </c>
      <c r="M129" s="4">
        <v>49.801745699999998</v>
      </c>
      <c r="N129" s="4">
        <v>-1.0564239788155488E-2</v>
      </c>
      <c r="O129" s="4">
        <v>-9.2452801706950499E-2</v>
      </c>
      <c r="P129" s="1" t="str">
        <f>HYPERLINK(".\sm_car_250702_1901\sm_car_250702_1901_128_Ca143TrN_MaMPK_DrSt_ode23t_1.png","figure")</f>
        <v>figure</v>
      </c>
      <c r="Q129" t="s">
        <v>15</v>
      </c>
    </row>
    <row r="130" spans="1:17" x14ac:dyDescent="0.25">
      <c r="A130">
        <v>129</v>
      </c>
      <c r="B130">
        <v>143</v>
      </c>
      <c r="C130" t="s">
        <v>46</v>
      </c>
      <c r="D130" t="s">
        <v>17</v>
      </c>
      <c r="E130" t="s">
        <v>47</v>
      </c>
      <c r="F130" t="s">
        <v>19</v>
      </c>
      <c r="G130" t="s">
        <v>26</v>
      </c>
      <c r="H130" t="s">
        <v>21</v>
      </c>
      <c r="I130" t="s">
        <v>56</v>
      </c>
      <c r="J130" t="s">
        <v>147</v>
      </c>
      <c r="K130" t="s">
        <v>23</v>
      </c>
      <c r="L130">
        <v>2345</v>
      </c>
      <c r="M130" s="4">
        <v>58.912785399999997</v>
      </c>
      <c r="N130" s="4">
        <v>0.78866260849291514</v>
      </c>
      <c r="O130" s="4">
        <v>-0.2728849950447676</v>
      </c>
      <c r="P130" s="1" t="str">
        <f>HYPERLINK(".\sm_car_250702_1901\sm_car_250702_1901_129_Ca143TrN_MaMPC_DrSt_ode23t_1.png","figure")</f>
        <v>figure</v>
      </c>
      <c r="Q130" t="s">
        <v>15</v>
      </c>
    </row>
    <row r="131" spans="1:17" x14ac:dyDescent="0.25">
      <c r="A131">
        <v>130</v>
      </c>
      <c r="B131">
        <v>143</v>
      </c>
      <c r="C131" t="s">
        <v>46</v>
      </c>
      <c r="D131" t="s">
        <v>17</v>
      </c>
      <c r="E131" t="s">
        <v>47</v>
      </c>
      <c r="F131" t="s">
        <v>19</v>
      </c>
      <c r="G131" t="s">
        <v>26</v>
      </c>
      <c r="H131" t="s">
        <v>21</v>
      </c>
      <c r="I131" t="s">
        <v>56</v>
      </c>
      <c r="J131" t="s">
        <v>148</v>
      </c>
      <c r="K131" t="s">
        <v>23</v>
      </c>
      <c r="L131">
        <v>2107</v>
      </c>
      <c r="M131" s="4">
        <v>53.082042000000001</v>
      </c>
      <c r="N131" s="4">
        <v>0.77402473824082207</v>
      </c>
      <c r="O131" s="4">
        <v>-0.15744561381605751</v>
      </c>
      <c r="P131" s="1" t="str">
        <f>HYPERLINK(".\sm_car_250702_1901\sm_car_250702_1901_130_Ca143TrN_MaMPC_DrSt_ode23t_1.png","figure")</f>
        <v>figure</v>
      </c>
      <c r="Q131" t="s">
        <v>15</v>
      </c>
    </row>
    <row r="132" spans="1:17" x14ac:dyDescent="0.25">
      <c r="A132">
        <v>131</v>
      </c>
      <c r="B132">
        <v>166</v>
      </c>
      <c r="C132" t="s">
        <v>45</v>
      </c>
      <c r="D132" t="s">
        <v>57</v>
      </c>
      <c r="E132" t="s">
        <v>18</v>
      </c>
      <c r="F132" t="s">
        <v>19</v>
      </c>
      <c r="G132" t="s">
        <v>26</v>
      </c>
      <c r="H132" t="s">
        <v>21</v>
      </c>
      <c r="I132" t="s">
        <v>55</v>
      </c>
      <c r="J132" t="s">
        <v>147</v>
      </c>
      <c r="K132" t="s">
        <v>23</v>
      </c>
      <c r="L132">
        <v>3190</v>
      </c>
      <c r="M132" s="4">
        <v>55.218424400000004</v>
      </c>
      <c r="N132" s="4">
        <v>-1.6012240415713586E-2</v>
      </c>
      <c r="O132" s="4">
        <v>-0.57256143335642251</v>
      </c>
      <c r="P132" s="1" t="str">
        <f>HYPERLINK(".\sm_car_250702_1901\sm_car_250702_1901_131_Ca166TrN_MaMPK_DrSt_ode23t_1.png","figure")</f>
        <v>figure</v>
      </c>
      <c r="Q132" t="s">
        <v>15</v>
      </c>
    </row>
    <row r="133" spans="1:17" x14ac:dyDescent="0.25">
      <c r="A133">
        <v>132</v>
      </c>
      <c r="B133">
        <v>166</v>
      </c>
      <c r="C133" t="s">
        <v>45</v>
      </c>
      <c r="D133" t="s">
        <v>57</v>
      </c>
      <c r="E133" t="s">
        <v>18</v>
      </c>
      <c r="F133" t="s">
        <v>19</v>
      </c>
      <c r="G133" t="s">
        <v>26</v>
      </c>
      <c r="H133" t="s">
        <v>21</v>
      </c>
      <c r="I133" t="s">
        <v>55</v>
      </c>
      <c r="J133" t="s">
        <v>148</v>
      </c>
      <c r="K133" t="s">
        <v>23</v>
      </c>
      <c r="L133">
        <v>3748</v>
      </c>
      <c r="M133" s="4">
        <v>58.038973200000001</v>
      </c>
      <c r="N133" s="4">
        <v>-6.6354824743163482E-3</v>
      </c>
      <c r="O133" s="4">
        <v>-8.4580305440685552E-2</v>
      </c>
      <c r="P133" s="1" t="str">
        <f>HYPERLINK(".\sm_car_250702_1901\sm_car_250702_1901_132_Ca166TrN_MaMPK_DrSt_ode23t_1.png","figure")</f>
        <v>figure</v>
      </c>
      <c r="Q133" t="s">
        <v>15</v>
      </c>
    </row>
    <row r="134" spans="1:17" x14ac:dyDescent="0.25">
      <c r="A134">
        <v>133</v>
      </c>
      <c r="B134">
        <v>166</v>
      </c>
      <c r="C134" t="s">
        <v>45</v>
      </c>
      <c r="D134" t="s">
        <v>57</v>
      </c>
      <c r="E134" t="s">
        <v>18</v>
      </c>
      <c r="F134" t="s">
        <v>19</v>
      </c>
      <c r="G134" t="s">
        <v>26</v>
      </c>
      <c r="H134" t="s">
        <v>21</v>
      </c>
      <c r="I134" t="s">
        <v>56</v>
      </c>
      <c r="J134" t="s">
        <v>147</v>
      </c>
      <c r="K134" t="s">
        <v>23</v>
      </c>
      <c r="L134">
        <v>3065</v>
      </c>
      <c r="M134" s="4">
        <v>55.350250699999997</v>
      </c>
      <c r="N134" s="4">
        <v>0.78786597737172315</v>
      </c>
      <c r="O134" s="4">
        <v>-0.36191294074672642</v>
      </c>
      <c r="P134" s="1" t="str">
        <f>HYPERLINK(".\sm_car_250702_1901\sm_car_250702_1901_133_Ca166TrN_MaMPC_DrSt_ode23t_1.png","figure")</f>
        <v>figure</v>
      </c>
      <c r="Q134" t="s">
        <v>15</v>
      </c>
    </row>
    <row r="135" spans="1:17" x14ac:dyDescent="0.25">
      <c r="A135">
        <v>134</v>
      </c>
      <c r="B135">
        <v>166</v>
      </c>
      <c r="C135" t="s">
        <v>45</v>
      </c>
      <c r="D135" t="s">
        <v>57</v>
      </c>
      <c r="E135" t="s">
        <v>18</v>
      </c>
      <c r="F135" t="s">
        <v>19</v>
      </c>
      <c r="G135" t="s">
        <v>26</v>
      </c>
      <c r="H135" t="s">
        <v>21</v>
      </c>
      <c r="I135" t="s">
        <v>56</v>
      </c>
      <c r="J135" t="s">
        <v>148</v>
      </c>
      <c r="K135" t="s">
        <v>23</v>
      </c>
      <c r="L135">
        <v>3490</v>
      </c>
      <c r="M135" s="4">
        <v>60.418328000000002</v>
      </c>
      <c r="N135" s="4">
        <v>0.78817017917975463</v>
      </c>
      <c r="O135" s="4">
        <v>2.6467643020490591E-2</v>
      </c>
      <c r="P135" s="1" t="str">
        <f>HYPERLINK(".\sm_car_250702_1901\sm_car_250702_1901_134_Ca166TrN_MaMPC_DrSt_ode23t_1.png","figure")</f>
        <v>figure</v>
      </c>
      <c r="Q135" t="s">
        <v>15</v>
      </c>
    </row>
    <row r="136" spans="1:17" x14ac:dyDescent="0.25">
      <c r="A136">
        <v>135</v>
      </c>
      <c r="B136">
        <v>169</v>
      </c>
      <c r="C136" t="s">
        <v>45</v>
      </c>
      <c r="D136" t="s">
        <v>58</v>
      </c>
      <c r="E136" t="s">
        <v>49</v>
      </c>
      <c r="F136" t="s">
        <v>19</v>
      </c>
      <c r="G136" t="s">
        <v>26</v>
      </c>
      <c r="H136" t="s">
        <v>21</v>
      </c>
      <c r="I136" t="s">
        <v>55</v>
      </c>
      <c r="J136" t="s">
        <v>147</v>
      </c>
      <c r="K136" t="s">
        <v>23</v>
      </c>
      <c r="L136">
        <v>3329</v>
      </c>
      <c r="M136" s="4">
        <v>52.644027399999999</v>
      </c>
      <c r="N136" s="4">
        <v>-1.7395141874192541E-2</v>
      </c>
      <c r="O136" s="4">
        <v>-0.57358814628078325</v>
      </c>
      <c r="P136" s="1" t="str">
        <f>HYPERLINK(".\sm_car_250702_1901\sm_car_250702_1901_135_Ca169TrN_MaMPK_DrSt_ode23t_1.png","figure")</f>
        <v>figure</v>
      </c>
      <c r="Q136" t="s">
        <v>15</v>
      </c>
    </row>
    <row r="137" spans="1:17" x14ac:dyDescent="0.25">
      <c r="A137">
        <v>136</v>
      </c>
      <c r="B137">
        <v>169</v>
      </c>
      <c r="C137" t="s">
        <v>45</v>
      </c>
      <c r="D137" t="s">
        <v>58</v>
      </c>
      <c r="E137" t="s">
        <v>49</v>
      </c>
      <c r="F137" t="s">
        <v>19</v>
      </c>
      <c r="G137" t="s">
        <v>26</v>
      </c>
      <c r="H137" t="s">
        <v>21</v>
      </c>
      <c r="I137" t="s">
        <v>55</v>
      </c>
      <c r="J137" t="s">
        <v>148</v>
      </c>
      <c r="K137" t="s">
        <v>23</v>
      </c>
      <c r="L137">
        <v>3935</v>
      </c>
      <c r="M137" s="4">
        <v>59.808650399999998</v>
      </c>
      <c r="N137" s="4">
        <v>7.2579354887093717E-4</v>
      </c>
      <c r="O137" s="4">
        <v>-8.381539068198679E-2</v>
      </c>
      <c r="P137" s="1" t="str">
        <f>HYPERLINK(".\sm_car_250702_1901\sm_car_250702_1901_136_Ca169TrN_MaMPK_DrSt_ode23t_1.png","figure")</f>
        <v>figure</v>
      </c>
      <c r="Q137" t="s">
        <v>15</v>
      </c>
    </row>
    <row r="138" spans="1:17" x14ac:dyDescent="0.25">
      <c r="A138">
        <v>137</v>
      </c>
      <c r="B138">
        <v>169</v>
      </c>
      <c r="C138" t="s">
        <v>45</v>
      </c>
      <c r="D138" t="s">
        <v>58</v>
      </c>
      <c r="E138" t="s">
        <v>49</v>
      </c>
      <c r="F138" t="s">
        <v>19</v>
      </c>
      <c r="G138" t="s">
        <v>26</v>
      </c>
      <c r="H138" t="s">
        <v>21</v>
      </c>
      <c r="I138" t="s">
        <v>56</v>
      </c>
      <c r="J138" t="s">
        <v>147</v>
      </c>
      <c r="K138" t="s">
        <v>23</v>
      </c>
      <c r="L138">
        <v>3040</v>
      </c>
      <c r="M138" s="4">
        <v>49.828427300000001</v>
      </c>
      <c r="N138" s="4">
        <v>0.78835504943515922</v>
      </c>
      <c r="O138" s="4">
        <v>-0.35960822724586355</v>
      </c>
      <c r="P138" s="1" t="str">
        <f>HYPERLINK(".\sm_car_250702_1901\sm_car_250702_1901_137_Ca169TrN_MaMPC_DrSt_ode23t_1.png","figure")</f>
        <v>figure</v>
      </c>
      <c r="Q138" t="s">
        <v>15</v>
      </c>
    </row>
    <row r="139" spans="1:17" x14ac:dyDescent="0.25">
      <c r="A139">
        <v>138</v>
      </c>
      <c r="B139">
        <v>169</v>
      </c>
      <c r="C139" t="s">
        <v>45</v>
      </c>
      <c r="D139" t="s">
        <v>58</v>
      </c>
      <c r="E139" t="s">
        <v>49</v>
      </c>
      <c r="F139" t="s">
        <v>19</v>
      </c>
      <c r="G139" t="s">
        <v>26</v>
      </c>
      <c r="H139" t="s">
        <v>21</v>
      </c>
      <c r="I139" t="s">
        <v>56</v>
      </c>
      <c r="J139" t="s">
        <v>148</v>
      </c>
      <c r="K139" t="s">
        <v>23</v>
      </c>
      <c r="L139">
        <v>3472</v>
      </c>
      <c r="M139" s="4">
        <v>49.419253500000003</v>
      </c>
      <c r="N139" s="4">
        <v>0.78789523920940674</v>
      </c>
      <c r="O139" s="4">
        <v>2.8234583620613665E-2</v>
      </c>
      <c r="P139" s="1" t="str">
        <f>HYPERLINK(".\sm_car_250702_1901\sm_car_250702_1901_138_Ca169TrN_MaMPC_DrSt_ode23t_1.png","figure")</f>
        <v>figure</v>
      </c>
      <c r="Q139" t="s">
        <v>15</v>
      </c>
    </row>
    <row r="140" spans="1:17" x14ac:dyDescent="0.25">
      <c r="A140">
        <v>139</v>
      </c>
      <c r="B140">
        <v>184</v>
      </c>
      <c r="C140" t="s">
        <v>105</v>
      </c>
      <c r="D140" t="s">
        <v>118</v>
      </c>
      <c r="E140" t="s">
        <v>49</v>
      </c>
      <c r="F140" t="s">
        <v>19</v>
      </c>
      <c r="G140" t="s">
        <v>20</v>
      </c>
      <c r="H140" t="s">
        <v>21</v>
      </c>
      <c r="I140" t="s">
        <v>55</v>
      </c>
      <c r="J140" t="s">
        <v>147</v>
      </c>
      <c r="K140" t="s">
        <v>23</v>
      </c>
      <c r="L140">
        <v>2244</v>
      </c>
      <c r="M140" s="4">
        <v>61.119595799999999</v>
      </c>
      <c r="N140" s="4">
        <v>-1.9829094140950521E-2</v>
      </c>
      <c r="O140" s="4">
        <v>-0.74415306086418453</v>
      </c>
      <c r="P140" s="1" t="str">
        <f>HYPERLINK(".\sm_car_250702_1901\sm_car_250702_1901_139_Ca184TrN_MaMPK_DrSt_ode23t_1.png","figure")</f>
        <v>figure</v>
      </c>
      <c r="Q140" t="s">
        <v>15</v>
      </c>
    </row>
    <row r="141" spans="1:17" x14ac:dyDescent="0.25">
      <c r="A141">
        <v>140</v>
      </c>
      <c r="B141">
        <v>184</v>
      </c>
      <c r="C141" t="s">
        <v>105</v>
      </c>
      <c r="D141" t="s">
        <v>118</v>
      </c>
      <c r="E141" t="s">
        <v>49</v>
      </c>
      <c r="F141" t="s">
        <v>19</v>
      </c>
      <c r="G141" t="s">
        <v>20</v>
      </c>
      <c r="H141" t="s">
        <v>21</v>
      </c>
      <c r="I141" t="s">
        <v>55</v>
      </c>
      <c r="J141" t="s">
        <v>148</v>
      </c>
      <c r="K141" t="s">
        <v>23</v>
      </c>
      <c r="L141">
        <v>2340</v>
      </c>
      <c r="M141" s="4">
        <v>58.733503900000002</v>
      </c>
      <c r="N141" s="4">
        <v>-7.9546947883626651E-3</v>
      </c>
      <c r="O141" s="4">
        <v>-3.063136409208194E-2</v>
      </c>
      <c r="P141" s="1" t="str">
        <f>HYPERLINK(".\sm_car_250702_1901\sm_car_250702_1901_140_Ca184TrN_MaMPK_DrSt_ode23t_1.png","figure")</f>
        <v>figure</v>
      </c>
      <c r="Q141" t="s">
        <v>15</v>
      </c>
    </row>
    <row r="142" spans="1:17" x14ac:dyDescent="0.25">
      <c r="A142">
        <v>141</v>
      </c>
      <c r="B142">
        <v>184</v>
      </c>
      <c r="C142" t="s">
        <v>105</v>
      </c>
      <c r="D142" t="s">
        <v>118</v>
      </c>
      <c r="E142" t="s">
        <v>49</v>
      </c>
      <c r="F142" t="s">
        <v>19</v>
      </c>
      <c r="G142" t="s">
        <v>20</v>
      </c>
      <c r="H142" t="s">
        <v>21</v>
      </c>
      <c r="I142" t="s">
        <v>56</v>
      </c>
      <c r="J142" t="s">
        <v>147</v>
      </c>
      <c r="K142" t="s">
        <v>23</v>
      </c>
      <c r="L142">
        <v>2070</v>
      </c>
      <c r="M142" s="4">
        <v>56.438111999999997</v>
      </c>
      <c r="N142" s="4">
        <v>0.78902311649516932</v>
      </c>
      <c r="O142" s="4">
        <v>-0.33819735961072656</v>
      </c>
      <c r="P142" s="1" t="str">
        <f>HYPERLINK(".\sm_car_250702_1901\sm_car_250702_1901_141_Ca184TrN_MaMPC_DrSt_ode23t_1.png","figure")</f>
        <v>figure</v>
      </c>
      <c r="Q142" t="s">
        <v>15</v>
      </c>
    </row>
    <row r="143" spans="1:17" x14ac:dyDescent="0.25">
      <c r="A143">
        <v>142</v>
      </c>
      <c r="B143">
        <v>184</v>
      </c>
      <c r="C143" t="s">
        <v>105</v>
      </c>
      <c r="D143" t="s">
        <v>118</v>
      </c>
      <c r="E143" t="s">
        <v>49</v>
      </c>
      <c r="F143" t="s">
        <v>19</v>
      </c>
      <c r="G143" t="s">
        <v>20</v>
      </c>
      <c r="H143" t="s">
        <v>21</v>
      </c>
      <c r="I143" t="s">
        <v>56</v>
      </c>
      <c r="J143" t="s">
        <v>148</v>
      </c>
      <c r="K143" t="s">
        <v>23</v>
      </c>
      <c r="L143">
        <v>2025</v>
      </c>
      <c r="M143" s="4">
        <v>55.647232099999997</v>
      </c>
      <c r="N143" s="4">
        <v>0.78887277949338319</v>
      </c>
      <c r="O143" s="4">
        <v>-8.282429004382795E-2</v>
      </c>
      <c r="P143" s="1" t="str">
        <f>HYPERLINK(".\sm_car_250702_1901\sm_car_250702_1901_142_Ca184TrN_MaMPC_DrSt_ode23t_1.png","figure")</f>
        <v>figure</v>
      </c>
      <c r="Q143" t="s">
        <v>15</v>
      </c>
    </row>
    <row r="144" spans="1:17" x14ac:dyDescent="0.25">
      <c r="A144">
        <v>143</v>
      </c>
      <c r="B144">
        <v>195</v>
      </c>
      <c r="C144" t="s">
        <v>45</v>
      </c>
      <c r="D144" t="s">
        <v>58</v>
      </c>
      <c r="E144" t="s">
        <v>107</v>
      </c>
      <c r="F144" t="s">
        <v>19</v>
      </c>
      <c r="G144" t="s">
        <v>26</v>
      </c>
      <c r="H144" t="s">
        <v>21</v>
      </c>
      <c r="I144" t="s">
        <v>55</v>
      </c>
      <c r="J144" t="s">
        <v>147</v>
      </c>
      <c r="K144" t="s">
        <v>23</v>
      </c>
      <c r="L144">
        <v>3327</v>
      </c>
      <c r="M144" s="4">
        <v>59.119425399999997</v>
      </c>
      <c r="N144" s="4">
        <v>-1.5004090589632715E-2</v>
      </c>
      <c r="O144" s="4">
        <v>-0.57364783174895784</v>
      </c>
      <c r="P144" s="1" t="str">
        <f>HYPERLINK(".\sm_car_250702_1901\sm_car_250702_1901_143_Ca195TrN_MaMPK_DrSt_ode23t_1.png","figure")</f>
        <v>figure</v>
      </c>
      <c r="Q144" t="s">
        <v>15</v>
      </c>
    </row>
    <row r="145" spans="1:17" x14ac:dyDescent="0.25">
      <c r="A145">
        <v>144</v>
      </c>
      <c r="B145">
        <v>195</v>
      </c>
      <c r="C145" t="s">
        <v>45</v>
      </c>
      <c r="D145" t="s">
        <v>58</v>
      </c>
      <c r="E145" t="s">
        <v>107</v>
      </c>
      <c r="F145" t="s">
        <v>19</v>
      </c>
      <c r="G145" t="s">
        <v>26</v>
      </c>
      <c r="H145" t="s">
        <v>21</v>
      </c>
      <c r="I145" t="s">
        <v>55</v>
      </c>
      <c r="J145" t="s">
        <v>148</v>
      </c>
      <c r="K145" t="s">
        <v>23</v>
      </c>
      <c r="L145">
        <v>3904</v>
      </c>
      <c r="M145" s="4">
        <v>55.057092300000001</v>
      </c>
      <c r="N145" s="4">
        <v>-5.476253470772921E-3</v>
      </c>
      <c r="O145" s="4">
        <v>-8.3607980192028489E-2</v>
      </c>
      <c r="P145" s="1" t="str">
        <f>HYPERLINK(".\sm_car_250702_1901\sm_car_250702_1901_144_Ca195TrN_MaMPK_DrSt_ode23t_1.png","figure")</f>
        <v>figure</v>
      </c>
      <c r="Q145" t="s">
        <v>15</v>
      </c>
    </row>
    <row r="146" spans="1:17" x14ac:dyDescent="0.25">
      <c r="A146">
        <v>145</v>
      </c>
      <c r="B146">
        <v>195</v>
      </c>
      <c r="C146" t="s">
        <v>45</v>
      </c>
      <c r="D146" t="s">
        <v>58</v>
      </c>
      <c r="E146" t="s">
        <v>107</v>
      </c>
      <c r="F146" t="s">
        <v>19</v>
      </c>
      <c r="G146" t="s">
        <v>26</v>
      </c>
      <c r="H146" t="s">
        <v>21</v>
      </c>
      <c r="I146" t="s">
        <v>56</v>
      </c>
      <c r="J146" t="s">
        <v>147</v>
      </c>
      <c r="K146" t="s">
        <v>23</v>
      </c>
      <c r="L146">
        <v>3012</v>
      </c>
      <c r="M146" s="4">
        <v>45.680168700000003</v>
      </c>
      <c r="N146" s="4">
        <v>0.78125268448160234</v>
      </c>
      <c r="O146" s="4">
        <v>-0.35955857849355027</v>
      </c>
      <c r="P146" s="1" t="str">
        <f>HYPERLINK(".\sm_car_250702_1901\sm_car_250702_1901_145_Ca195TrN_MaMPC_DrSt_ode23t_1.png","figure")</f>
        <v>figure</v>
      </c>
      <c r="Q146" t="s">
        <v>15</v>
      </c>
    </row>
    <row r="147" spans="1:17" x14ac:dyDescent="0.25">
      <c r="A147">
        <v>146</v>
      </c>
      <c r="B147">
        <v>195</v>
      </c>
      <c r="C147" t="s">
        <v>45</v>
      </c>
      <c r="D147" t="s">
        <v>58</v>
      </c>
      <c r="E147" t="s">
        <v>107</v>
      </c>
      <c r="F147" t="s">
        <v>19</v>
      </c>
      <c r="G147" t="s">
        <v>26</v>
      </c>
      <c r="H147" t="s">
        <v>21</v>
      </c>
      <c r="I147" t="s">
        <v>56</v>
      </c>
      <c r="J147" t="s">
        <v>148</v>
      </c>
      <c r="K147" t="s">
        <v>23</v>
      </c>
      <c r="L147">
        <v>3498</v>
      </c>
      <c r="M147" s="4">
        <v>48.517250900000001</v>
      </c>
      <c r="N147" s="4">
        <v>0.78857097523028052</v>
      </c>
      <c r="O147" s="4">
        <v>2.824128287392463E-2</v>
      </c>
      <c r="P147" s="1" t="str">
        <f>HYPERLINK(".\sm_car_250702_1901\sm_car_250702_1901_146_Ca195TrN_MaMPC_DrSt_ode23t_1.png","figure")</f>
        <v>figure</v>
      </c>
      <c r="Q147" t="s">
        <v>15</v>
      </c>
    </row>
    <row r="148" spans="1:17" x14ac:dyDescent="0.25">
      <c r="A148">
        <v>147</v>
      </c>
      <c r="B148">
        <v>198</v>
      </c>
      <c r="C148" t="s">
        <v>105</v>
      </c>
      <c r="D148" t="s">
        <v>118</v>
      </c>
      <c r="E148" t="s">
        <v>107</v>
      </c>
      <c r="F148" t="s">
        <v>19</v>
      </c>
      <c r="G148" t="s">
        <v>20</v>
      </c>
      <c r="H148" t="s">
        <v>21</v>
      </c>
      <c r="I148" t="s">
        <v>55</v>
      </c>
      <c r="J148" t="s">
        <v>147</v>
      </c>
      <c r="K148" t="s">
        <v>23</v>
      </c>
      <c r="L148">
        <v>2308</v>
      </c>
      <c r="M148" s="4">
        <v>34.501697800000002</v>
      </c>
      <c r="N148" s="4">
        <v>-2.1205680224740939E-2</v>
      </c>
      <c r="O148" s="4">
        <v>-0.74414816279061513</v>
      </c>
      <c r="P148" s="1" t="str">
        <f>HYPERLINK(".\sm_car_250702_1901\sm_car_250702_1901_147_Ca198TrN_MaMPK_DrSt_ode23t_1.png","figure")</f>
        <v>figure</v>
      </c>
      <c r="Q148" t="s">
        <v>15</v>
      </c>
    </row>
    <row r="149" spans="1:17" x14ac:dyDescent="0.25">
      <c r="A149">
        <v>148</v>
      </c>
      <c r="B149">
        <v>198</v>
      </c>
      <c r="C149" t="s">
        <v>105</v>
      </c>
      <c r="D149" t="s">
        <v>118</v>
      </c>
      <c r="E149" t="s">
        <v>107</v>
      </c>
      <c r="F149" t="s">
        <v>19</v>
      </c>
      <c r="G149" t="s">
        <v>20</v>
      </c>
      <c r="H149" t="s">
        <v>21</v>
      </c>
      <c r="I149" t="s">
        <v>55</v>
      </c>
      <c r="J149" t="s">
        <v>148</v>
      </c>
      <c r="K149" t="s">
        <v>23</v>
      </c>
      <c r="L149">
        <v>2606</v>
      </c>
      <c r="M149" s="4">
        <v>36.627988899999998</v>
      </c>
      <c r="N149" s="4">
        <v>-1.0451981874387312E-2</v>
      </c>
      <c r="O149" s="4">
        <v>-3.0845614931249279E-2</v>
      </c>
      <c r="P149" s="1" t="str">
        <f>HYPERLINK(".\sm_car_250702_1901\sm_car_250702_1901_148_Ca198TrN_MaMPK_DrSt_ode23t_1.png","figure")</f>
        <v>figure</v>
      </c>
      <c r="Q149" t="s">
        <v>15</v>
      </c>
    </row>
    <row r="150" spans="1:17" x14ac:dyDescent="0.25">
      <c r="A150">
        <v>149</v>
      </c>
      <c r="B150">
        <v>198</v>
      </c>
      <c r="C150" t="s">
        <v>105</v>
      </c>
      <c r="D150" t="s">
        <v>118</v>
      </c>
      <c r="E150" t="s">
        <v>107</v>
      </c>
      <c r="F150" t="s">
        <v>19</v>
      </c>
      <c r="G150" t="s">
        <v>20</v>
      </c>
      <c r="H150" t="s">
        <v>21</v>
      </c>
      <c r="I150" t="s">
        <v>56</v>
      </c>
      <c r="J150" t="s">
        <v>147</v>
      </c>
      <c r="K150" t="s">
        <v>23</v>
      </c>
      <c r="L150">
        <v>2092</v>
      </c>
      <c r="M150" s="4">
        <v>38.101707500000003</v>
      </c>
      <c r="N150" s="4">
        <v>0.78841129953156575</v>
      </c>
      <c r="O150" s="4">
        <v>-0.33830707836135515</v>
      </c>
      <c r="P150" s="1" t="str">
        <f>HYPERLINK(".\sm_car_250702_1901\sm_car_250702_1901_149_Ca198TrN_MaMPC_DrSt_ode23t_1.png","figure")</f>
        <v>figure</v>
      </c>
      <c r="Q150" t="s">
        <v>15</v>
      </c>
    </row>
    <row r="151" spans="1:17" x14ac:dyDescent="0.25">
      <c r="A151">
        <v>150</v>
      </c>
      <c r="B151">
        <v>198</v>
      </c>
      <c r="C151" t="s">
        <v>105</v>
      </c>
      <c r="D151" t="s">
        <v>118</v>
      </c>
      <c r="E151" t="s">
        <v>107</v>
      </c>
      <c r="F151" t="s">
        <v>19</v>
      </c>
      <c r="G151" t="s">
        <v>20</v>
      </c>
      <c r="H151" t="s">
        <v>21</v>
      </c>
      <c r="I151" t="s">
        <v>56</v>
      </c>
      <c r="J151" t="s">
        <v>148</v>
      </c>
      <c r="K151" t="s">
        <v>23</v>
      </c>
      <c r="L151">
        <v>2085</v>
      </c>
      <c r="M151" s="4">
        <v>43.588349999999998</v>
      </c>
      <c r="N151" s="4">
        <v>0.78913076047525799</v>
      </c>
      <c r="O151" s="4">
        <v>-8.2567547748018916E-2</v>
      </c>
      <c r="P151" s="1" t="str">
        <f>HYPERLINK(".\sm_car_250702_1901\sm_car_250702_1901_150_Ca198TrN_MaMPC_DrSt_ode23t_1.png","figure")</f>
        <v>figure</v>
      </c>
      <c r="Q151" t="s">
        <v>15</v>
      </c>
    </row>
    <row r="152" spans="1:17" x14ac:dyDescent="0.25">
      <c r="A152">
        <v>151</v>
      </c>
      <c r="B152">
        <v>151</v>
      </c>
      <c r="C152" t="s">
        <v>16</v>
      </c>
      <c r="D152" t="s">
        <v>17</v>
      </c>
      <c r="E152" t="s">
        <v>18</v>
      </c>
      <c r="F152" t="s">
        <v>19</v>
      </c>
      <c r="G152" t="s">
        <v>59</v>
      </c>
      <c r="H152" t="s">
        <v>21</v>
      </c>
      <c r="I152" t="s">
        <v>24</v>
      </c>
      <c r="J152" t="s">
        <v>147</v>
      </c>
      <c r="K152" t="s">
        <v>23</v>
      </c>
      <c r="L152">
        <v>529</v>
      </c>
      <c r="M152" s="4">
        <v>16.841419399999999</v>
      </c>
      <c r="N152" s="4">
        <v>72.554090590542131</v>
      </c>
      <c r="O152" s="4">
        <v>-0.80518481738752845</v>
      </c>
      <c r="P152" s="1" t="str">
        <f>HYPERLINK(".\sm_car_250702_1901\sm_car_250702_1901_151_Ca151TrN_MaLSS_DrSt_ode23t_1.png","figure")</f>
        <v>figure</v>
      </c>
      <c r="Q152" t="s">
        <v>15</v>
      </c>
    </row>
    <row r="153" spans="1:17" x14ac:dyDescent="0.25">
      <c r="A153">
        <v>152</v>
      </c>
      <c r="B153">
        <v>152</v>
      </c>
      <c r="C153" t="s">
        <v>16</v>
      </c>
      <c r="D153" t="s">
        <v>17</v>
      </c>
      <c r="E153" t="s">
        <v>18</v>
      </c>
      <c r="F153" t="s">
        <v>19</v>
      </c>
      <c r="G153" t="s">
        <v>60</v>
      </c>
      <c r="H153" t="s">
        <v>21</v>
      </c>
      <c r="I153" t="s">
        <v>24</v>
      </c>
      <c r="J153" t="s">
        <v>147</v>
      </c>
      <c r="K153" t="s">
        <v>23</v>
      </c>
      <c r="L153">
        <v>517</v>
      </c>
      <c r="M153" s="4">
        <v>16.6171203</v>
      </c>
      <c r="N153" s="4">
        <v>70.952833038055104</v>
      </c>
      <c r="O153" s="4">
        <v>-0.52903653743769019</v>
      </c>
      <c r="P153" s="1" t="str">
        <f>HYPERLINK(".\sm_car_250702_1901\sm_car_250702_1901_152_Ca152TrN_MaLSS_DrSt_ode23t_1.png","figure")</f>
        <v>figure</v>
      </c>
      <c r="Q153" t="s">
        <v>15</v>
      </c>
    </row>
    <row r="154" spans="1:17" x14ac:dyDescent="0.25">
      <c r="A154">
        <v>153</v>
      </c>
      <c r="B154">
        <v>153</v>
      </c>
      <c r="C154" t="s">
        <v>16</v>
      </c>
      <c r="D154" t="s">
        <v>17</v>
      </c>
      <c r="E154" t="s">
        <v>18</v>
      </c>
      <c r="F154" t="s">
        <v>19</v>
      </c>
      <c r="G154" t="s">
        <v>61</v>
      </c>
      <c r="H154" t="s">
        <v>21</v>
      </c>
      <c r="I154" t="s">
        <v>24</v>
      </c>
      <c r="J154" t="s">
        <v>147</v>
      </c>
      <c r="K154" t="s">
        <v>23</v>
      </c>
      <c r="L154">
        <v>555</v>
      </c>
      <c r="M154" s="4">
        <v>17.388189499999999</v>
      </c>
      <c r="N154" s="4">
        <v>70.796480422649736</v>
      </c>
      <c r="O154" s="4">
        <v>-0.86691273049275863</v>
      </c>
      <c r="P154" s="1" t="str">
        <f>HYPERLINK(".\sm_car_250702_1901\sm_car_250702_1901_153_Ca153TrN_MaLSS_DrSt_ode23t_1.png","figure")</f>
        <v>figure</v>
      </c>
      <c r="Q154" t="s">
        <v>15</v>
      </c>
    </row>
    <row r="155" spans="1:17" x14ac:dyDescent="0.25">
      <c r="A155">
        <v>154</v>
      </c>
      <c r="B155">
        <v>154</v>
      </c>
      <c r="C155" t="s">
        <v>16</v>
      </c>
      <c r="D155" t="s">
        <v>17</v>
      </c>
      <c r="E155" t="s">
        <v>18</v>
      </c>
      <c r="F155" t="s">
        <v>19</v>
      </c>
      <c r="G155" t="s">
        <v>108</v>
      </c>
      <c r="H155" t="s">
        <v>21</v>
      </c>
      <c r="I155" t="s">
        <v>24</v>
      </c>
      <c r="J155" t="s">
        <v>147</v>
      </c>
      <c r="K155" t="s">
        <v>23</v>
      </c>
      <c r="L155">
        <v>488</v>
      </c>
      <c r="M155" s="4">
        <v>18.796021499999998</v>
      </c>
      <c r="N155" s="4">
        <v>71.009925649273356</v>
      </c>
      <c r="O155" s="4">
        <v>-0.36020031129645458</v>
      </c>
      <c r="P155" s="1" t="str">
        <f>HYPERLINK(".\sm_car_250702_1901\sm_car_250702_1901_154_Ca154TrN_MaLSS_DrSt_ode23t_1.png","figure")</f>
        <v>figure</v>
      </c>
      <c r="Q155" t="s">
        <v>15</v>
      </c>
    </row>
    <row r="156" spans="1:17" x14ac:dyDescent="0.25">
      <c r="A156">
        <v>155</v>
      </c>
      <c r="B156">
        <v>155</v>
      </c>
      <c r="C156" t="s">
        <v>16</v>
      </c>
      <c r="D156" t="s">
        <v>17</v>
      </c>
      <c r="E156" t="s">
        <v>18</v>
      </c>
      <c r="F156" t="s">
        <v>19</v>
      </c>
      <c r="G156" t="s">
        <v>62</v>
      </c>
      <c r="H156" t="s">
        <v>21</v>
      </c>
      <c r="I156" t="s">
        <v>24</v>
      </c>
      <c r="J156" t="s">
        <v>147</v>
      </c>
      <c r="K156" t="s">
        <v>23</v>
      </c>
      <c r="L156">
        <v>548</v>
      </c>
      <c r="M156" s="4">
        <v>24.828599700000002</v>
      </c>
      <c r="N156" s="4">
        <v>70.832587842907159</v>
      </c>
      <c r="O156" s="4">
        <v>-0.84465248680263127</v>
      </c>
      <c r="P156" s="1" t="str">
        <f>HYPERLINK(".\sm_car_250702_1901\sm_car_250702_1901_155_Ca155TrN_MaLSS_DrSt_ode23t_1.png","figure")</f>
        <v>figure</v>
      </c>
      <c r="Q156" t="s">
        <v>15</v>
      </c>
    </row>
    <row r="157" spans="1:17" x14ac:dyDescent="0.25">
      <c r="A157">
        <v>156</v>
      </c>
      <c r="B157">
        <v>4</v>
      </c>
      <c r="C157" t="s">
        <v>16</v>
      </c>
      <c r="D157" t="s">
        <v>17</v>
      </c>
      <c r="E157" t="s">
        <v>18</v>
      </c>
      <c r="F157" t="s">
        <v>28</v>
      </c>
      <c r="G157" t="s">
        <v>20</v>
      </c>
      <c r="H157" t="s">
        <v>21</v>
      </c>
      <c r="I157" t="s">
        <v>22</v>
      </c>
      <c r="J157" t="s">
        <v>147</v>
      </c>
      <c r="K157" t="s">
        <v>63</v>
      </c>
      <c r="L157">
        <v>3247</v>
      </c>
      <c r="M157" s="4">
        <v>9.9505590000000002</v>
      </c>
      <c r="N157" s="4">
        <v>231.38224683871496</v>
      </c>
      <c r="O157" s="4">
        <v>2.2339937171260366E-3</v>
      </c>
      <c r="P157" s="1" t="str">
        <f>HYPERLINK(".\sm_car_250702_1901\sm_car_250702_1901_156_Ca004TrN_MaWOT_DrSt_ode3_1.png","figure")</f>
        <v>figure</v>
      </c>
      <c r="Q157" t="s">
        <v>15</v>
      </c>
    </row>
    <row r="158" spans="1:17" x14ac:dyDescent="0.25">
      <c r="A158">
        <v>157</v>
      </c>
      <c r="B158">
        <v>4</v>
      </c>
      <c r="C158" t="s">
        <v>16</v>
      </c>
      <c r="D158" t="s">
        <v>17</v>
      </c>
      <c r="E158" t="s">
        <v>18</v>
      </c>
      <c r="F158" t="s">
        <v>28</v>
      </c>
      <c r="G158" t="s">
        <v>20</v>
      </c>
      <c r="H158" t="s">
        <v>21</v>
      </c>
      <c r="I158" t="s">
        <v>24</v>
      </c>
      <c r="J158" t="s">
        <v>147</v>
      </c>
      <c r="K158" t="s">
        <v>63</v>
      </c>
      <c r="L158">
        <v>2564</v>
      </c>
      <c r="M158" s="4">
        <v>8.0851182000000001</v>
      </c>
      <c r="N158" s="4">
        <v>71.251895399548502</v>
      </c>
      <c r="O158" s="4">
        <v>-0.54030571140992245</v>
      </c>
      <c r="P158" s="1" t="str">
        <f>HYPERLINK(".\sm_car_250702_1901\sm_car_250702_1901_157_Ca004TrN_MaLSS_DrSt_ode3_1.png","figure")</f>
        <v>figure</v>
      </c>
      <c r="Q158" t="s">
        <v>15</v>
      </c>
    </row>
    <row r="159" spans="1:17" x14ac:dyDescent="0.25">
      <c r="A159">
        <v>158</v>
      </c>
      <c r="B159">
        <v>4</v>
      </c>
      <c r="C159" t="s">
        <v>16</v>
      </c>
      <c r="D159" t="s">
        <v>17</v>
      </c>
      <c r="E159" t="s">
        <v>18</v>
      </c>
      <c r="F159" t="s">
        <v>28</v>
      </c>
      <c r="G159" t="s">
        <v>20</v>
      </c>
      <c r="H159" t="s">
        <v>21</v>
      </c>
      <c r="I159" t="s">
        <v>64</v>
      </c>
      <c r="J159" t="s">
        <v>147</v>
      </c>
      <c r="K159" t="s">
        <v>63</v>
      </c>
      <c r="L159">
        <v>2562</v>
      </c>
      <c r="M159" s="4">
        <v>8.0085023</v>
      </c>
      <c r="N159" s="4">
        <v>63.784285151621532</v>
      </c>
      <c r="O159" s="4">
        <v>-25.042725609682812</v>
      </c>
      <c r="P159" s="1" t="str">
        <f>HYPERLINK(".\sm_car_250702_1901\sm_car_250702_1901_158_Ca004TrN_MaTUR_DrSt_ode3_1.png","figure")</f>
        <v>figure</v>
      </c>
      <c r="Q159" t="s">
        <v>15</v>
      </c>
    </row>
    <row r="160" spans="1:17" x14ac:dyDescent="0.25">
      <c r="A160">
        <v>159</v>
      </c>
      <c r="B160">
        <v>116</v>
      </c>
      <c r="C160" t="s">
        <v>16</v>
      </c>
      <c r="D160" t="s">
        <v>35</v>
      </c>
      <c r="E160" t="s">
        <v>18</v>
      </c>
      <c r="F160" t="s">
        <v>28</v>
      </c>
      <c r="G160" t="s">
        <v>20</v>
      </c>
      <c r="H160" t="s">
        <v>21</v>
      </c>
      <c r="I160" t="s">
        <v>22</v>
      </c>
      <c r="J160" t="s">
        <v>147</v>
      </c>
      <c r="K160" t="s">
        <v>63</v>
      </c>
      <c r="L160">
        <v>3244</v>
      </c>
      <c r="M160" s="4">
        <v>5.1712625000000001</v>
      </c>
      <c r="N160" s="4">
        <v>242.69607452341987</v>
      </c>
      <c r="O160" s="4">
        <v>0.23635446031101723</v>
      </c>
      <c r="P160" s="1" t="str">
        <f>HYPERLINK(".\sm_car_250702_1901\sm_car_250702_1901_159_Ca116TrN_MaWOT_DrSt_ode3_1.png","figure")</f>
        <v>figure</v>
      </c>
      <c r="Q160" t="s">
        <v>15</v>
      </c>
    </row>
    <row r="161" spans="1:17" x14ac:dyDescent="0.25">
      <c r="A161">
        <v>160</v>
      </c>
      <c r="B161">
        <v>116</v>
      </c>
      <c r="C161" t="s">
        <v>16</v>
      </c>
      <c r="D161" t="s">
        <v>35</v>
      </c>
      <c r="E161" t="s">
        <v>18</v>
      </c>
      <c r="F161" t="s">
        <v>28</v>
      </c>
      <c r="G161" t="s">
        <v>20</v>
      </c>
      <c r="H161" t="s">
        <v>21</v>
      </c>
      <c r="I161" t="s">
        <v>24</v>
      </c>
      <c r="J161" t="s">
        <v>147</v>
      </c>
      <c r="K161" t="s">
        <v>63</v>
      </c>
      <c r="L161">
        <v>2564</v>
      </c>
      <c r="M161" s="4">
        <v>3.8994276000000001</v>
      </c>
      <c r="N161" s="4">
        <v>74.657190781644118</v>
      </c>
      <c r="O161" s="4">
        <v>-0.34075824439014252</v>
      </c>
      <c r="P161" s="1" t="str">
        <f>HYPERLINK(".\sm_car_250702_1901\sm_car_250702_1901_160_Ca116TrN_MaLSS_DrSt_ode3_1.png","figure")</f>
        <v>figure</v>
      </c>
      <c r="Q161" t="s">
        <v>15</v>
      </c>
    </row>
    <row r="162" spans="1:17" x14ac:dyDescent="0.25">
      <c r="A162">
        <v>161</v>
      </c>
      <c r="B162">
        <v>116</v>
      </c>
      <c r="C162" t="s">
        <v>16</v>
      </c>
      <c r="D162" t="s">
        <v>35</v>
      </c>
      <c r="E162" t="s">
        <v>18</v>
      </c>
      <c r="F162" t="s">
        <v>28</v>
      </c>
      <c r="G162" t="s">
        <v>20</v>
      </c>
      <c r="H162" t="s">
        <v>21</v>
      </c>
      <c r="I162" t="s">
        <v>64</v>
      </c>
      <c r="J162" t="s">
        <v>147</v>
      </c>
      <c r="K162" t="s">
        <v>63</v>
      </c>
      <c r="L162">
        <v>2563</v>
      </c>
      <c r="M162" s="4">
        <v>4.0608754999999999</v>
      </c>
      <c r="N162" s="4">
        <v>71.322015477791922</v>
      </c>
      <c r="O162" s="4">
        <v>-17.59032913116118</v>
      </c>
      <c r="P162" s="1" t="str">
        <f>HYPERLINK(".\sm_car_250702_1901\sm_car_250702_1901_161_Ca116TrN_MaTUR_DrSt_ode3_1.png","figure")</f>
        <v>figure</v>
      </c>
      <c r="Q162" t="s">
        <v>15</v>
      </c>
    </row>
    <row r="163" spans="1:17" x14ac:dyDescent="0.25">
      <c r="A163">
        <v>162</v>
      </c>
      <c r="B163">
        <v>124</v>
      </c>
      <c r="C163" t="s">
        <v>16</v>
      </c>
      <c r="D163" t="s">
        <v>35</v>
      </c>
      <c r="E163" t="s">
        <v>49</v>
      </c>
      <c r="F163" t="s">
        <v>28</v>
      </c>
      <c r="G163" t="s">
        <v>20</v>
      </c>
      <c r="H163" t="s">
        <v>21</v>
      </c>
      <c r="I163" t="s">
        <v>22</v>
      </c>
      <c r="J163" t="s">
        <v>147</v>
      </c>
      <c r="K163" t="s">
        <v>63</v>
      </c>
      <c r="L163">
        <v>3244</v>
      </c>
      <c r="M163" s="4">
        <v>2.7604994</v>
      </c>
      <c r="N163" s="4">
        <v>242.87242715534205</v>
      </c>
      <c r="O163" s="4">
        <v>0.23615864655911284</v>
      </c>
      <c r="P163" s="1" t="str">
        <f>HYPERLINK(".\sm_car_250702_1901\sm_car_250702_1901_162_Ca124TrN_MaWOT_DrSt_ode3_1.png","figure")</f>
        <v>figure</v>
      </c>
      <c r="Q163" t="s">
        <v>15</v>
      </c>
    </row>
    <row r="164" spans="1:17" x14ac:dyDescent="0.25">
      <c r="A164">
        <v>163</v>
      </c>
      <c r="B164">
        <v>124</v>
      </c>
      <c r="C164" t="s">
        <v>16</v>
      </c>
      <c r="D164" t="s">
        <v>35</v>
      </c>
      <c r="E164" t="s">
        <v>49</v>
      </c>
      <c r="F164" t="s">
        <v>28</v>
      </c>
      <c r="G164" t="s">
        <v>20</v>
      </c>
      <c r="H164" t="s">
        <v>21</v>
      </c>
      <c r="I164" t="s">
        <v>24</v>
      </c>
      <c r="J164" t="s">
        <v>147</v>
      </c>
      <c r="K164" t="s">
        <v>63</v>
      </c>
      <c r="L164">
        <v>2565</v>
      </c>
      <c r="M164" s="4">
        <v>2.2488638000000001</v>
      </c>
      <c r="N164" s="4">
        <v>74.796106047599508</v>
      </c>
      <c r="O164" s="4">
        <v>-0.34233746651595287</v>
      </c>
      <c r="P164" s="1" t="str">
        <f>HYPERLINK(".\sm_car_250702_1901\sm_car_250702_1901_163_Ca124TrN_MaLSS_DrSt_ode3_1.png","figure")</f>
        <v>figure</v>
      </c>
      <c r="Q164" t="s">
        <v>15</v>
      </c>
    </row>
    <row r="165" spans="1:17" x14ac:dyDescent="0.25">
      <c r="A165">
        <v>164</v>
      </c>
      <c r="B165">
        <v>124</v>
      </c>
      <c r="C165" t="s">
        <v>16</v>
      </c>
      <c r="D165" t="s">
        <v>35</v>
      </c>
      <c r="E165" t="s">
        <v>49</v>
      </c>
      <c r="F165" t="s">
        <v>28</v>
      </c>
      <c r="G165" t="s">
        <v>20</v>
      </c>
      <c r="H165" t="s">
        <v>21</v>
      </c>
      <c r="I165" t="s">
        <v>64</v>
      </c>
      <c r="J165" t="s">
        <v>147</v>
      </c>
      <c r="K165" t="s">
        <v>63</v>
      </c>
      <c r="L165">
        <v>2564</v>
      </c>
      <c r="M165" s="4">
        <v>2.3791744000000001</v>
      </c>
      <c r="N165" s="4">
        <v>71.447408139703924</v>
      </c>
      <c r="O165" s="4">
        <v>-17.636376353758362</v>
      </c>
      <c r="P165" s="1" t="str">
        <f>HYPERLINK(".\sm_car_250702_1901\sm_car_250702_1901_164_Ca124TrN_MaTUR_DrSt_ode3_1.png","figure")</f>
        <v>figure</v>
      </c>
      <c r="Q165" t="s">
        <v>15</v>
      </c>
    </row>
    <row r="166" spans="1:17" x14ac:dyDescent="0.25">
      <c r="A166">
        <v>165</v>
      </c>
      <c r="B166">
        <v>141</v>
      </c>
      <c r="C166" t="s">
        <v>45</v>
      </c>
      <c r="D166" t="s">
        <v>17</v>
      </c>
      <c r="E166" t="s">
        <v>18</v>
      </c>
      <c r="F166" t="s">
        <v>28</v>
      </c>
      <c r="G166" t="s">
        <v>26</v>
      </c>
      <c r="H166" t="s">
        <v>21</v>
      </c>
      <c r="I166" t="s">
        <v>22</v>
      </c>
      <c r="J166" t="s">
        <v>147</v>
      </c>
      <c r="K166" t="s">
        <v>63</v>
      </c>
      <c r="L166">
        <v>3837</v>
      </c>
      <c r="M166" s="4">
        <v>13.7253601</v>
      </c>
      <c r="N166" s="4">
        <v>405.26699926711569</v>
      </c>
      <c r="O166" s="4">
        <v>1.5961569011224264</v>
      </c>
      <c r="P166" s="1" t="str">
        <f>HYPERLINK(".\sm_car_250702_1901\sm_car_250702_1901_165_Ca141TrN_MaWOT_DrSt_ode3_1.png","figure")</f>
        <v>figure</v>
      </c>
      <c r="Q166" t="s">
        <v>15</v>
      </c>
    </row>
    <row r="167" spans="1:17" x14ac:dyDescent="0.25">
      <c r="A167">
        <v>166</v>
      </c>
      <c r="B167">
        <v>141</v>
      </c>
      <c r="C167" t="s">
        <v>45</v>
      </c>
      <c r="D167" t="s">
        <v>17</v>
      </c>
      <c r="E167" t="s">
        <v>18</v>
      </c>
      <c r="F167" t="s">
        <v>28</v>
      </c>
      <c r="G167" t="s">
        <v>26</v>
      </c>
      <c r="H167" t="s">
        <v>21</v>
      </c>
      <c r="I167" t="s">
        <v>24</v>
      </c>
      <c r="J167" t="s">
        <v>147</v>
      </c>
      <c r="K167" t="s">
        <v>63</v>
      </c>
      <c r="L167">
        <v>3192</v>
      </c>
      <c r="M167" s="4">
        <v>12.048133200000001</v>
      </c>
      <c r="N167" s="4">
        <v>154.45726063782425</v>
      </c>
      <c r="O167" s="4">
        <v>-0.58045901058984573</v>
      </c>
      <c r="P167" s="1" t="str">
        <f>HYPERLINK(".\sm_car_250702_1901\sm_car_250702_1901_166_Ca141TrN_MaLSS_DrSt_ode3_1.png","figure")</f>
        <v>figure</v>
      </c>
      <c r="Q167" t="s">
        <v>15</v>
      </c>
    </row>
    <row r="168" spans="1:17" x14ac:dyDescent="0.25">
      <c r="A168">
        <v>167</v>
      </c>
      <c r="B168">
        <v>141</v>
      </c>
      <c r="C168" t="s">
        <v>45</v>
      </c>
      <c r="D168" t="s">
        <v>17</v>
      </c>
      <c r="E168" t="s">
        <v>18</v>
      </c>
      <c r="F168" t="s">
        <v>28</v>
      </c>
      <c r="G168" t="s">
        <v>26</v>
      </c>
      <c r="H168" t="s">
        <v>21</v>
      </c>
      <c r="I168" t="s">
        <v>64</v>
      </c>
      <c r="J168" t="s">
        <v>147</v>
      </c>
      <c r="K168" t="s">
        <v>63</v>
      </c>
      <c r="L168">
        <v>3160</v>
      </c>
      <c r="M168" s="4">
        <v>11.9629853</v>
      </c>
      <c r="N168" s="4">
        <v>98.352619066296825</v>
      </c>
      <c r="O168" s="4">
        <v>-87.51063161317019</v>
      </c>
      <c r="P168" s="1" t="str">
        <f>HYPERLINK(".\sm_car_250702_1901\sm_car_250702_1901_167_Ca141TrN_MaTUR_DrSt_ode3_1.png","figure")</f>
        <v>figure</v>
      </c>
      <c r="Q168" t="s">
        <v>15</v>
      </c>
    </row>
    <row r="169" spans="1:17" x14ac:dyDescent="0.25">
      <c r="A169">
        <v>168</v>
      </c>
      <c r="B169">
        <v>145</v>
      </c>
      <c r="C169" t="s">
        <v>46</v>
      </c>
      <c r="D169" t="s">
        <v>17</v>
      </c>
      <c r="E169" t="s">
        <v>50</v>
      </c>
      <c r="F169" t="s">
        <v>19</v>
      </c>
      <c r="G169" t="s">
        <v>26</v>
      </c>
      <c r="H169" t="s">
        <v>21</v>
      </c>
      <c r="I169" t="s">
        <v>22</v>
      </c>
      <c r="J169" t="s">
        <v>147</v>
      </c>
      <c r="K169" t="s">
        <v>63</v>
      </c>
      <c r="L169">
        <v>2645</v>
      </c>
      <c r="M169" s="4">
        <v>8.2546824000000001</v>
      </c>
      <c r="N169" s="4">
        <v>62.986821637333719</v>
      </c>
      <c r="O169" s="4">
        <v>3.4728343510618383E-2</v>
      </c>
      <c r="P169" s="1" t="str">
        <f>HYPERLINK(".\sm_car_250702_1901\sm_car_250702_1901_168_Ca145TrN_MaWOT_DrSt_ode3_1.png","figure")</f>
        <v>figure</v>
      </c>
      <c r="Q169" t="s">
        <v>15</v>
      </c>
    </row>
    <row r="170" spans="1:17" x14ac:dyDescent="0.25">
      <c r="A170">
        <v>169</v>
      </c>
      <c r="B170">
        <v>145</v>
      </c>
      <c r="C170" t="s">
        <v>46</v>
      </c>
      <c r="D170" t="s">
        <v>17</v>
      </c>
      <c r="E170" t="s">
        <v>50</v>
      </c>
      <c r="F170" t="s">
        <v>19</v>
      </c>
      <c r="G170" t="s">
        <v>26</v>
      </c>
      <c r="H170" t="s">
        <v>21</v>
      </c>
      <c r="I170" t="s">
        <v>24</v>
      </c>
      <c r="J170" t="s">
        <v>147</v>
      </c>
      <c r="K170" t="s">
        <v>63</v>
      </c>
      <c r="L170">
        <v>2385</v>
      </c>
      <c r="M170" s="4">
        <v>7.4330572000000004</v>
      </c>
      <c r="N170" s="4">
        <v>25.351601817833707</v>
      </c>
      <c r="O170" s="4">
        <v>-4.1368589281911311E-2</v>
      </c>
      <c r="P170" s="1" t="str">
        <f>HYPERLINK(".\sm_car_250702_1901\sm_car_250702_1901_169_Ca145TrN_MaLSS_DrSt_ode3_1.png","figure")</f>
        <v>figure</v>
      </c>
      <c r="Q170" t="s">
        <v>15</v>
      </c>
    </row>
    <row r="171" spans="1:17" x14ac:dyDescent="0.25">
      <c r="A171">
        <v>170</v>
      </c>
      <c r="B171">
        <v>145</v>
      </c>
      <c r="C171" t="s">
        <v>46</v>
      </c>
      <c r="D171" t="s">
        <v>17</v>
      </c>
      <c r="E171" t="s">
        <v>50</v>
      </c>
      <c r="F171" t="s">
        <v>19</v>
      </c>
      <c r="G171" t="s">
        <v>26</v>
      </c>
      <c r="H171" t="s">
        <v>21</v>
      </c>
      <c r="I171" t="s">
        <v>64</v>
      </c>
      <c r="J171" t="s">
        <v>147</v>
      </c>
      <c r="K171" t="s">
        <v>63</v>
      </c>
      <c r="L171">
        <v>2381</v>
      </c>
      <c r="M171" s="4">
        <v>7.1869380999999999</v>
      </c>
      <c r="N171" s="4">
        <v>25.137842847097982</v>
      </c>
      <c r="O171" s="4">
        <v>-2.6089117989709583</v>
      </c>
      <c r="P171" s="1" t="str">
        <f>HYPERLINK(".\sm_car_250702_1901\sm_car_250702_1901_170_Ca145TrN_MaTUR_DrSt_ode3_1.png","figure")</f>
        <v>figure</v>
      </c>
      <c r="Q171" t="s">
        <v>15</v>
      </c>
    </row>
    <row r="172" spans="1:17" x14ac:dyDescent="0.25">
      <c r="A172">
        <v>171</v>
      </c>
      <c r="B172">
        <v>199</v>
      </c>
      <c r="C172" t="s">
        <v>46</v>
      </c>
      <c r="D172" t="s">
        <v>17</v>
      </c>
      <c r="E172" t="s">
        <v>109</v>
      </c>
      <c r="F172" t="s">
        <v>19</v>
      </c>
      <c r="G172" t="s">
        <v>26</v>
      </c>
      <c r="H172" t="s">
        <v>21</v>
      </c>
      <c r="I172" t="s">
        <v>22</v>
      </c>
      <c r="J172" t="s">
        <v>147</v>
      </c>
      <c r="K172" t="s">
        <v>63</v>
      </c>
      <c r="L172">
        <v>2648</v>
      </c>
      <c r="M172" s="4">
        <v>9.3633822000000002</v>
      </c>
      <c r="N172" s="4">
        <v>63.667541250749579</v>
      </c>
      <c r="O172" s="4">
        <v>0.10014861088493218</v>
      </c>
      <c r="P172" s="1" t="str">
        <f>HYPERLINK(".\sm_car_250702_1901\sm_car_250702_1901_171_Ca199TrN_MaWOT_DrSt_ode3_1.png","figure")</f>
        <v>figure</v>
      </c>
      <c r="Q172" t="s">
        <v>15</v>
      </c>
    </row>
    <row r="173" spans="1:17" x14ac:dyDescent="0.25">
      <c r="A173">
        <v>172</v>
      </c>
      <c r="B173">
        <v>199</v>
      </c>
      <c r="C173" t="s">
        <v>46</v>
      </c>
      <c r="D173" t="s">
        <v>17</v>
      </c>
      <c r="E173" t="s">
        <v>109</v>
      </c>
      <c r="F173" t="s">
        <v>19</v>
      </c>
      <c r="G173" t="s">
        <v>26</v>
      </c>
      <c r="H173" t="s">
        <v>21</v>
      </c>
      <c r="I173" t="s">
        <v>24</v>
      </c>
      <c r="J173" t="s">
        <v>147</v>
      </c>
      <c r="K173" t="s">
        <v>63</v>
      </c>
      <c r="L173">
        <v>2387</v>
      </c>
      <c r="M173" s="4">
        <v>8.3371984000000001</v>
      </c>
      <c r="N173" s="4">
        <v>25.965300865011024</v>
      </c>
      <c r="O173" s="4">
        <v>-2.8433107238327707E-2</v>
      </c>
      <c r="P173" s="1" t="str">
        <f>HYPERLINK(".\sm_car_250702_1901\sm_car_250702_1901_172_Ca199TrN_MaLSS_DrSt_ode3_1.png","figure")</f>
        <v>figure</v>
      </c>
      <c r="Q173" t="s">
        <v>15</v>
      </c>
    </row>
    <row r="174" spans="1:17" x14ac:dyDescent="0.25">
      <c r="A174">
        <v>173</v>
      </c>
      <c r="B174">
        <v>199</v>
      </c>
      <c r="C174" t="s">
        <v>46</v>
      </c>
      <c r="D174" t="s">
        <v>17</v>
      </c>
      <c r="E174" t="s">
        <v>109</v>
      </c>
      <c r="F174" t="s">
        <v>19</v>
      </c>
      <c r="G174" t="s">
        <v>26</v>
      </c>
      <c r="H174" t="s">
        <v>21</v>
      </c>
      <c r="I174" t="s">
        <v>64</v>
      </c>
      <c r="J174" t="s">
        <v>147</v>
      </c>
      <c r="K174" t="s">
        <v>63</v>
      </c>
      <c r="L174">
        <v>2381</v>
      </c>
      <c r="M174" s="4">
        <v>8.7188739999999996</v>
      </c>
      <c r="N174" s="4">
        <v>25.753072775503231</v>
      </c>
      <c r="O174" s="4">
        <v>-2.6780294853401752</v>
      </c>
      <c r="P174" s="1" t="str">
        <f>HYPERLINK(".\sm_car_250702_1901\sm_car_250702_1901_173_Ca199TrN_MaTUR_DrSt_ode3_1.png","figure")</f>
        <v>figure</v>
      </c>
      <c r="Q174" t="s">
        <v>15</v>
      </c>
    </row>
    <row r="175" spans="1:17" x14ac:dyDescent="0.25">
      <c r="A175">
        <v>174</v>
      </c>
      <c r="B175">
        <v>139</v>
      </c>
      <c r="C175" t="s">
        <v>45</v>
      </c>
      <c r="D175" t="s">
        <v>17</v>
      </c>
      <c r="E175" t="s">
        <v>18</v>
      </c>
      <c r="F175" t="s">
        <v>19</v>
      </c>
      <c r="G175" t="s">
        <v>26</v>
      </c>
      <c r="H175" t="s">
        <v>21</v>
      </c>
      <c r="I175" t="s">
        <v>53</v>
      </c>
      <c r="J175" t="s">
        <v>147</v>
      </c>
      <c r="K175" t="s">
        <v>23</v>
      </c>
      <c r="L175">
        <v>509</v>
      </c>
      <c r="M175" s="4">
        <v>12.5383368</v>
      </c>
      <c r="N175" s="4">
        <v>255.70132987692233</v>
      </c>
      <c r="O175" s="4">
        <v>-7.6502115744556676E-3</v>
      </c>
      <c r="P175" s="1" t="str">
        <f>HYPERLINK(".\sm_car_250702_1901\sm_car_250702_1901_174_Ca139TrN_MaDLC_DrSt_ode23t_1.png","figure")</f>
        <v>figure</v>
      </c>
      <c r="Q175" t="s">
        <v>15</v>
      </c>
    </row>
    <row r="176" spans="1:17" x14ac:dyDescent="0.25">
      <c r="A176">
        <v>175</v>
      </c>
      <c r="B176">
        <v>139</v>
      </c>
      <c r="C176" t="s">
        <v>45</v>
      </c>
      <c r="D176" t="s">
        <v>17</v>
      </c>
      <c r="E176" t="s">
        <v>18</v>
      </c>
      <c r="F176" t="s">
        <v>19</v>
      </c>
      <c r="G176" t="s">
        <v>26</v>
      </c>
      <c r="H176" t="s">
        <v>65</v>
      </c>
      <c r="I176" t="s">
        <v>53</v>
      </c>
      <c r="J176" t="s">
        <v>147</v>
      </c>
      <c r="K176" t="s">
        <v>23</v>
      </c>
      <c r="L176">
        <v>842</v>
      </c>
      <c r="M176" s="4">
        <v>99.147927600000003</v>
      </c>
      <c r="N176" s="4">
        <v>253.76858420925959</v>
      </c>
      <c r="O176" s="4">
        <v>8.7472828752543919E-3</v>
      </c>
      <c r="P176" s="1" t="str">
        <f>HYPERLINK(".\sm_car_250702_1901\sm_car_250702_1901_175_Ca139TrE_MaDLC_DrSt_ode23t_1.png","figure")</f>
        <v>figure</v>
      </c>
      <c r="Q176" t="s">
        <v>15</v>
      </c>
    </row>
    <row r="177" spans="1:17" x14ac:dyDescent="0.25">
      <c r="A177">
        <v>176</v>
      </c>
      <c r="B177">
        <v>139</v>
      </c>
      <c r="C177" t="s">
        <v>45</v>
      </c>
      <c r="D177" t="s">
        <v>17</v>
      </c>
      <c r="E177" t="s">
        <v>18</v>
      </c>
      <c r="F177" t="s">
        <v>19</v>
      </c>
      <c r="G177" t="s">
        <v>26</v>
      </c>
      <c r="H177" t="s">
        <v>66</v>
      </c>
      <c r="I177" t="s">
        <v>53</v>
      </c>
      <c r="J177" t="s">
        <v>147</v>
      </c>
      <c r="K177" t="s">
        <v>23</v>
      </c>
      <c r="L177">
        <v>999</v>
      </c>
      <c r="M177" s="4">
        <v>130.87211379999999</v>
      </c>
      <c r="N177" s="4">
        <v>255.01247094010836</v>
      </c>
      <c r="O177" s="4">
        <v>-6.9918109897653125E-3</v>
      </c>
      <c r="P177" s="1" t="str">
        <f>HYPERLINK(".\sm_car_250702_1901\sm_car_250702_1901_176_Ca139TrT_MaDLC_DrSt_ode23t_1.png","figure")</f>
        <v>figure</v>
      </c>
      <c r="Q177" t="s">
        <v>15</v>
      </c>
    </row>
    <row r="178" spans="1:17" x14ac:dyDescent="0.25">
      <c r="A178">
        <v>177</v>
      </c>
      <c r="B178">
        <v>139</v>
      </c>
      <c r="C178" t="s">
        <v>45</v>
      </c>
      <c r="D178" t="s">
        <v>17</v>
      </c>
      <c r="E178" t="s">
        <v>18</v>
      </c>
      <c r="F178" t="s">
        <v>19</v>
      </c>
      <c r="G178" t="s">
        <v>26</v>
      </c>
      <c r="H178" t="s">
        <v>65</v>
      </c>
      <c r="I178" t="s">
        <v>53</v>
      </c>
      <c r="J178" t="s">
        <v>147</v>
      </c>
      <c r="K178" t="s">
        <v>23</v>
      </c>
      <c r="L178">
        <v>948</v>
      </c>
      <c r="M178" s="4">
        <v>28.6890967</v>
      </c>
      <c r="N178" s="4">
        <v>253.42651381401402</v>
      </c>
      <c r="O178" s="4">
        <v>1.788150855781101E-2</v>
      </c>
      <c r="P178" s="1" t="str">
        <f>HYPERLINK(".\sm_car_250702_1901\sm_car_250702_1901_177_Ca139TrE_MaDLC_DrSt_ode23t_1.png","figure")</f>
        <v>figure</v>
      </c>
      <c r="Q178" t="s">
        <v>15</v>
      </c>
    </row>
    <row r="179" spans="1:17" x14ac:dyDescent="0.25">
      <c r="A179">
        <v>178</v>
      </c>
      <c r="B179">
        <v>2</v>
      </c>
      <c r="C179" t="s">
        <v>16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147</v>
      </c>
      <c r="K179" t="s">
        <v>23</v>
      </c>
      <c r="L179">
        <v>531</v>
      </c>
      <c r="M179" s="4">
        <v>29.997817999999999</v>
      </c>
      <c r="N179" s="4">
        <v>254.11664494638734</v>
      </c>
      <c r="O179" s="4">
        <v>4.4062323315812613E-2</v>
      </c>
      <c r="P179" s="1" t="str">
        <f>HYPERLINK(".\sm_car_250702_1901\sm_car_250702_1901_178_Ca002TrN_MaDLC_DrSt_ode23t_1.png","figure")</f>
        <v>figure</v>
      </c>
      <c r="Q179" t="s">
        <v>15</v>
      </c>
    </row>
    <row r="180" spans="1:17" x14ac:dyDescent="0.25">
      <c r="A180">
        <v>179</v>
      </c>
      <c r="B180">
        <v>2</v>
      </c>
      <c r="C180" t="s">
        <v>16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147</v>
      </c>
      <c r="K180" t="s">
        <v>23</v>
      </c>
      <c r="L180">
        <v>576</v>
      </c>
      <c r="M180" s="4">
        <v>62.734751099999997</v>
      </c>
      <c r="N180" s="4">
        <v>255.11426062169755</v>
      </c>
      <c r="O180" s="4">
        <v>4.107630562509712E-2</v>
      </c>
      <c r="P180" s="1" t="str">
        <f>HYPERLINK(".\sm_car_250702_1901\sm_car_250702_1901_179_Ca002TrE_MaDLC_DrSt_ode23t_1.png","figure")</f>
        <v>figure</v>
      </c>
      <c r="Q180" t="s">
        <v>15</v>
      </c>
    </row>
    <row r="181" spans="1:17" x14ac:dyDescent="0.25">
      <c r="A181">
        <v>180</v>
      </c>
      <c r="B181">
        <v>2</v>
      </c>
      <c r="C181" t="s">
        <v>16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147</v>
      </c>
      <c r="K181" t="s">
        <v>23</v>
      </c>
      <c r="L181">
        <v>935</v>
      </c>
      <c r="M181" s="4">
        <v>101.233662</v>
      </c>
      <c r="N181" s="4">
        <v>254.9170775319626</v>
      </c>
      <c r="O181" s="4">
        <v>4.1193585119917664E-2</v>
      </c>
      <c r="P181" s="1" t="str">
        <f>HYPERLINK(".\sm_car_250702_1901\sm_car_250702_1901_180_Ca002TrT_MaDLC_DrSt_ode23t_1.png","figure")</f>
        <v>figure</v>
      </c>
      <c r="Q181" t="s">
        <v>15</v>
      </c>
    </row>
    <row r="182" spans="1:17" x14ac:dyDescent="0.25">
      <c r="A182">
        <v>181</v>
      </c>
      <c r="B182">
        <v>2</v>
      </c>
      <c r="C182" t="s">
        <v>16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147</v>
      </c>
      <c r="K182" t="s">
        <v>23</v>
      </c>
      <c r="L182">
        <v>571</v>
      </c>
      <c r="M182" s="4">
        <v>28.9948503</v>
      </c>
      <c r="N182" s="4">
        <v>255.69241795647838</v>
      </c>
      <c r="O182" s="4">
        <v>3.9164097253918229E-2</v>
      </c>
      <c r="P182" s="1" t="str">
        <f>HYPERLINK(".\sm_car_250702_1901\sm_car_250702_1901_181_Ca002TrE_MaDLC_DrSt_ode23t_1.png","figure")</f>
        <v>figure</v>
      </c>
      <c r="Q182" t="s">
        <v>15</v>
      </c>
    </row>
    <row r="183" spans="1:17" x14ac:dyDescent="0.25">
      <c r="A183">
        <v>182</v>
      </c>
      <c r="B183">
        <v>145</v>
      </c>
      <c r="C183" t="s">
        <v>46</v>
      </c>
      <c r="D183" t="s">
        <v>17</v>
      </c>
      <c r="E183" t="s">
        <v>50</v>
      </c>
      <c r="F183" t="s">
        <v>19</v>
      </c>
      <c r="G183" t="s">
        <v>26</v>
      </c>
      <c r="H183" t="s">
        <v>21</v>
      </c>
      <c r="I183" t="s">
        <v>53</v>
      </c>
      <c r="J183" t="s">
        <v>147</v>
      </c>
      <c r="K183" t="s">
        <v>23</v>
      </c>
      <c r="L183">
        <v>456</v>
      </c>
      <c r="M183" s="4">
        <v>52.975347900000003</v>
      </c>
      <c r="N183" s="4">
        <v>254.99941431952965</v>
      </c>
      <c r="O183" s="4">
        <v>6.9519995268103152E-2</v>
      </c>
      <c r="P183" s="1" t="str">
        <f>HYPERLINK(".\sm_car_250702_1901\sm_car_250702_1901_182_Ca145TrN_MaDLC_DrSt_ode23t_1.png","figure")</f>
        <v>figure</v>
      </c>
      <c r="Q183" t="s">
        <v>15</v>
      </c>
    </row>
    <row r="184" spans="1:17" x14ac:dyDescent="0.25">
      <c r="A184">
        <v>183</v>
      </c>
      <c r="B184">
        <v>145</v>
      </c>
      <c r="C184" t="s">
        <v>46</v>
      </c>
      <c r="D184" t="s">
        <v>17</v>
      </c>
      <c r="E184" t="s">
        <v>50</v>
      </c>
      <c r="F184" t="s">
        <v>19</v>
      </c>
      <c r="G184" t="s">
        <v>26</v>
      </c>
      <c r="H184" t="s">
        <v>65</v>
      </c>
      <c r="I184" t="s">
        <v>53</v>
      </c>
      <c r="J184" t="s">
        <v>147</v>
      </c>
      <c r="K184" t="s">
        <v>23</v>
      </c>
      <c r="L184">
        <v>572</v>
      </c>
      <c r="M184" s="4">
        <v>78.563049899999996</v>
      </c>
      <c r="N184" s="4">
        <v>256.63855613986686</v>
      </c>
      <c r="O184" s="4">
        <v>6.3429099988120186E-2</v>
      </c>
      <c r="P184" s="1" t="str">
        <f>HYPERLINK(".\sm_car_250702_1901\sm_car_250702_1901_183_Ca145TrE_MaDLC_DrSt_ode23t_1.png","figure")</f>
        <v>figure</v>
      </c>
      <c r="Q184" t="s">
        <v>15</v>
      </c>
    </row>
    <row r="185" spans="1:17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66</v>
      </c>
      <c r="I185" t="s">
        <v>53</v>
      </c>
      <c r="J185" t="s">
        <v>147</v>
      </c>
      <c r="K185" t="s">
        <v>23</v>
      </c>
      <c r="L185">
        <v>792</v>
      </c>
      <c r="M185" s="4">
        <v>63.2020458</v>
      </c>
      <c r="N185" s="4">
        <v>254.26251481576526</v>
      </c>
      <c r="O185" s="4">
        <v>7.3250793805600622E-2</v>
      </c>
      <c r="P185" s="1" t="str">
        <f>HYPERLINK(".\sm_car_250702_1901\sm_car_250702_1901_184_Ca145TrT_MaDLC_DrSt_ode23t_1.png","figure")</f>
        <v>figure</v>
      </c>
      <c r="Q185" t="s">
        <v>15</v>
      </c>
    </row>
    <row r="186" spans="1:17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65</v>
      </c>
      <c r="I186" t="s">
        <v>53</v>
      </c>
      <c r="J186" t="s">
        <v>147</v>
      </c>
      <c r="K186" t="s">
        <v>23</v>
      </c>
      <c r="L186">
        <v>579</v>
      </c>
      <c r="M186" s="4">
        <v>78.975262299999997</v>
      </c>
      <c r="N186" s="4">
        <v>256.2338825531105</v>
      </c>
      <c r="O186" s="4">
        <v>6.5006247873403034E-2</v>
      </c>
      <c r="P186" s="1" t="str">
        <f>HYPERLINK(".\sm_car_250702_1901\sm_car_250702_1901_185_Ca145TrE_MaDLC_DrSt_ode23t_1.png","figure")</f>
        <v>figure</v>
      </c>
      <c r="Q186" t="s">
        <v>15</v>
      </c>
    </row>
    <row r="187" spans="1:17" x14ac:dyDescent="0.25">
      <c r="A187">
        <v>186</v>
      </c>
      <c r="B187">
        <v>199</v>
      </c>
      <c r="C187" t="s">
        <v>46</v>
      </c>
      <c r="D187" t="s">
        <v>17</v>
      </c>
      <c r="E187" t="s">
        <v>109</v>
      </c>
      <c r="F187" t="s">
        <v>19</v>
      </c>
      <c r="G187" t="s">
        <v>26</v>
      </c>
      <c r="H187" t="s">
        <v>21</v>
      </c>
      <c r="I187" t="s">
        <v>53</v>
      </c>
      <c r="J187" t="s">
        <v>147</v>
      </c>
      <c r="K187" t="s">
        <v>23</v>
      </c>
      <c r="L187">
        <v>465</v>
      </c>
      <c r="M187" s="4">
        <v>22.779148599999999</v>
      </c>
      <c r="N187" s="4">
        <v>256.8048690381803</v>
      </c>
      <c r="O187" s="4">
        <v>6.2140021066732665E-2</v>
      </c>
      <c r="P187" s="1" t="str">
        <f>HYPERLINK(".\sm_car_250702_1901\sm_car_250702_1901_186_Ca199TrN_MaDLC_DrSt_ode23t_1.png","figure")</f>
        <v>figure</v>
      </c>
      <c r="Q187" t="s">
        <v>15</v>
      </c>
    </row>
    <row r="188" spans="1:17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65</v>
      </c>
      <c r="I188" t="s">
        <v>53</v>
      </c>
      <c r="J188" t="s">
        <v>147</v>
      </c>
      <c r="K188" t="s">
        <v>23</v>
      </c>
      <c r="L188">
        <v>577</v>
      </c>
      <c r="M188" s="4">
        <v>59.671988800000001</v>
      </c>
      <c r="N188" s="4">
        <v>253.7777876946256</v>
      </c>
      <c r="O188" s="4">
        <v>7.5970344704977322E-2</v>
      </c>
      <c r="P188" s="1" t="str">
        <f>HYPERLINK(".\sm_car_250702_1901\sm_car_250702_1901_187_Ca199TrE_MaDLC_DrSt_ode23t_1.png","figure")</f>
        <v>figure</v>
      </c>
      <c r="Q188" t="s">
        <v>15</v>
      </c>
    </row>
    <row r="189" spans="1:17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66</v>
      </c>
      <c r="I189" t="s">
        <v>53</v>
      </c>
      <c r="J189" t="s">
        <v>147</v>
      </c>
      <c r="K189" t="s">
        <v>23</v>
      </c>
      <c r="L189">
        <v>811</v>
      </c>
      <c r="M189" s="4">
        <v>72.432380899999998</v>
      </c>
      <c r="N189" s="4">
        <v>256.38031716231194</v>
      </c>
      <c r="O189" s="4">
        <v>6.3902714564352259E-2</v>
      </c>
      <c r="P189" s="1" t="str">
        <f>HYPERLINK(".\sm_car_250702_1901\sm_car_250702_1901_188_Ca199TrT_MaDLC_DrSt_ode23t_1.png","figure")</f>
        <v>figure</v>
      </c>
      <c r="Q189" t="s">
        <v>15</v>
      </c>
    </row>
    <row r="190" spans="1:17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65</v>
      </c>
      <c r="I190" t="s">
        <v>53</v>
      </c>
      <c r="J190" t="s">
        <v>147</v>
      </c>
      <c r="K190" t="s">
        <v>23</v>
      </c>
      <c r="L190">
        <v>574</v>
      </c>
      <c r="M190" s="4">
        <v>13.829416800000001</v>
      </c>
      <c r="N190" s="4">
        <v>254.45393781330472</v>
      </c>
      <c r="O190" s="4">
        <v>7.280493093267193E-2</v>
      </c>
      <c r="P190" s="1" t="str">
        <f>HYPERLINK(".\sm_car_250702_1901\sm_car_250702_1901_189_Ca199TrE_MaDLC_DrSt_ode23t_1.png","figure")</f>
        <v>figure</v>
      </c>
      <c r="Q190" t="s">
        <v>15</v>
      </c>
    </row>
    <row r="191" spans="1:17" x14ac:dyDescent="0.25">
      <c r="A191">
        <v>190</v>
      </c>
      <c r="B191">
        <v>189</v>
      </c>
      <c r="C191" t="s">
        <v>45</v>
      </c>
      <c r="D191" t="s">
        <v>17</v>
      </c>
      <c r="E191" t="s">
        <v>107</v>
      </c>
      <c r="F191" t="s">
        <v>19</v>
      </c>
      <c r="G191" t="s">
        <v>26</v>
      </c>
      <c r="H191" t="s">
        <v>65</v>
      </c>
      <c r="I191" t="s">
        <v>67</v>
      </c>
      <c r="J191" t="s">
        <v>147</v>
      </c>
      <c r="K191" t="s">
        <v>23</v>
      </c>
      <c r="L191">
        <v>507</v>
      </c>
      <c r="M191" s="4">
        <v>16.8214422</v>
      </c>
      <c r="N191" s="4">
        <v>263.42798776507811</v>
      </c>
      <c r="O191" s="4">
        <v>5.0010515817390546</v>
      </c>
      <c r="P191" s="1" t="str">
        <f>HYPERLINK(".\sm_car_250702_1901\sm_car_250702_1901_190_Ca189TrE_MaTRD_DrSt_ode23t_1.png","figure")</f>
        <v>figure</v>
      </c>
      <c r="Q191" t="s">
        <v>15</v>
      </c>
    </row>
    <row r="192" spans="1:17" x14ac:dyDescent="0.25">
      <c r="A192">
        <v>191</v>
      </c>
      <c r="B192">
        <v>189</v>
      </c>
      <c r="C192" t="s">
        <v>45</v>
      </c>
      <c r="D192" t="s">
        <v>17</v>
      </c>
      <c r="E192" t="s">
        <v>107</v>
      </c>
      <c r="F192" t="s">
        <v>19</v>
      </c>
      <c r="G192" t="s">
        <v>26</v>
      </c>
      <c r="H192" t="s">
        <v>65</v>
      </c>
      <c r="I192" t="s">
        <v>67</v>
      </c>
      <c r="J192" t="s">
        <v>147</v>
      </c>
      <c r="K192" t="s">
        <v>23</v>
      </c>
      <c r="L192">
        <v>669</v>
      </c>
      <c r="M192" s="4">
        <v>18.508195099999998</v>
      </c>
      <c r="N192" s="4">
        <v>263.4286589317573</v>
      </c>
      <c r="O192" s="4">
        <v>4.9151899640543011</v>
      </c>
      <c r="P192" s="1" t="str">
        <f>HYPERLINK(".\sm_car_250702_1901\sm_car_250702_1901_191_Ca189TrU_MaTRD_DrSt_ode23t_1.png","figure")</f>
        <v>figure</v>
      </c>
      <c r="Q192" t="s">
        <v>15</v>
      </c>
    </row>
    <row r="193" spans="1:17" x14ac:dyDescent="0.25">
      <c r="A193">
        <v>192</v>
      </c>
      <c r="B193">
        <v>149</v>
      </c>
      <c r="C193" t="s">
        <v>46</v>
      </c>
      <c r="D193" t="s">
        <v>17</v>
      </c>
      <c r="E193" t="s">
        <v>68</v>
      </c>
      <c r="F193" t="s">
        <v>19</v>
      </c>
      <c r="G193" t="s">
        <v>26</v>
      </c>
      <c r="H193" t="s">
        <v>21</v>
      </c>
      <c r="I193" t="s">
        <v>69</v>
      </c>
      <c r="J193" t="s">
        <v>147</v>
      </c>
      <c r="K193" t="s">
        <v>23</v>
      </c>
      <c r="L193">
        <v>669</v>
      </c>
      <c r="M193" s="4">
        <v>10.2217229</v>
      </c>
      <c r="N193" s="4">
        <v>-5.4824166833764565E-3</v>
      </c>
      <c r="O193" s="4">
        <v>-7.8043464460392231E-4</v>
      </c>
      <c r="P193" s="1" t="str">
        <f>HYPERLINK(".\sm_car_250702_1901\sm_car_250702_1901_192_Ca149TrN_MaPST_DrSt_ode23t_1.png","figure")</f>
        <v>figure</v>
      </c>
      <c r="Q193" t="s">
        <v>15</v>
      </c>
    </row>
    <row r="194" spans="1:17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21</v>
      </c>
      <c r="I194" t="s">
        <v>70</v>
      </c>
      <c r="J194" t="s">
        <v>147</v>
      </c>
      <c r="K194" t="s">
        <v>23</v>
      </c>
      <c r="L194">
        <v>1566</v>
      </c>
      <c r="M194" s="4">
        <v>42.723129700000001</v>
      </c>
      <c r="N194" s="4">
        <v>36.320862855381627</v>
      </c>
      <c r="O194" s="4">
        <v>0.23210813471171962</v>
      </c>
      <c r="P194" s="1" t="str">
        <f>HYPERLINK(".\sm_car_250702_1901\sm_car_250702_1901_193_Ca139TrN_MaSKD_DrSt_ode23t_1.png","figure")</f>
        <v>figure</v>
      </c>
      <c r="Q194" t="s">
        <v>15</v>
      </c>
    </row>
    <row r="195" spans="1:17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71</v>
      </c>
      <c r="J195" t="s">
        <v>147</v>
      </c>
      <c r="K195" t="s">
        <v>23</v>
      </c>
      <c r="L195">
        <v>832</v>
      </c>
      <c r="M195" s="4">
        <v>20.0663771</v>
      </c>
      <c r="N195" s="4">
        <v>-1.514767719776053</v>
      </c>
      <c r="O195" s="4">
        <v>21.368152487189906</v>
      </c>
      <c r="P195" s="1" t="str">
        <f>HYPERLINK(".\sm_car_250702_1901\sm_car_250702_1901_194_Ca139TrN_MaRAD_DrSt_ode23t_1.png","figure")</f>
        <v>figure</v>
      </c>
      <c r="Q195" t="s">
        <v>15</v>
      </c>
    </row>
    <row r="196" spans="1:17" x14ac:dyDescent="0.25">
      <c r="A196">
        <v>195</v>
      </c>
      <c r="B196">
        <v>184</v>
      </c>
      <c r="C196" t="s">
        <v>105</v>
      </c>
      <c r="D196" t="s">
        <v>118</v>
      </c>
      <c r="E196" t="s">
        <v>49</v>
      </c>
      <c r="F196" t="s">
        <v>19</v>
      </c>
      <c r="G196" t="s">
        <v>20</v>
      </c>
      <c r="H196" t="s">
        <v>21</v>
      </c>
      <c r="I196" t="s">
        <v>70</v>
      </c>
      <c r="J196" t="s">
        <v>147</v>
      </c>
      <c r="K196" t="s">
        <v>23</v>
      </c>
      <c r="L196">
        <v>1294</v>
      </c>
      <c r="M196" s="4">
        <v>53.150850800000001</v>
      </c>
      <c r="N196" s="4">
        <v>36.394289338017359</v>
      </c>
      <c r="O196" s="4">
        <v>0.16128880940823803</v>
      </c>
      <c r="P196" s="1" t="str">
        <f>HYPERLINK(".\sm_car_250702_1901\sm_car_250702_1901_195_Ca184TrN_MaSKD_DrSt_ode23t_1.png","figure")</f>
        <v>figure</v>
      </c>
      <c r="Q196" t="s">
        <v>15</v>
      </c>
    </row>
    <row r="197" spans="1:17" x14ac:dyDescent="0.25">
      <c r="A197">
        <v>196</v>
      </c>
      <c r="B197">
        <v>184</v>
      </c>
      <c r="C197" t="s">
        <v>105</v>
      </c>
      <c r="D197" t="s">
        <v>118</v>
      </c>
      <c r="E197" t="s">
        <v>49</v>
      </c>
      <c r="F197" t="s">
        <v>19</v>
      </c>
      <c r="G197" t="s">
        <v>20</v>
      </c>
      <c r="H197" t="s">
        <v>21</v>
      </c>
      <c r="I197" t="s">
        <v>71</v>
      </c>
      <c r="J197" t="s">
        <v>147</v>
      </c>
      <c r="K197" t="s">
        <v>23</v>
      </c>
      <c r="L197">
        <v>651</v>
      </c>
      <c r="M197" s="4">
        <v>25.628466199999998</v>
      </c>
      <c r="N197" s="4">
        <v>7.4304493641104123</v>
      </c>
      <c r="O197" s="4">
        <v>7.4170948759482087</v>
      </c>
      <c r="P197" s="1" t="str">
        <f>HYPERLINK(".\sm_car_250702_1901\sm_car_250702_1901_196_Ca184TrN_MaRAD_DrSt_ode23t_1.png","figure")</f>
        <v>figure</v>
      </c>
      <c r="Q197" t="s">
        <v>15</v>
      </c>
    </row>
    <row r="198" spans="1:17" x14ac:dyDescent="0.25">
      <c r="A198">
        <v>197</v>
      </c>
      <c r="B198">
        <v>198</v>
      </c>
      <c r="C198" t="s">
        <v>105</v>
      </c>
      <c r="D198" t="s">
        <v>118</v>
      </c>
      <c r="E198" t="s">
        <v>107</v>
      </c>
      <c r="F198" t="s">
        <v>19</v>
      </c>
      <c r="G198" t="s">
        <v>20</v>
      </c>
      <c r="H198" t="s">
        <v>21</v>
      </c>
      <c r="I198" t="s">
        <v>70</v>
      </c>
      <c r="J198" t="s">
        <v>147</v>
      </c>
      <c r="K198" t="s">
        <v>23</v>
      </c>
      <c r="L198">
        <v>1398</v>
      </c>
      <c r="M198" s="4">
        <v>33.561472600000002</v>
      </c>
      <c r="N198" s="4">
        <v>36.539967430272</v>
      </c>
      <c r="O198" s="4">
        <v>0.15630549166367971</v>
      </c>
      <c r="P198" s="1" t="str">
        <f>HYPERLINK(".\sm_car_250702_1901\sm_car_250702_1901_197_Ca198TrN_MaSKD_DrSt_ode23t_1.png","figure")</f>
        <v>figure</v>
      </c>
      <c r="Q198" t="s">
        <v>15</v>
      </c>
    </row>
    <row r="199" spans="1:17" x14ac:dyDescent="0.25">
      <c r="A199">
        <v>198</v>
      </c>
      <c r="B199">
        <v>198</v>
      </c>
      <c r="C199" t="s">
        <v>105</v>
      </c>
      <c r="D199" t="s">
        <v>118</v>
      </c>
      <c r="E199" t="s">
        <v>107</v>
      </c>
      <c r="F199" t="s">
        <v>19</v>
      </c>
      <c r="G199" t="s">
        <v>20</v>
      </c>
      <c r="H199" t="s">
        <v>21</v>
      </c>
      <c r="I199" t="s">
        <v>71</v>
      </c>
      <c r="J199" t="s">
        <v>147</v>
      </c>
      <c r="K199" t="s">
        <v>23</v>
      </c>
      <c r="L199">
        <v>689</v>
      </c>
      <c r="M199" s="4">
        <v>17.0469714</v>
      </c>
      <c r="N199" s="4">
        <v>7.4947109908141449</v>
      </c>
      <c r="O199" s="4">
        <v>7.3189160004638198</v>
      </c>
      <c r="P199" s="1" t="str">
        <f>HYPERLINK(".\sm_car_250702_1901\sm_car_250702_1901_198_Ca198TrN_MaRAD_DrSt_ode23t_1.png","figure")</f>
        <v>figure</v>
      </c>
      <c r="Q199" t="s">
        <v>15</v>
      </c>
    </row>
    <row r="200" spans="1:17" x14ac:dyDescent="0.25">
      <c r="A200">
        <v>199</v>
      </c>
      <c r="B200">
        <v>189</v>
      </c>
      <c r="C200" t="s">
        <v>45</v>
      </c>
      <c r="D200" t="s">
        <v>17</v>
      </c>
      <c r="E200" t="s">
        <v>107</v>
      </c>
      <c r="F200" t="s">
        <v>19</v>
      </c>
      <c r="G200" t="s">
        <v>26</v>
      </c>
      <c r="H200" t="s">
        <v>21</v>
      </c>
      <c r="I200" t="s">
        <v>136</v>
      </c>
      <c r="J200" t="s">
        <v>147</v>
      </c>
      <c r="K200" t="s">
        <v>23</v>
      </c>
      <c r="L200">
        <v>563</v>
      </c>
      <c r="M200" s="4">
        <v>11.3434194</v>
      </c>
      <c r="N200" s="4">
        <v>134.60126698103568</v>
      </c>
      <c r="O200" s="4">
        <v>-15.391185520254645</v>
      </c>
      <c r="P200" s="1" t="str">
        <f>HYPERLINK(".\sm_car_250702_1901\sm_car_250702_1901_199_Ca189TrN_MaFSH_DrSt_ode23t_1.png","figure")</f>
        <v>figure</v>
      </c>
      <c r="Q200" t="s">
        <v>15</v>
      </c>
    </row>
    <row r="201" spans="1:17" x14ac:dyDescent="0.25">
      <c r="A201">
        <v>200</v>
      </c>
      <c r="B201">
        <v>189</v>
      </c>
      <c r="C201" t="s">
        <v>45</v>
      </c>
      <c r="D201" t="s">
        <v>17</v>
      </c>
      <c r="E201" t="s">
        <v>107</v>
      </c>
      <c r="F201" t="s">
        <v>19</v>
      </c>
      <c r="G201" t="s">
        <v>26</v>
      </c>
      <c r="H201" t="s">
        <v>21</v>
      </c>
      <c r="I201" t="s">
        <v>137</v>
      </c>
      <c r="J201" t="s">
        <v>147</v>
      </c>
      <c r="K201" t="s">
        <v>23</v>
      </c>
      <c r="L201">
        <v>423</v>
      </c>
      <c r="M201" s="4">
        <v>7.6548952999999997</v>
      </c>
      <c r="N201" s="4">
        <v>131.22341581694698</v>
      </c>
      <c r="O201" s="4">
        <v>-8.9995952031096742</v>
      </c>
      <c r="P201" s="1" t="str">
        <f>HYPERLINK(".\sm_car_250702_1901\sm_car_250702_1901_200_Ca189TrN_MaSWD_DrSt_ode23t_1.png","figure")</f>
        <v>figure</v>
      </c>
      <c r="Q201" t="s">
        <v>15</v>
      </c>
    </row>
    <row r="202" spans="1:17" x14ac:dyDescent="0.25">
      <c r="A202">
        <v>201</v>
      </c>
      <c r="B202">
        <v>189</v>
      </c>
      <c r="C202" t="s">
        <v>45</v>
      </c>
      <c r="D202" t="s">
        <v>17</v>
      </c>
      <c r="E202" t="s">
        <v>107</v>
      </c>
      <c r="F202" t="s">
        <v>19</v>
      </c>
      <c r="G202" t="s">
        <v>26</v>
      </c>
      <c r="H202" t="s">
        <v>21</v>
      </c>
      <c r="I202" t="s">
        <v>138</v>
      </c>
      <c r="J202" t="s">
        <v>147</v>
      </c>
      <c r="K202" t="s">
        <v>23</v>
      </c>
      <c r="L202">
        <v>437</v>
      </c>
      <c r="M202" s="4">
        <v>8.0760441000000007</v>
      </c>
      <c r="N202" s="4">
        <v>114.90211545223221</v>
      </c>
      <c r="O202" s="4">
        <v>18.114434237639394</v>
      </c>
      <c r="P202" s="1" t="str">
        <f>HYPERLINK(".\sm_car_250702_1901\sm_car_250702_1901_201_Ca189TrN_MaRST_DrSt_ode23t_1.png","figure")</f>
        <v>figure</v>
      </c>
      <c r="Q202" t="s">
        <v>15</v>
      </c>
    </row>
    <row r="203" spans="1:17" x14ac:dyDescent="0.25">
      <c r="A203">
        <v>202</v>
      </c>
      <c r="B203">
        <v>189</v>
      </c>
      <c r="C203" t="s">
        <v>45</v>
      </c>
      <c r="D203" t="s">
        <v>17</v>
      </c>
      <c r="E203" t="s">
        <v>107</v>
      </c>
      <c r="F203" t="s">
        <v>19</v>
      </c>
      <c r="G203" t="s">
        <v>26</v>
      </c>
      <c r="H203" t="s">
        <v>21</v>
      </c>
      <c r="I203" t="s">
        <v>139</v>
      </c>
      <c r="J203" t="s">
        <v>147</v>
      </c>
      <c r="K203" t="s">
        <v>23</v>
      </c>
      <c r="L203">
        <v>592</v>
      </c>
      <c r="M203" s="4">
        <v>24.353937299999998</v>
      </c>
      <c r="N203" s="4">
        <v>225.34518213655721</v>
      </c>
      <c r="O203" s="4">
        <v>9.3243632462550879E-2</v>
      </c>
      <c r="P203" s="1" t="str">
        <f>HYPERLINK(".\sm_car_250702_1901\sm_car_250702_1901_202_Ca189TrN_MaSLA_DrSt_ode23t_1.png","figure")</f>
        <v>figure</v>
      </c>
      <c r="Q203" t="s">
        <v>15</v>
      </c>
    </row>
    <row r="204" spans="1:17" x14ac:dyDescent="0.25">
      <c r="A204">
        <v>203</v>
      </c>
      <c r="B204">
        <v>218</v>
      </c>
      <c r="C204" t="s">
        <v>16</v>
      </c>
      <c r="D204" t="s">
        <v>132</v>
      </c>
      <c r="E204" t="s">
        <v>107</v>
      </c>
      <c r="F204" t="s">
        <v>19</v>
      </c>
      <c r="G204" t="s">
        <v>26</v>
      </c>
      <c r="H204" t="s">
        <v>21</v>
      </c>
      <c r="I204" t="s">
        <v>136</v>
      </c>
      <c r="J204" t="s">
        <v>147</v>
      </c>
      <c r="K204" t="s">
        <v>23</v>
      </c>
      <c r="L204">
        <v>568</v>
      </c>
      <c r="M204" s="4">
        <v>25.0977465</v>
      </c>
      <c r="N204" s="4">
        <v>104.1541457969779</v>
      </c>
      <c r="O204" s="4">
        <v>-21.98925359312911</v>
      </c>
      <c r="P204" s="1" t="str">
        <f>HYPERLINK(".\sm_car_250702_1901\sm_car_250702_1901_203_Ca218TrN_MaFSH_DrSt_ode23t_1.png","figure")</f>
        <v>figure</v>
      </c>
      <c r="Q204" t="s">
        <v>15</v>
      </c>
    </row>
    <row r="205" spans="1:17" x14ac:dyDescent="0.25">
      <c r="A205">
        <v>204</v>
      </c>
      <c r="B205">
        <v>218</v>
      </c>
      <c r="C205" t="s">
        <v>16</v>
      </c>
      <c r="D205" t="s">
        <v>132</v>
      </c>
      <c r="E205" t="s">
        <v>107</v>
      </c>
      <c r="F205" t="s">
        <v>19</v>
      </c>
      <c r="G205" t="s">
        <v>26</v>
      </c>
      <c r="H205" t="s">
        <v>21</v>
      </c>
      <c r="I205" t="s">
        <v>137</v>
      </c>
      <c r="J205" t="s">
        <v>147</v>
      </c>
      <c r="K205" t="s">
        <v>23</v>
      </c>
      <c r="L205">
        <v>456</v>
      </c>
      <c r="M205" s="4">
        <v>20.9543544</v>
      </c>
      <c r="N205" s="4">
        <v>139.04372245675825</v>
      </c>
      <c r="O205" s="4">
        <v>-8.810851938562438</v>
      </c>
      <c r="P205" s="1" t="str">
        <f>HYPERLINK(".\sm_car_250702_1901\sm_car_250702_1901_204_Ca218TrN_MaSWD_DrSt_ode23t_1.png","figure")</f>
        <v>figure</v>
      </c>
      <c r="Q205" t="s">
        <v>15</v>
      </c>
    </row>
    <row r="206" spans="1:17" x14ac:dyDescent="0.25">
      <c r="A206">
        <v>205</v>
      </c>
      <c r="B206">
        <v>218</v>
      </c>
      <c r="C206" t="s">
        <v>16</v>
      </c>
      <c r="D206" t="s">
        <v>132</v>
      </c>
      <c r="E206" t="s">
        <v>107</v>
      </c>
      <c r="F206" t="s">
        <v>19</v>
      </c>
      <c r="G206" t="s">
        <v>26</v>
      </c>
      <c r="H206" t="s">
        <v>21</v>
      </c>
      <c r="I206" t="s">
        <v>138</v>
      </c>
      <c r="J206" t="s">
        <v>147</v>
      </c>
      <c r="K206" t="s">
        <v>23</v>
      </c>
      <c r="L206">
        <v>383</v>
      </c>
      <c r="M206" s="4">
        <v>19.192207100000001</v>
      </c>
      <c r="N206" s="4">
        <v>104.66750765196855</v>
      </c>
      <c r="O206" s="4">
        <v>29.482091322890007</v>
      </c>
      <c r="P206" s="1" t="str">
        <f>HYPERLINK(".\sm_car_250702_1901\sm_car_250702_1901_205_Ca218TrN_MaRST_DrSt_ode23t_1.png","figure")</f>
        <v>figure</v>
      </c>
      <c r="Q206" t="s">
        <v>15</v>
      </c>
    </row>
    <row r="207" spans="1:17" x14ac:dyDescent="0.25">
      <c r="A207">
        <v>206</v>
      </c>
      <c r="B207">
        <v>218</v>
      </c>
      <c r="C207" t="s">
        <v>16</v>
      </c>
      <c r="D207" t="s">
        <v>132</v>
      </c>
      <c r="E207" t="s">
        <v>107</v>
      </c>
      <c r="F207" t="s">
        <v>19</v>
      </c>
      <c r="G207" t="s">
        <v>26</v>
      </c>
      <c r="H207" t="s">
        <v>21</v>
      </c>
      <c r="I207" t="s">
        <v>139</v>
      </c>
      <c r="J207" t="s">
        <v>147</v>
      </c>
      <c r="K207" t="s">
        <v>23</v>
      </c>
      <c r="L207">
        <v>677</v>
      </c>
      <c r="M207" s="4">
        <v>18.971050000000002</v>
      </c>
      <c r="N207" s="4">
        <v>224.07710284371831</v>
      </c>
      <c r="O207" s="4">
        <v>9.295438147880436E-2</v>
      </c>
      <c r="P207" s="1" t="str">
        <f>HYPERLINK(".\sm_car_250702_1901\sm_car_250702_1901_206_Ca218TrN_MaSLA_DrSt_ode23t_1.png","figure")</f>
        <v>figure</v>
      </c>
      <c r="Q207" t="s">
        <v>15</v>
      </c>
    </row>
    <row r="208" spans="1:17" x14ac:dyDescent="0.25">
      <c r="A208">
        <v>207</v>
      </c>
      <c r="B208">
        <v>156</v>
      </c>
      <c r="C208" t="s">
        <v>45</v>
      </c>
      <c r="D208" t="s">
        <v>17</v>
      </c>
      <c r="E208" t="s">
        <v>18</v>
      </c>
      <c r="F208" t="s">
        <v>19</v>
      </c>
      <c r="G208" t="s">
        <v>38</v>
      </c>
      <c r="H208" t="s">
        <v>21</v>
      </c>
      <c r="I208" t="s">
        <v>54</v>
      </c>
      <c r="J208" t="s">
        <v>147</v>
      </c>
      <c r="K208" t="s">
        <v>23</v>
      </c>
      <c r="L208">
        <v>25980</v>
      </c>
      <c r="M208" s="4">
        <v>464.3636803</v>
      </c>
      <c r="N208" s="4">
        <v>19.501902767501235</v>
      </c>
      <c r="O208" s="4">
        <v>2.6420750953599952</v>
      </c>
      <c r="P208" s="1" t="str">
        <f>HYPERLINK(".\sm_car_250702_1901\sm_car_250702_1901_207_Ca156TrN_MaIPA_DrSt_ode23t.png","figure")</f>
        <v>figure</v>
      </c>
      <c r="Q208" t="s">
        <v>15</v>
      </c>
    </row>
    <row r="209" spans="1:17" x14ac:dyDescent="0.25">
      <c r="A209">
        <v>208</v>
      </c>
      <c r="B209">
        <v>130</v>
      </c>
      <c r="C209" t="s">
        <v>16</v>
      </c>
      <c r="D209" t="s">
        <v>17</v>
      </c>
      <c r="E209" t="s">
        <v>18</v>
      </c>
      <c r="F209" t="s">
        <v>19</v>
      </c>
      <c r="G209" t="s">
        <v>38</v>
      </c>
      <c r="H209" t="s">
        <v>21</v>
      </c>
      <c r="I209" t="s">
        <v>54</v>
      </c>
      <c r="J209" t="s">
        <v>147</v>
      </c>
      <c r="K209" t="s">
        <v>23</v>
      </c>
      <c r="L209">
        <v>18221</v>
      </c>
      <c r="M209" s="4">
        <v>306.21839010000002</v>
      </c>
      <c r="N209" s="4">
        <v>16.365347295029466</v>
      </c>
      <c r="O209" s="4">
        <v>0.57032858363846373</v>
      </c>
      <c r="P209" s="1" t="str">
        <f>HYPERLINK(".\sm_car_250702_1901\sm_car_250702_1901_208_Ca130TrN_MaIPA_DrSt_ode23t.png","figure")</f>
        <v>figure</v>
      </c>
      <c r="Q209" t="s">
        <v>15</v>
      </c>
    </row>
    <row r="210" spans="1:17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73</v>
      </c>
      <c r="J210" t="s">
        <v>147</v>
      </c>
      <c r="K210" t="s">
        <v>23</v>
      </c>
      <c r="L210">
        <v>1351</v>
      </c>
      <c r="M210" s="4">
        <v>29.2737418</v>
      </c>
      <c r="N210" s="4">
        <v>338.69329462136636</v>
      </c>
      <c r="O210" s="4">
        <v>0.6650746186008587</v>
      </c>
      <c r="P210" s="1" t="str">
        <f>HYPERLINK(".\sm_car_250702_1901\sm_car_250702_1901_209_Ca171TrN_MaRDP_DrSt_ode23t_1.png","figure")</f>
        <v>figure</v>
      </c>
      <c r="Q210" t="s">
        <v>15</v>
      </c>
    </row>
    <row r="211" spans="1:17" x14ac:dyDescent="0.25">
      <c r="A211">
        <v>210</v>
      </c>
      <c r="B211">
        <v>172</v>
      </c>
      <c r="C211" t="s">
        <v>46</v>
      </c>
      <c r="D211" t="s">
        <v>17</v>
      </c>
      <c r="E211" t="s">
        <v>72</v>
      </c>
      <c r="F211" t="s">
        <v>19</v>
      </c>
      <c r="G211" t="s">
        <v>26</v>
      </c>
      <c r="H211" t="s">
        <v>21</v>
      </c>
      <c r="I211" t="s">
        <v>73</v>
      </c>
      <c r="J211" t="s">
        <v>147</v>
      </c>
      <c r="K211" t="s">
        <v>23</v>
      </c>
      <c r="L211">
        <v>1258</v>
      </c>
      <c r="M211" s="4">
        <v>14.933243600000001</v>
      </c>
      <c r="N211" s="4">
        <v>138.52007814688767</v>
      </c>
      <c r="O211" s="4">
        <v>3.8041105563485514E-2</v>
      </c>
      <c r="P211" s="1" t="str">
        <f>HYPERLINK(".\sm_car_250702_1901\sm_car_250702_1901_210_Ca172TrN_MaRDP_DrSt_ode23t_1.png","figure")</f>
        <v>figure</v>
      </c>
      <c r="Q211" t="s">
        <v>15</v>
      </c>
    </row>
    <row r="212" spans="1:17" x14ac:dyDescent="0.25">
      <c r="A212">
        <v>211</v>
      </c>
      <c r="B212">
        <v>139</v>
      </c>
      <c r="C212" t="s">
        <v>45</v>
      </c>
      <c r="D212" t="s">
        <v>17</v>
      </c>
      <c r="E212" t="s">
        <v>18</v>
      </c>
      <c r="F212" t="s">
        <v>19</v>
      </c>
      <c r="G212" t="s">
        <v>26</v>
      </c>
      <c r="H212" t="s">
        <v>21</v>
      </c>
      <c r="I212" t="s">
        <v>74</v>
      </c>
      <c r="J212" t="s">
        <v>147</v>
      </c>
      <c r="K212" t="s">
        <v>23</v>
      </c>
      <c r="L212">
        <v>1465</v>
      </c>
      <c r="M212" s="4">
        <v>23.921574799999998</v>
      </c>
      <c r="N212" s="4">
        <v>364.60433976926322</v>
      </c>
      <c r="O212" s="4">
        <v>0.74536080843893893</v>
      </c>
      <c r="P212" s="1" t="str">
        <f>HYPERLINK(".\sm_car_250702_1901\sm_car_250702_1901_211_Ca139TrN_MaZPL_DrSt_ode23t_1.png","figure")</f>
        <v>figure</v>
      </c>
      <c r="Q212" t="s">
        <v>15</v>
      </c>
    </row>
    <row r="213" spans="1:17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74</v>
      </c>
      <c r="J213" t="s">
        <v>147</v>
      </c>
      <c r="K213" t="s">
        <v>23</v>
      </c>
      <c r="L213">
        <v>2117</v>
      </c>
      <c r="M213" s="4">
        <v>13.620013999999999</v>
      </c>
      <c r="N213" s="4">
        <v>397.61720690557155</v>
      </c>
      <c r="O213" s="4">
        <v>0.34021790340063712</v>
      </c>
      <c r="P213" s="1" t="str">
        <f>HYPERLINK(".\sm_car_250702_1901\sm_car_250702_1901_212_Ca165TrN_MaZPL_DrSt_ode23t_1.png","figure")</f>
        <v>figure</v>
      </c>
      <c r="Q213" t="s">
        <v>15</v>
      </c>
    </row>
    <row r="214" spans="1:17" x14ac:dyDescent="0.25">
      <c r="A214">
        <v>213</v>
      </c>
      <c r="B214">
        <v>171</v>
      </c>
      <c r="C214" t="s">
        <v>45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74</v>
      </c>
      <c r="J214" t="s">
        <v>147</v>
      </c>
      <c r="K214" t="s">
        <v>23</v>
      </c>
      <c r="L214">
        <v>1434</v>
      </c>
      <c r="M214" s="4">
        <v>28.592740599999999</v>
      </c>
      <c r="N214" s="4">
        <v>364.25367354659596</v>
      </c>
      <c r="O214" s="4">
        <v>0.73138789559417827</v>
      </c>
      <c r="P214" s="1" t="str">
        <f>HYPERLINK(".\sm_car_250702_1901\sm_car_250702_1901_213_Ca171TrN_MaZPL_DrSt_ode23t_1.png","figure")</f>
        <v>figure</v>
      </c>
      <c r="Q214" t="s">
        <v>15</v>
      </c>
    </row>
    <row r="215" spans="1:17" x14ac:dyDescent="0.25">
      <c r="A215">
        <v>214</v>
      </c>
      <c r="B215">
        <v>165</v>
      </c>
      <c r="C215" t="s">
        <v>45</v>
      </c>
      <c r="D215" t="s">
        <v>35</v>
      </c>
      <c r="E215" t="s">
        <v>49</v>
      </c>
      <c r="F215" t="s">
        <v>19</v>
      </c>
      <c r="G215" t="s">
        <v>26</v>
      </c>
      <c r="H215" t="s">
        <v>21</v>
      </c>
      <c r="I215" t="s">
        <v>75</v>
      </c>
      <c r="J215" t="s">
        <v>147</v>
      </c>
      <c r="K215" t="s">
        <v>23</v>
      </c>
      <c r="L215">
        <v>506</v>
      </c>
      <c r="M215" s="4">
        <v>5.9514241999999999</v>
      </c>
      <c r="N215" s="4">
        <v>378.27994830658986</v>
      </c>
      <c r="O215" s="4">
        <v>0.32742274400994908</v>
      </c>
      <c r="P215" s="1" t="str">
        <f>HYPERLINK(".\sm_car_250702_1901\sm_car_250702_1901_214_Ca165TrN_MaCPL_DrSt_ode23t_1.png","figure")</f>
        <v>figure</v>
      </c>
      <c r="Q215" t="s">
        <v>15</v>
      </c>
    </row>
    <row r="216" spans="1:17" x14ac:dyDescent="0.25">
      <c r="A216">
        <v>215</v>
      </c>
      <c r="B216">
        <v>170</v>
      </c>
      <c r="C216" t="s">
        <v>45</v>
      </c>
      <c r="D216" t="s">
        <v>35</v>
      </c>
      <c r="E216" t="s">
        <v>49</v>
      </c>
      <c r="F216" t="s">
        <v>19</v>
      </c>
      <c r="G216" t="s">
        <v>20</v>
      </c>
      <c r="H216" t="s">
        <v>21</v>
      </c>
      <c r="I216" t="s">
        <v>75</v>
      </c>
      <c r="J216" t="s">
        <v>147</v>
      </c>
      <c r="K216" t="s">
        <v>23</v>
      </c>
      <c r="L216">
        <v>471</v>
      </c>
      <c r="M216" s="4">
        <v>4.1754863999999996</v>
      </c>
      <c r="N216" s="4">
        <v>381.44144120187354</v>
      </c>
      <c r="O216" s="4">
        <v>0.33427947814719006</v>
      </c>
      <c r="P216" s="1" t="str">
        <f>HYPERLINK(".\sm_car_250702_1901\sm_car_250702_1901_215_Ca170TrN_MaCPL_DrSt_ode23t_1.png","figure")</f>
        <v>figure</v>
      </c>
      <c r="Q216" t="s">
        <v>15</v>
      </c>
    </row>
    <row r="217" spans="1:17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76</v>
      </c>
      <c r="J217" t="s">
        <v>147</v>
      </c>
      <c r="K217" t="s">
        <v>23</v>
      </c>
      <c r="L217">
        <v>2779</v>
      </c>
      <c r="M217" s="4">
        <v>52.547204999999998</v>
      </c>
      <c r="N217" s="4">
        <v>167.28474903298962</v>
      </c>
      <c r="O217" s="4">
        <v>8.4164262052621676E-4</v>
      </c>
      <c r="P217" s="1" t="str">
        <f>HYPERLINK(".\sm_car_250702_1901\sm_car_250702_1901_216_Ca171TrN_MaRDR_DrSt_ode23t_1.png","figure")</f>
        <v>figure</v>
      </c>
      <c r="Q217" t="s">
        <v>15</v>
      </c>
    </row>
    <row r="218" spans="1:17" x14ac:dyDescent="0.25">
      <c r="A218">
        <v>217</v>
      </c>
      <c r="B218">
        <v>172</v>
      </c>
      <c r="C218" t="s">
        <v>46</v>
      </c>
      <c r="D218" t="s">
        <v>17</v>
      </c>
      <c r="E218" t="s">
        <v>72</v>
      </c>
      <c r="F218" t="s">
        <v>19</v>
      </c>
      <c r="G218" t="s">
        <v>26</v>
      </c>
      <c r="H218" t="s">
        <v>21</v>
      </c>
      <c r="I218" t="s">
        <v>76</v>
      </c>
      <c r="J218" t="s">
        <v>147</v>
      </c>
      <c r="K218" t="s">
        <v>23</v>
      </c>
      <c r="L218">
        <v>3392</v>
      </c>
      <c r="M218" s="4">
        <v>37.746042299999999</v>
      </c>
      <c r="N218" s="4">
        <v>165.43461306288887</v>
      </c>
      <c r="O218" s="4">
        <v>3.6532835725676339E-4</v>
      </c>
      <c r="P218" s="1" t="str">
        <f>HYPERLINK(".\sm_car_250702_1901\sm_car_250702_1901_217_Ca172TrN_MaRDR_DrSt_ode23t_1.png","figure")</f>
        <v>figure</v>
      </c>
      <c r="Q218" t="s">
        <v>15</v>
      </c>
    </row>
    <row r="219" spans="1:17" x14ac:dyDescent="0.25">
      <c r="A219">
        <v>218</v>
      </c>
      <c r="B219">
        <v>139</v>
      </c>
      <c r="C219" t="s">
        <v>45</v>
      </c>
      <c r="D219" t="s">
        <v>17</v>
      </c>
      <c r="E219" t="s">
        <v>18</v>
      </c>
      <c r="F219" t="s">
        <v>19</v>
      </c>
      <c r="G219" t="s">
        <v>26</v>
      </c>
      <c r="H219" t="s">
        <v>21</v>
      </c>
      <c r="I219" t="s">
        <v>77</v>
      </c>
      <c r="J219" t="s">
        <v>147</v>
      </c>
      <c r="K219" t="s">
        <v>23</v>
      </c>
      <c r="L219">
        <v>2906</v>
      </c>
      <c r="M219" s="4">
        <v>40.755164499999999</v>
      </c>
      <c r="N219" s="4">
        <v>191.4217326543145</v>
      </c>
      <c r="O219" s="4">
        <v>6.4821567121972656E-4</v>
      </c>
      <c r="P219" s="1" t="str">
        <f>HYPERLINK(".\sm_car_250702_1901\sm_car_250702_1901_218_Ca139TrN_MaZRR_DrSt_ode23t_1.png","figure")</f>
        <v>figure</v>
      </c>
      <c r="Q219" t="s">
        <v>15</v>
      </c>
    </row>
    <row r="220" spans="1:17" x14ac:dyDescent="0.25">
      <c r="A220">
        <v>219</v>
      </c>
      <c r="B220">
        <v>165</v>
      </c>
      <c r="C220" t="s">
        <v>45</v>
      </c>
      <c r="D220" t="s">
        <v>35</v>
      </c>
      <c r="E220" t="s">
        <v>49</v>
      </c>
      <c r="F220" t="s">
        <v>19</v>
      </c>
      <c r="G220" t="s">
        <v>26</v>
      </c>
      <c r="H220" t="s">
        <v>21</v>
      </c>
      <c r="I220" t="s">
        <v>77</v>
      </c>
      <c r="J220" t="s">
        <v>147</v>
      </c>
      <c r="K220" t="s">
        <v>23</v>
      </c>
      <c r="L220">
        <v>3476</v>
      </c>
      <c r="M220" s="4">
        <v>26.778250799999999</v>
      </c>
      <c r="N220" s="4">
        <v>191.47020708191957</v>
      </c>
      <c r="O220" s="4">
        <v>5.498580346316595E-5</v>
      </c>
      <c r="P220" s="1" t="str">
        <f>HYPERLINK(".\sm_car_250702_1901\sm_car_250702_1901_219_Ca165TrN_MaZRR_DrSt_ode23t_1.png","figure")</f>
        <v>figure</v>
      </c>
      <c r="Q220" t="s">
        <v>15</v>
      </c>
    </row>
    <row r="221" spans="1:17" x14ac:dyDescent="0.25">
      <c r="A221">
        <v>220</v>
      </c>
      <c r="B221">
        <v>171</v>
      </c>
      <c r="C221" t="s">
        <v>45</v>
      </c>
      <c r="D221" t="s">
        <v>17</v>
      </c>
      <c r="E221" t="s">
        <v>72</v>
      </c>
      <c r="F221" t="s">
        <v>19</v>
      </c>
      <c r="G221" t="s">
        <v>26</v>
      </c>
      <c r="H221" t="s">
        <v>21</v>
      </c>
      <c r="I221" t="s">
        <v>77</v>
      </c>
      <c r="J221" t="s">
        <v>147</v>
      </c>
      <c r="K221" t="s">
        <v>23</v>
      </c>
      <c r="L221">
        <v>2933</v>
      </c>
      <c r="M221" s="4">
        <v>63.966426900000002</v>
      </c>
      <c r="N221" s="4">
        <v>191.41169012476951</v>
      </c>
      <c r="O221" s="4">
        <v>5.3737312754446604E-4</v>
      </c>
      <c r="P221" s="1" t="str">
        <f>HYPERLINK(".\sm_car_250702_1901\sm_car_250702_1901_220_Ca171TrN_MaZRR_DrSt_ode23t_1.png","figure")</f>
        <v>figure</v>
      </c>
      <c r="Q221" t="s">
        <v>15</v>
      </c>
    </row>
    <row r="222" spans="1:17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78</v>
      </c>
      <c r="J222" t="s">
        <v>147</v>
      </c>
      <c r="K222" t="s">
        <v>23</v>
      </c>
      <c r="L222">
        <v>6293</v>
      </c>
      <c r="M222" s="4">
        <v>29.339163800000001</v>
      </c>
      <c r="N222" s="4">
        <v>-5.9953388792742279</v>
      </c>
      <c r="O222" s="4">
        <v>-6.4569921505137325E-3</v>
      </c>
      <c r="P222" s="1" t="str">
        <f>HYPERLINK(".\sm_car_250702_1901\sm_car_250702_1901_221_Ca170TrN_MaCMP_DrSt_ode23t_1.png","figure")</f>
        <v>figure</v>
      </c>
      <c r="Q222" t="s">
        <v>15</v>
      </c>
    </row>
    <row r="223" spans="1:17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79</v>
      </c>
      <c r="J223" t="s">
        <v>147</v>
      </c>
      <c r="K223" t="s">
        <v>23</v>
      </c>
      <c r="L223">
        <v>1605</v>
      </c>
      <c r="M223" s="4">
        <v>12.5752533</v>
      </c>
      <c r="N223" s="4">
        <v>-5.9941001680240973</v>
      </c>
      <c r="O223" s="4">
        <v>-6.2685584211142429E-3</v>
      </c>
      <c r="P223" s="1" t="str">
        <f>HYPERLINK(".\sm_car_250702_1901\sm_car_250702_1901_222_Ca170TrN_MaCMF_DrSt_ode23t_1.png","figure")</f>
        <v>figure</v>
      </c>
      <c r="Q223" t="s">
        <v>15</v>
      </c>
    </row>
    <row r="224" spans="1:17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80</v>
      </c>
      <c r="J224" t="s">
        <v>147</v>
      </c>
      <c r="K224" t="s">
        <v>23</v>
      </c>
      <c r="L224">
        <v>4646</v>
      </c>
      <c r="M224" s="4">
        <v>49.126052199999997</v>
      </c>
      <c r="N224" s="4">
        <v>-217.74544672769392</v>
      </c>
      <c r="O224" s="4">
        <v>5.8995140240993837</v>
      </c>
      <c r="P224" s="1" t="str">
        <f>HYPERLINK(".\sm_car_250702_1901\sm_car_250702_1901_223_Ca170TrN_MaMPO_DrSt_ode23t_1.png","figure")</f>
        <v>figure</v>
      </c>
      <c r="Q224" t="s">
        <v>15</v>
      </c>
    </row>
    <row r="225" spans="1:17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81</v>
      </c>
      <c r="J225" t="s">
        <v>147</v>
      </c>
      <c r="K225" t="s">
        <v>23</v>
      </c>
      <c r="L225">
        <v>1228</v>
      </c>
      <c r="M225" s="4">
        <v>20.648482099999999</v>
      </c>
      <c r="N225" s="4">
        <v>-13.822130496098715</v>
      </c>
      <c r="O225" s="4">
        <v>0.21961895117132713</v>
      </c>
      <c r="P225" s="1" t="str">
        <f>HYPERLINK(".\sm_car_250702_1901\sm_car_250702_1901_224_Ca170TrN_MaMCI_DrSt_ode23t_1.png","figure")</f>
        <v>figure</v>
      </c>
      <c r="Q225" t="s">
        <v>15</v>
      </c>
    </row>
    <row r="226" spans="1:17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110</v>
      </c>
      <c r="J226" t="s">
        <v>147</v>
      </c>
      <c r="K226" t="s">
        <v>23</v>
      </c>
      <c r="L226">
        <v>3995</v>
      </c>
      <c r="M226" s="4">
        <v>23.745699999999999</v>
      </c>
      <c r="N226" s="4">
        <v>-5.9992263093017977</v>
      </c>
      <c r="O226" s="4">
        <v>-4.6839479980069635E-3</v>
      </c>
      <c r="P226" s="1" t="str">
        <f>HYPERLINK(".\sm_car_250702_1901\sm_car_250702_1901_225_Ca170TrN_MaCHO_DrSt_ode23t_1.png","figure")</f>
        <v>figure</v>
      </c>
      <c r="Q226" t="s">
        <v>15</v>
      </c>
    </row>
    <row r="227" spans="1:17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111</v>
      </c>
      <c r="J227" t="s">
        <v>147</v>
      </c>
      <c r="K227" t="s">
        <v>23</v>
      </c>
      <c r="L227">
        <v>2638</v>
      </c>
      <c r="M227" s="4">
        <v>24.881070000000001</v>
      </c>
      <c r="N227" s="4">
        <v>-5.9917788102547647</v>
      </c>
      <c r="O227" s="4">
        <v>-4.7178908600919731E-3</v>
      </c>
      <c r="P227" s="1" t="str">
        <f>HYPERLINK(".\sm_car_250702_1901\sm_car_250702_1901_226_Ca170TrN_MaCHF_DrSt_ode23t_1.png","figure")</f>
        <v>figure</v>
      </c>
      <c r="Q227" t="s">
        <v>15</v>
      </c>
    </row>
    <row r="228" spans="1:17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82</v>
      </c>
      <c r="J228" t="s">
        <v>147</v>
      </c>
      <c r="K228" t="s">
        <v>23</v>
      </c>
      <c r="L228">
        <v>9307</v>
      </c>
      <c r="M228" s="4">
        <v>44.867418800000003</v>
      </c>
      <c r="N228" s="4">
        <v>-769.66354011966166</v>
      </c>
      <c r="O228" s="4">
        <v>639.15588590338848</v>
      </c>
      <c r="P228" s="1" t="str">
        <f>HYPERLINK(".\sm_car_250702_1901\sm_car_250702_1901_227_Ca170TrN_MaCKY_DrSt_ode23t_1.png","figure")</f>
        <v>figure</v>
      </c>
      <c r="Q228" t="s">
        <v>15</v>
      </c>
    </row>
    <row r="229" spans="1:17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83</v>
      </c>
      <c r="J229" t="s">
        <v>147</v>
      </c>
      <c r="K229" t="s">
        <v>23</v>
      </c>
      <c r="L229">
        <v>1687</v>
      </c>
      <c r="M229" s="4">
        <v>17.045094200000001</v>
      </c>
      <c r="N229" s="4">
        <v>-772.74120064035083</v>
      </c>
      <c r="O229" s="4">
        <v>640.77958077588482</v>
      </c>
      <c r="P229" s="1" t="str">
        <f>HYPERLINK(".\sm_car_250702_1901\sm_car_250702_1901_228_Ca170TrN_MaCKF_DrSt_ode23t_1.png","figure")</f>
        <v>figure</v>
      </c>
      <c r="Q229" t="s">
        <v>15</v>
      </c>
    </row>
    <row r="230" spans="1:17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84</v>
      </c>
      <c r="J230" t="s">
        <v>147</v>
      </c>
      <c r="K230" t="s">
        <v>23</v>
      </c>
      <c r="L230">
        <v>2319</v>
      </c>
      <c r="M230" s="4">
        <v>25.935536200000001</v>
      </c>
      <c r="N230" s="4">
        <v>189.07196406063554</v>
      </c>
      <c r="O230" s="4">
        <v>308.54110084460774</v>
      </c>
      <c r="P230" s="1" t="str">
        <f>HYPERLINK(".\sm_car_250702_1901\sm_car_250702_1901_229_Ca170TrN_MaCNN_DrSt_ode23t_1.png","figure")</f>
        <v>figure</v>
      </c>
      <c r="Q230" t="s">
        <v>15</v>
      </c>
    </row>
    <row r="231" spans="1:17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85</v>
      </c>
      <c r="J231" t="s">
        <v>147</v>
      </c>
      <c r="K231" t="s">
        <v>23</v>
      </c>
      <c r="L231">
        <v>3545</v>
      </c>
      <c r="M231" s="4">
        <v>114.3686182</v>
      </c>
      <c r="N231" s="4">
        <v>2981.1603261903319</v>
      </c>
      <c r="O231" s="4">
        <v>-3078.2854065527836</v>
      </c>
      <c r="P231" s="1" t="str">
        <f>HYPERLINK(".\sm_car_250702_1901\sm_car_250702_1901_230_Ca170TrN_MaCNF_DrSt_ode23t_1.png","figure")</f>
        <v>figure</v>
      </c>
      <c r="Q231" t="s">
        <v>15</v>
      </c>
    </row>
    <row r="232" spans="1:17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86</v>
      </c>
      <c r="J232" t="s">
        <v>147</v>
      </c>
      <c r="K232" t="s">
        <v>23</v>
      </c>
      <c r="L232">
        <v>3034</v>
      </c>
      <c r="M232" s="4">
        <v>19.760308299999998</v>
      </c>
      <c r="N232" s="4">
        <v>497.38001131090192</v>
      </c>
      <c r="O232" s="4">
        <v>-175.90218719272906</v>
      </c>
      <c r="P232" s="1" t="str">
        <f>HYPERLINK(".\sm_car_250702_1901\sm_car_250702_1901_231_Ca170TrN_MaCSZ_DrSt_ode23t_1.png","figure")</f>
        <v>figure</v>
      </c>
      <c r="Q232" t="s">
        <v>15</v>
      </c>
    </row>
    <row r="233" spans="1:17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87</v>
      </c>
      <c r="J233" t="s">
        <v>147</v>
      </c>
      <c r="K233" t="s">
        <v>23</v>
      </c>
      <c r="L233">
        <v>5137</v>
      </c>
      <c r="M233" s="4">
        <v>111.0373637</v>
      </c>
      <c r="N233" s="4">
        <v>-8.9455587765286069</v>
      </c>
      <c r="O233" s="4">
        <v>7.9689978505010171E-3</v>
      </c>
      <c r="P233" s="1" t="str">
        <f>HYPERLINK(".\sm_car_250702_1901\sm_car_250702_1901_232_Ca170TrN_MaCSF_DrSt_ode23t_1.png","figure")</f>
        <v>figure</v>
      </c>
      <c r="Q233" t="s">
        <v>15</v>
      </c>
    </row>
    <row r="234" spans="1:17" x14ac:dyDescent="0.25">
      <c r="A234">
        <v>233</v>
      </c>
      <c r="B234">
        <v>170</v>
      </c>
      <c r="C234" t="s">
        <v>45</v>
      </c>
      <c r="D234" t="s">
        <v>35</v>
      </c>
      <c r="E234" t="s">
        <v>49</v>
      </c>
      <c r="F234" t="s">
        <v>19</v>
      </c>
      <c r="G234" t="s">
        <v>20</v>
      </c>
      <c r="H234" t="s">
        <v>21</v>
      </c>
      <c r="I234" t="s">
        <v>88</v>
      </c>
      <c r="J234" t="s">
        <v>147</v>
      </c>
      <c r="K234" t="s">
        <v>23</v>
      </c>
      <c r="L234">
        <v>1753</v>
      </c>
      <c r="M234" s="4">
        <v>30.911082799999999</v>
      </c>
      <c r="N234" s="4">
        <v>248.59866607318753</v>
      </c>
      <c r="O234" s="4">
        <v>391.51739709169829</v>
      </c>
      <c r="P234" s="1" t="str">
        <f>HYPERLINK(".\sm_car_250702_1901\sm_car_250702_1901_233_Ca170TrN_MaCPU_DrSt_ode23t_1.png","figure")</f>
        <v>figure</v>
      </c>
      <c r="Q234" t="s">
        <v>15</v>
      </c>
    </row>
    <row r="235" spans="1:17" x14ac:dyDescent="0.25">
      <c r="A235">
        <v>234</v>
      </c>
      <c r="B235">
        <v>170</v>
      </c>
      <c r="C235" t="s">
        <v>45</v>
      </c>
      <c r="D235" t="s">
        <v>35</v>
      </c>
      <c r="E235" t="s">
        <v>49</v>
      </c>
      <c r="F235" t="s">
        <v>19</v>
      </c>
      <c r="G235" t="s">
        <v>20</v>
      </c>
      <c r="H235" t="s">
        <v>21</v>
      </c>
      <c r="I235" t="s">
        <v>89</v>
      </c>
      <c r="J235" t="s">
        <v>147</v>
      </c>
      <c r="K235" t="s">
        <v>23</v>
      </c>
      <c r="L235">
        <v>2719</v>
      </c>
      <c r="M235" s="4">
        <v>70.916670699999997</v>
      </c>
      <c r="N235" s="4">
        <v>185.43674028466853</v>
      </c>
      <c r="O235" s="4">
        <v>-188.68948566258041</v>
      </c>
      <c r="P235" s="1" t="str">
        <f>HYPERLINK(".\sm_car_250702_1901\sm_car_250702_1901_234_Ca170TrN_MaCPD_DrSt_ode23t_1.png","figure")</f>
        <v>figure</v>
      </c>
      <c r="Q235" t="s">
        <v>15</v>
      </c>
    </row>
    <row r="236" spans="1:17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79</v>
      </c>
      <c r="J236" t="s">
        <v>147</v>
      </c>
      <c r="K236" t="s">
        <v>23</v>
      </c>
      <c r="L236">
        <v>1619</v>
      </c>
      <c r="M236" s="4">
        <v>4.8276823000000002</v>
      </c>
      <c r="N236" s="4">
        <v>-5.9969452864204458</v>
      </c>
      <c r="O236" s="4">
        <v>-6.2529431866330748E-3</v>
      </c>
      <c r="P236" s="1" t="str">
        <f>HYPERLINK(".\sm_car_250702_1901\sm_car_250702_1901_235_Ca202TrN_MaCMF_DrSt_ode23t_1.png","figure")</f>
        <v>figure</v>
      </c>
      <c r="Q236" t="s">
        <v>15</v>
      </c>
    </row>
    <row r="237" spans="1:17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80</v>
      </c>
      <c r="J237" t="s">
        <v>147</v>
      </c>
      <c r="K237" t="s">
        <v>23</v>
      </c>
      <c r="L237">
        <v>4623</v>
      </c>
      <c r="M237" s="4">
        <v>29.053804899999999</v>
      </c>
      <c r="N237" s="4">
        <v>-216.54429726377631</v>
      </c>
      <c r="O237" s="4">
        <v>5.7101571888436915</v>
      </c>
      <c r="P237" s="1" t="str">
        <f>HYPERLINK(".\sm_car_250702_1901\sm_car_250702_1901_236_Ca202TrN_MaMPO_DrSt_ode23t_1.png","figure")</f>
        <v>figure</v>
      </c>
      <c r="Q237" t="s">
        <v>15</v>
      </c>
    </row>
    <row r="238" spans="1:17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81</v>
      </c>
      <c r="J238" t="s">
        <v>147</v>
      </c>
      <c r="K238" t="s">
        <v>23</v>
      </c>
      <c r="L238">
        <v>1255</v>
      </c>
      <c r="M238" s="4">
        <v>11.2733094</v>
      </c>
      <c r="N238" s="4">
        <v>-13.819472308544832</v>
      </c>
      <c r="O238" s="4">
        <v>0.22231418757553456</v>
      </c>
      <c r="P238" s="1" t="str">
        <f>HYPERLINK(".\sm_car_250702_1901\sm_car_250702_1901_237_Ca202TrN_MaMCI_DrSt_ode23t_1.png","figure")</f>
        <v>figure</v>
      </c>
      <c r="Q238" t="s">
        <v>15</v>
      </c>
    </row>
    <row r="239" spans="1:17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83</v>
      </c>
      <c r="J239" t="s">
        <v>147</v>
      </c>
      <c r="K239" t="s">
        <v>23</v>
      </c>
      <c r="L239">
        <v>2889</v>
      </c>
      <c r="M239" s="4">
        <v>10.6606085</v>
      </c>
      <c r="N239" s="4">
        <v>-5.9982779056424729</v>
      </c>
      <c r="O239" s="4">
        <v>-2.617892359980489E-2</v>
      </c>
      <c r="P239" s="1" t="str">
        <f>HYPERLINK(".\sm_car_250702_1901\sm_car_250702_1901_238_Ca202TrN_MaCKF_DrSt_ode23t_1.png","figure")</f>
        <v>figure</v>
      </c>
      <c r="Q239" t="s">
        <v>15</v>
      </c>
    </row>
    <row r="240" spans="1:17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85</v>
      </c>
      <c r="J240" t="s">
        <v>147</v>
      </c>
      <c r="K240" t="s">
        <v>23</v>
      </c>
      <c r="L240">
        <v>8372</v>
      </c>
      <c r="M240" s="4">
        <v>180.63348790000001</v>
      </c>
      <c r="N240" s="4">
        <v>-8.9855045178693036</v>
      </c>
      <c r="O240" s="4">
        <v>2.1702426037549322E-2</v>
      </c>
      <c r="P240" s="1" t="str">
        <f>HYPERLINK(".\sm_car_250702_1901\sm_car_250702_1901_239_Ca202TrN_MaCNF_DrSt_ode23t_1.png","figure")</f>
        <v>figure</v>
      </c>
      <c r="Q240" t="s">
        <v>15</v>
      </c>
    </row>
    <row r="241" spans="1:17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87</v>
      </c>
      <c r="J241" t="s">
        <v>147</v>
      </c>
      <c r="K241" t="s">
        <v>23</v>
      </c>
      <c r="L241">
        <v>5157</v>
      </c>
      <c r="M241" s="4">
        <v>64.145570000000006</v>
      </c>
      <c r="N241" s="4">
        <v>-8.9828817044058251</v>
      </c>
      <c r="O241" s="4">
        <v>8.1297775886159853E-3</v>
      </c>
      <c r="P241" s="1" t="str">
        <f>HYPERLINK(".\sm_car_250702_1901\sm_car_250702_1901_240_Ca202TrN_MaCSF_DrSt_ode23t_1.png","figure")</f>
        <v>figure</v>
      </c>
      <c r="Q241" t="s">
        <v>15</v>
      </c>
    </row>
    <row r="242" spans="1:17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78</v>
      </c>
      <c r="J242" t="s">
        <v>147</v>
      </c>
      <c r="K242" t="s">
        <v>23</v>
      </c>
      <c r="L242">
        <v>7032</v>
      </c>
      <c r="M242" s="4">
        <v>23.163494499999999</v>
      </c>
      <c r="N242" s="4">
        <v>-5.9996499676851469</v>
      </c>
      <c r="O242" s="4">
        <v>-6.2221608676105416E-3</v>
      </c>
      <c r="P242" s="1" t="str">
        <f>HYPERLINK(".\sm_car_250702_1901\sm_car_250702_1901_241_Ca202TrN_MaCMP_DrSt_ode23t_1.png","figure")</f>
        <v>figure</v>
      </c>
      <c r="Q242" t="s">
        <v>15</v>
      </c>
    </row>
    <row r="243" spans="1:17" x14ac:dyDescent="0.25">
      <c r="A243">
        <v>242</v>
      </c>
      <c r="B243">
        <v>202</v>
      </c>
      <c r="C243" t="s">
        <v>45</v>
      </c>
      <c r="D243" t="s">
        <v>35</v>
      </c>
      <c r="E243" t="s">
        <v>107</v>
      </c>
      <c r="F243" t="s">
        <v>19</v>
      </c>
      <c r="G243" t="s">
        <v>20</v>
      </c>
      <c r="H243" t="s">
        <v>21</v>
      </c>
      <c r="I243" t="s">
        <v>82</v>
      </c>
      <c r="J243" t="s">
        <v>147</v>
      </c>
      <c r="K243" t="s">
        <v>23</v>
      </c>
      <c r="L243">
        <v>20141</v>
      </c>
      <c r="M243" s="4">
        <v>70.963002299999999</v>
      </c>
      <c r="N243" s="4">
        <v>-5.9944963798943443</v>
      </c>
      <c r="O243" s="4">
        <v>-2.8048453251573117E-2</v>
      </c>
      <c r="P243" s="1" t="str">
        <f>HYPERLINK(".\sm_car_250702_1901\sm_car_250702_1901_242_Ca202TrN_MaCKY_DrSt_ode23t_1.png","figure")</f>
        <v>figure</v>
      </c>
      <c r="Q243" t="s">
        <v>15</v>
      </c>
    </row>
    <row r="244" spans="1:17" x14ac:dyDescent="0.25">
      <c r="A244">
        <v>243</v>
      </c>
      <c r="B244">
        <v>202</v>
      </c>
      <c r="C244" t="s">
        <v>45</v>
      </c>
      <c r="D244" t="s">
        <v>35</v>
      </c>
      <c r="E244" t="s">
        <v>107</v>
      </c>
      <c r="F244" t="s">
        <v>19</v>
      </c>
      <c r="G244" t="s">
        <v>20</v>
      </c>
      <c r="H244" t="s">
        <v>21</v>
      </c>
      <c r="I244" t="s">
        <v>75</v>
      </c>
      <c r="J244" t="s">
        <v>147</v>
      </c>
      <c r="K244" t="s">
        <v>23</v>
      </c>
      <c r="L244">
        <v>454</v>
      </c>
      <c r="M244" s="4">
        <v>2.4662541</v>
      </c>
      <c r="N244" s="4">
        <v>381.0426185377151</v>
      </c>
      <c r="O244" s="4">
        <v>0.33348129452966324</v>
      </c>
      <c r="P244" s="1" t="str">
        <f>HYPERLINK(".\sm_car_250702_1901\sm_car_250702_1901_243_Ca202TrN_MaCPL_DrSt_ode23t_1.png","figure")</f>
        <v>figure</v>
      </c>
      <c r="Q244" t="s">
        <v>15</v>
      </c>
    </row>
    <row r="245" spans="1:17" x14ac:dyDescent="0.25">
      <c r="A245">
        <v>244</v>
      </c>
      <c r="B245">
        <v>140</v>
      </c>
      <c r="C245" t="s">
        <v>45</v>
      </c>
      <c r="D245" t="s">
        <v>17</v>
      </c>
      <c r="E245" t="s">
        <v>49</v>
      </c>
      <c r="F245" t="s">
        <v>19</v>
      </c>
      <c r="G245" t="s">
        <v>26</v>
      </c>
      <c r="H245" t="s">
        <v>21</v>
      </c>
      <c r="I245" t="s">
        <v>112</v>
      </c>
      <c r="J245" t="s">
        <v>147</v>
      </c>
      <c r="K245" t="s">
        <v>23</v>
      </c>
      <c r="L245">
        <v>2597</v>
      </c>
      <c r="M245" s="4">
        <v>42.200681899999999</v>
      </c>
      <c r="N245" s="4">
        <v>191.36645226672414</v>
      </c>
      <c r="O245" s="4">
        <v>7.161502926725337E-4</v>
      </c>
      <c r="P245" s="1" t="str">
        <f>HYPERLINK(".\sm_car_250702_1901\sm_car_250702_1901_244_Ca140TrN_MaCRR_DrSt_ode23t_1.png","figure")</f>
        <v>figure</v>
      </c>
      <c r="Q245" t="s">
        <v>15</v>
      </c>
    </row>
    <row r="246" spans="1:17" x14ac:dyDescent="0.25">
      <c r="A246">
        <v>245</v>
      </c>
      <c r="B246">
        <v>189</v>
      </c>
      <c r="C246" t="s">
        <v>45</v>
      </c>
      <c r="D246" t="s">
        <v>17</v>
      </c>
      <c r="E246" t="s">
        <v>107</v>
      </c>
      <c r="F246" t="s">
        <v>19</v>
      </c>
      <c r="G246" t="s">
        <v>26</v>
      </c>
      <c r="H246" t="s">
        <v>21</v>
      </c>
      <c r="I246" t="s">
        <v>112</v>
      </c>
      <c r="J246" t="s">
        <v>147</v>
      </c>
      <c r="K246" t="s">
        <v>23</v>
      </c>
      <c r="L246">
        <v>3174</v>
      </c>
      <c r="M246" s="4">
        <v>37.105665399999999</v>
      </c>
      <c r="N246" s="4">
        <v>191.38251399337784</v>
      </c>
      <c r="O246" s="4">
        <v>6.9311768016670186E-4</v>
      </c>
      <c r="P246" s="1" t="str">
        <f>HYPERLINK(".\sm_car_250702_1901\sm_car_250702_1901_245_Ca189TrN_MaCRR_DrSt_ode23t_1.png","figure")</f>
        <v>figure</v>
      </c>
      <c r="Q246" t="s">
        <v>15</v>
      </c>
    </row>
    <row r="247" spans="1:17" x14ac:dyDescent="0.25">
      <c r="A247">
        <v>246</v>
      </c>
      <c r="B247">
        <v>189</v>
      </c>
      <c r="C247" t="s">
        <v>45</v>
      </c>
      <c r="D247" t="s">
        <v>17</v>
      </c>
      <c r="E247" t="s">
        <v>107</v>
      </c>
      <c r="F247" t="s">
        <v>19</v>
      </c>
      <c r="G247" t="s">
        <v>26</v>
      </c>
      <c r="H247" t="s">
        <v>21</v>
      </c>
      <c r="I247" t="s">
        <v>120</v>
      </c>
      <c r="J247" t="s">
        <v>147</v>
      </c>
      <c r="K247" t="s">
        <v>23</v>
      </c>
      <c r="L247">
        <v>10340</v>
      </c>
      <c r="M247" s="4">
        <v>110.7419173</v>
      </c>
      <c r="N247" s="4">
        <v>208.81037969620593</v>
      </c>
      <c r="O247" s="4">
        <v>-0.76909578417184221</v>
      </c>
      <c r="P247" s="1" t="str">
        <f>HYPERLINK(".\sm_car_250702_1901\sm_car_250702_1901_246_Ca189TrN_MaGSU_DrSt_ode23t_1.png","figure")</f>
        <v>figure</v>
      </c>
      <c r="Q247" t="s">
        <v>15</v>
      </c>
    </row>
    <row r="248" spans="1:17" x14ac:dyDescent="0.25">
      <c r="A248">
        <v>247</v>
      </c>
      <c r="B248">
        <v>173</v>
      </c>
      <c r="C248" t="s">
        <v>45</v>
      </c>
      <c r="D248" t="s">
        <v>35</v>
      </c>
      <c r="E248" t="s">
        <v>49</v>
      </c>
      <c r="F248" t="s">
        <v>19</v>
      </c>
      <c r="G248" t="s">
        <v>90</v>
      </c>
      <c r="H248" t="s">
        <v>21</v>
      </c>
      <c r="I248" t="s">
        <v>91</v>
      </c>
      <c r="J248" t="s">
        <v>147</v>
      </c>
      <c r="K248" t="s">
        <v>92</v>
      </c>
      <c r="L248">
        <v>1656</v>
      </c>
      <c r="M248" s="4">
        <v>79.377377300000006</v>
      </c>
      <c r="N248" s="4">
        <v>51.300194634585687</v>
      </c>
      <c r="O248" s="4">
        <v>9.1611635485344036E-3</v>
      </c>
      <c r="P248" s="1" t="str">
        <f>HYPERLINK(".\sm_car_250702_1901\sm_car_250702_1901_247_Ca173TrN_MaDCA_DrSt_daessc_1.png","figure")</f>
        <v>figure</v>
      </c>
      <c r="Q248" t="s">
        <v>15</v>
      </c>
    </row>
    <row r="249" spans="1:17" x14ac:dyDescent="0.25">
      <c r="A249">
        <v>248</v>
      </c>
      <c r="B249">
        <v>173</v>
      </c>
      <c r="C249" t="s">
        <v>45</v>
      </c>
      <c r="D249" t="s">
        <v>35</v>
      </c>
      <c r="E249" t="s">
        <v>49</v>
      </c>
      <c r="F249" t="s">
        <v>19</v>
      </c>
      <c r="G249" t="s">
        <v>90</v>
      </c>
      <c r="H249" t="s">
        <v>21</v>
      </c>
      <c r="I249" t="s">
        <v>93</v>
      </c>
      <c r="J249" t="s">
        <v>147</v>
      </c>
      <c r="K249" t="s">
        <v>92</v>
      </c>
      <c r="L249">
        <v>4125</v>
      </c>
      <c r="M249" s="4">
        <v>123.810035</v>
      </c>
      <c r="N249" s="4">
        <v>980.46864218681753</v>
      </c>
      <c r="O249" s="4">
        <v>0.73504281151003803</v>
      </c>
      <c r="P249" s="1" t="str">
        <f>HYPERLINK(".\sm_car_250702_1901\sm_car_250702_1901_248_Ca173TrN_MaDC1_DrSt_daessc_1.png","figure")</f>
        <v>figure</v>
      </c>
      <c r="Q249" t="s">
        <v>15</v>
      </c>
    </row>
    <row r="250" spans="1:17" x14ac:dyDescent="0.25">
      <c r="A250">
        <v>249</v>
      </c>
      <c r="B250">
        <v>165</v>
      </c>
      <c r="C250" t="s">
        <v>45</v>
      </c>
      <c r="D250" t="s">
        <v>35</v>
      </c>
      <c r="E250" t="s">
        <v>49</v>
      </c>
      <c r="F250" t="s">
        <v>19</v>
      </c>
      <c r="G250" t="s">
        <v>26</v>
      </c>
      <c r="H250" t="s">
        <v>21</v>
      </c>
      <c r="I250" t="s">
        <v>91</v>
      </c>
      <c r="J250" t="s">
        <v>147</v>
      </c>
      <c r="K250" t="s">
        <v>23</v>
      </c>
      <c r="L250">
        <v>339</v>
      </c>
      <c r="M250" s="4">
        <v>3.4648496999999998</v>
      </c>
      <c r="N250" s="4">
        <v>53.509091168298326</v>
      </c>
      <c r="O250" s="4">
        <v>9.9068185230843861E-3</v>
      </c>
      <c r="P250" s="1" t="str">
        <f>HYPERLINK(".\sm_car_250702_1901\sm_car_250702_1901_249_Ca165TrN_MaDCA_DrSt_ode23t_1.png","figure")</f>
        <v>figure</v>
      </c>
      <c r="Q250" t="s">
        <v>15</v>
      </c>
    </row>
    <row r="251" spans="1:17" x14ac:dyDescent="0.25">
      <c r="A251">
        <v>250</v>
      </c>
      <c r="B251">
        <v>165</v>
      </c>
      <c r="C251" t="s">
        <v>45</v>
      </c>
      <c r="D251" t="s">
        <v>35</v>
      </c>
      <c r="E251" t="s">
        <v>49</v>
      </c>
      <c r="F251" t="s">
        <v>19</v>
      </c>
      <c r="G251" t="s">
        <v>26</v>
      </c>
      <c r="H251" t="s">
        <v>21</v>
      </c>
      <c r="I251" t="s">
        <v>93</v>
      </c>
      <c r="J251" t="s">
        <v>147</v>
      </c>
      <c r="K251" t="s">
        <v>23</v>
      </c>
      <c r="L251">
        <v>1194</v>
      </c>
      <c r="M251" s="4">
        <v>7.5757465000000002</v>
      </c>
      <c r="N251" s="4">
        <v>992.65484217918038</v>
      </c>
      <c r="O251" s="4">
        <v>0.83978818332366378</v>
      </c>
      <c r="P251" s="1" t="str">
        <f>HYPERLINK(".\sm_car_250702_1901\sm_car_250702_1901_250_Ca165TrN_MaDC1_DrSt_ode23t_1.png","figure")</f>
        <v>figure</v>
      </c>
      <c r="Q251" t="s">
        <v>15</v>
      </c>
    </row>
    <row r="252" spans="1:17" x14ac:dyDescent="0.25">
      <c r="A252">
        <v>251</v>
      </c>
      <c r="B252">
        <v>196</v>
      </c>
      <c r="C252" t="s">
        <v>45</v>
      </c>
      <c r="D252" t="s">
        <v>35</v>
      </c>
      <c r="E252" t="s">
        <v>107</v>
      </c>
      <c r="F252" t="s">
        <v>19</v>
      </c>
      <c r="G252" t="s">
        <v>90</v>
      </c>
      <c r="H252" t="s">
        <v>21</v>
      </c>
      <c r="I252" t="s">
        <v>93</v>
      </c>
      <c r="J252" t="s">
        <v>147</v>
      </c>
      <c r="K252" t="s">
        <v>92</v>
      </c>
      <c r="L252">
        <v>4062</v>
      </c>
      <c r="M252" s="4">
        <v>61.164729000000001</v>
      </c>
      <c r="N252" s="4">
        <v>980.4598251827299</v>
      </c>
      <c r="O252" s="4">
        <v>0.73502991906345905</v>
      </c>
      <c r="P252" s="1" t="str">
        <f>HYPERLINK(".\sm_car_250702_1901\sm_car_250702_1901_251_Ca196TrN_MaDC1_DrSt_daessc_1.png","figure")</f>
        <v>figure</v>
      </c>
      <c r="Q252" t="s">
        <v>15</v>
      </c>
    </row>
    <row r="253" spans="1:17" x14ac:dyDescent="0.25">
      <c r="A253">
        <v>252</v>
      </c>
      <c r="B253">
        <v>179</v>
      </c>
      <c r="C253" t="s">
        <v>45</v>
      </c>
      <c r="D253" t="s">
        <v>57</v>
      </c>
      <c r="E253" t="s">
        <v>18</v>
      </c>
      <c r="F253" t="s">
        <v>19</v>
      </c>
      <c r="G253" t="s">
        <v>26</v>
      </c>
      <c r="H253" t="s">
        <v>21</v>
      </c>
      <c r="I253" t="s">
        <v>22</v>
      </c>
      <c r="J253" t="s">
        <v>147</v>
      </c>
      <c r="K253" t="s">
        <v>23</v>
      </c>
      <c r="L253">
        <v>494</v>
      </c>
      <c r="M253" s="4">
        <v>5.2167684000000003</v>
      </c>
      <c r="N253" s="4">
        <v>147.83081834494126</v>
      </c>
      <c r="O253" s="4">
        <v>9.6744701685037487E-2</v>
      </c>
      <c r="P253" s="1" t="str">
        <f>HYPERLINK(".\sm_car_250702_1901\sm_car_250702_1901_252_Ca179TrN_MaWOT_DrSt_ode23t_1.png","figure")</f>
        <v>figure</v>
      </c>
      <c r="Q253" t="s">
        <v>15</v>
      </c>
    </row>
    <row r="254" spans="1:17" x14ac:dyDescent="0.25">
      <c r="A254">
        <v>253</v>
      </c>
      <c r="B254">
        <v>180</v>
      </c>
      <c r="C254" t="s">
        <v>45</v>
      </c>
      <c r="D254" t="s">
        <v>57</v>
      </c>
      <c r="E254" t="s">
        <v>49</v>
      </c>
      <c r="F254" t="s">
        <v>19</v>
      </c>
      <c r="G254" t="s">
        <v>26</v>
      </c>
      <c r="H254" t="s">
        <v>21</v>
      </c>
      <c r="I254" t="s">
        <v>22</v>
      </c>
      <c r="J254" t="s">
        <v>147</v>
      </c>
      <c r="K254" t="s">
        <v>23</v>
      </c>
      <c r="L254">
        <v>513</v>
      </c>
      <c r="M254" s="4">
        <v>7.0788707999999998</v>
      </c>
      <c r="N254" s="4">
        <v>147.85042470038238</v>
      </c>
      <c r="O254" s="4">
        <v>9.6068353903081591E-2</v>
      </c>
      <c r="P254" s="1" t="str">
        <f>HYPERLINK(".\sm_car_250702_1901\sm_car_250702_1901_253_Ca180TrN_MaWOT_DrSt_ode23t_1.png","figure")</f>
        <v>figure</v>
      </c>
      <c r="Q254" t="s">
        <v>15</v>
      </c>
    </row>
    <row r="255" spans="1:17" x14ac:dyDescent="0.25">
      <c r="A255">
        <v>254</v>
      </c>
      <c r="B255">
        <v>197</v>
      </c>
      <c r="C255" t="s">
        <v>45</v>
      </c>
      <c r="D255" t="s">
        <v>57</v>
      </c>
      <c r="E255" t="s">
        <v>107</v>
      </c>
      <c r="F255" t="s">
        <v>19</v>
      </c>
      <c r="G255" t="s">
        <v>26</v>
      </c>
      <c r="H255" t="s">
        <v>21</v>
      </c>
      <c r="I255" t="s">
        <v>22</v>
      </c>
      <c r="J255" t="s">
        <v>147</v>
      </c>
      <c r="K255" t="s">
        <v>23</v>
      </c>
      <c r="L255">
        <v>456</v>
      </c>
      <c r="M255" s="4">
        <v>2.0900371999999998</v>
      </c>
      <c r="N255" s="4">
        <v>147.84379209795554</v>
      </c>
      <c r="O255" s="4">
        <v>9.5944852227656988E-2</v>
      </c>
      <c r="P255" s="1" t="str">
        <f>HYPERLINK(".\sm_car_250702_1901\sm_car_250702_1901_254_Ca197TrN_MaWOT_DrSt_ode23t_1.png","figure")</f>
        <v>figure</v>
      </c>
      <c r="Q255" t="s">
        <v>15</v>
      </c>
    </row>
    <row r="256" spans="1:17" x14ac:dyDescent="0.25">
      <c r="A256">
        <v>255</v>
      </c>
      <c r="B256">
        <v>182</v>
      </c>
      <c r="C256" t="s">
        <v>45</v>
      </c>
      <c r="D256" t="s">
        <v>17</v>
      </c>
      <c r="E256" t="s">
        <v>49</v>
      </c>
      <c r="F256" t="s">
        <v>19</v>
      </c>
      <c r="G256" t="s">
        <v>26</v>
      </c>
      <c r="H256" t="s">
        <v>21</v>
      </c>
      <c r="I256" t="s">
        <v>64</v>
      </c>
      <c r="J256" t="s">
        <v>147</v>
      </c>
      <c r="K256" t="s">
        <v>23</v>
      </c>
      <c r="L256">
        <v>427</v>
      </c>
      <c r="M256" s="4">
        <v>12.975238900000001</v>
      </c>
      <c r="N256" s="4">
        <v>62.246787853675997</v>
      </c>
      <c r="O256" s="4">
        <v>-24.540495971810813</v>
      </c>
      <c r="P256" s="1" t="str">
        <f>HYPERLINK(".\sm_car_250702_1901\sm_car_250702_1901_255_Ca182TrN_MaTUR_DrSt_ode23t_1.png","figure")</f>
        <v>figure</v>
      </c>
      <c r="Q256" t="s">
        <v>15</v>
      </c>
    </row>
    <row r="257" spans="1:17" x14ac:dyDescent="0.25">
      <c r="A257">
        <v>256</v>
      </c>
      <c r="B257">
        <v>203</v>
      </c>
      <c r="C257" t="s">
        <v>45</v>
      </c>
      <c r="D257" t="s">
        <v>17</v>
      </c>
      <c r="E257" t="s">
        <v>107</v>
      </c>
      <c r="F257" t="s">
        <v>19</v>
      </c>
      <c r="G257" t="s">
        <v>26</v>
      </c>
      <c r="H257" t="s">
        <v>21</v>
      </c>
      <c r="I257" t="s">
        <v>64</v>
      </c>
      <c r="J257" t="s">
        <v>147</v>
      </c>
      <c r="K257" t="s">
        <v>23</v>
      </c>
      <c r="L257">
        <v>366</v>
      </c>
      <c r="M257" s="4">
        <v>4.6323121</v>
      </c>
      <c r="N257" s="4">
        <v>62.255068392920236</v>
      </c>
      <c r="O257" s="4">
        <v>-24.556803467384999</v>
      </c>
      <c r="P257" s="1" t="str">
        <f>HYPERLINK(".\sm_car_250702_1901\sm_car_250702_1901_256_Ca203TrN_MaTUR_DrSt_ode23t_1.png","figure")</f>
        <v>figure</v>
      </c>
      <c r="Q257" t="s">
        <v>15</v>
      </c>
    </row>
    <row r="258" spans="1:17" x14ac:dyDescent="0.25">
      <c r="A258">
        <v>257</v>
      </c>
      <c r="B258">
        <v>185</v>
      </c>
      <c r="C258" t="s">
        <v>45</v>
      </c>
      <c r="D258" t="s">
        <v>17</v>
      </c>
      <c r="E258" t="s">
        <v>18</v>
      </c>
      <c r="F258" t="s">
        <v>19</v>
      </c>
      <c r="G258" t="s">
        <v>26</v>
      </c>
      <c r="H258" t="s">
        <v>21</v>
      </c>
      <c r="I258" t="s">
        <v>64</v>
      </c>
      <c r="J258" t="s">
        <v>147</v>
      </c>
      <c r="K258" t="s">
        <v>23</v>
      </c>
      <c r="L258">
        <v>534</v>
      </c>
      <c r="M258" s="4">
        <v>23.410205900000001</v>
      </c>
      <c r="N258" s="4">
        <v>112.71723794360645</v>
      </c>
      <c r="O258" s="4">
        <v>-79.238184011289022</v>
      </c>
      <c r="P258" s="1" t="str">
        <f>HYPERLINK(".\sm_car_250702_1901\sm_car_250702_1901_257_Ca185TrN_MaTUR_DrSt_ode23t_1.png","figure")</f>
        <v>figure</v>
      </c>
      <c r="Q258" t="s">
        <v>15</v>
      </c>
    </row>
    <row r="259" spans="1:17" x14ac:dyDescent="0.25">
      <c r="A259">
        <v>258</v>
      </c>
      <c r="B259">
        <v>188</v>
      </c>
      <c r="C259" t="s">
        <v>45</v>
      </c>
      <c r="D259" t="s">
        <v>113</v>
      </c>
      <c r="E259" t="s">
        <v>49</v>
      </c>
      <c r="F259" t="s">
        <v>19</v>
      </c>
      <c r="G259" t="s">
        <v>26</v>
      </c>
      <c r="H259" t="s">
        <v>21</v>
      </c>
      <c r="I259" t="s">
        <v>64</v>
      </c>
      <c r="J259" t="s">
        <v>147</v>
      </c>
      <c r="K259" t="s">
        <v>23</v>
      </c>
      <c r="L259">
        <v>537</v>
      </c>
      <c r="M259" s="4">
        <v>6.9939552000000003</v>
      </c>
      <c r="N259" s="4">
        <v>140.62098158370648</v>
      </c>
      <c r="O259" s="4">
        <v>-71.73541056992444</v>
      </c>
      <c r="P259" s="1" t="str">
        <f>HYPERLINK(".\sm_car_250702_1901\sm_car_250702_1901_258_Ca188TrN_MaTUR_DrSt_ode23t_1.png","figure")</f>
        <v>figure</v>
      </c>
      <c r="Q259" t="s">
        <v>15</v>
      </c>
    </row>
    <row r="260" spans="1:17" x14ac:dyDescent="0.25">
      <c r="A260">
        <v>259</v>
      </c>
      <c r="B260" t="s">
        <v>94</v>
      </c>
      <c r="C260" t="s">
        <v>95</v>
      </c>
      <c r="D260" t="s">
        <v>35</v>
      </c>
      <c r="E260" t="s">
        <v>18</v>
      </c>
      <c r="F260" t="s">
        <v>19</v>
      </c>
      <c r="G260" t="s">
        <v>96</v>
      </c>
      <c r="H260" t="s">
        <v>21</v>
      </c>
      <c r="I260" t="s">
        <v>22</v>
      </c>
      <c r="J260" t="s">
        <v>147</v>
      </c>
      <c r="K260" t="s">
        <v>23</v>
      </c>
      <c r="L260">
        <v>438</v>
      </c>
      <c r="M260" s="4">
        <v>14.5588923</v>
      </c>
      <c r="N260" s="4">
        <v>79.216158648925386</v>
      </c>
      <c r="O260" s="4">
        <v>-0.33361530102816234</v>
      </c>
      <c r="P260" s="1" t="str">
        <f>HYPERLINK(".\sm_car_250702_1901\sm_car_Axle3_250702_1901_259_CaAxle3_000TrN_MaWOT_DrSt_ode23t_1.png","figure")</f>
        <v>figure</v>
      </c>
      <c r="Q260" t="s">
        <v>15</v>
      </c>
    </row>
    <row r="261" spans="1:17" x14ac:dyDescent="0.25">
      <c r="A261">
        <v>260</v>
      </c>
      <c r="B261" t="s">
        <v>99</v>
      </c>
      <c r="C261" t="s">
        <v>100</v>
      </c>
      <c r="D261" t="s">
        <v>35</v>
      </c>
      <c r="E261" t="s">
        <v>18</v>
      </c>
      <c r="F261" t="s">
        <v>19</v>
      </c>
      <c r="G261" t="s">
        <v>96</v>
      </c>
      <c r="H261" t="s">
        <v>21</v>
      </c>
      <c r="I261" t="s">
        <v>22</v>
      </c>
      <c r="J261" t="s">
        <v>147</v>
      </c>
      <c r="K261" t="s">
        <v>23</v>
      </c>
      <c r="L261">
        <v>545</v>
      </c>
      <c r="M261" s="4">
        <v>18.9778278</v>
      </c>
      <c r="N261" s="4">
        <v>61.779938045491164</v>
      </c>
      <c r="O261" s="4">
        <v>-7.8780921218570554E-2</v>
      </c>
      <c r="P261" s="1" t="str">
        <f>HYPERLINK(".\sm_car_250702_1901\sm_car_Axle3_250702_1901_260_CaAxle3_008TrN_MaWOT_DrSt_ode23t_1.png","figure")</f>
        <v>figure</v>
      </c>
      <c r="Q261" t="s">
        <v>15</v>
      </c>
    </row>
    <row r="262" spans="1:17" x14ac:dyDescent="0.25">
      <c r="A262">
        <v>261</v>
      </c>
      <c r="B262" t="s">
        <v>97</v>
      </c>
      <c r="C262" t="s">
        <v>95</v>
      </c>
      <c r="D262" t="s">
        <v>35</v>
      </c>
      <c r="E262" t="s">
        <v>49</v>
      </c>
      <c r="F262" t="s">
        <v>19</v>
      </c>
      <c r="G262" t="s">
        <v>98</v>
      </c>
      <c r="H262" t="s">
        <v>21</v>
      </c>
      <c r="I262" t="s">
        <v>22</v>
      </c>
      <c r="J262" t="s">
        <v>147</v>
      </c>
      <c r="K262" t="s">
        <v>23</v>
      </c>
      <c r="L262">
        <v>424</v>
      </c>
      <c r="M262" s="4">
        <v>13.2507126</v>
      </c>
      <c r="N262" s="4">
        <v>79.244115794628854</v>
      </c>
      <c r="O262" s="4">
        <v>-0.31302298566261583</v>
      </c>
      <c r="P262" s="1" t="str">
        <f>HYPERLINK(".\sm_car_250702_1901\sm_car_Axle3_250702_1901_261_CaAxle3_003TrN_MaWOT_DrSt_ode23t_1.png","figure")</f>
        <v>figure</v>
      </c>
      <c r="Q262" t="s">
        <v>15</v>
      </c>
    </row>
    <row r="263" spans="1:17" x14ac:dyDescent="0.25">
      <c r="A263">
        <v>262</v>
      </c>
      <c r="B263" t="s">
        <v>114</v>
      </c>
      <c r="C263" t="s">
        <v>95</v>
      </c>
      <c r="D263" t="s">
        <v>35</v>
      </c>
      <c r="E263" t="s">
        <v>107</v>
      </c>
      <c r="F263" t="s">
        <v>19</v>
      </c>
      <c r="G263" t="s">
        <v>98</v>
      </c>
      <c r="H263" t="s">
        <v>21</v>
      </c>
      <c r="I263" t="s">
        <v>22</v>
      </c>
      <c r="J263" t="s">
        <v>147</v>
      </c>
      <c r="K263" t="s">
        <v>23</v>
      </c>
      <c r="L263">
        <v>427</v>
      </c>
      <c r="M263" s="4">
        <v>2.1150894999999998</v>
      </c>
      <c r="N263" s="4">
        <v>80.145520056216895</v>
      </c>
      <c r="O263" s="4">
        <v>-0.31945069771391377</v>
      </c>
      <c r="P263" s="1" t="str">
        <f>HYPERLINK(".\sm_car_250702_1901\sm_car_Axle3_250702_1901_262_CaAxle3_017TrN_MaWOT_DrSt_ode23t_1.png","figure")</f>
        <v>figure</v>
      </c>
      <c r="Q263" t="s">
        <v>15</v>
      </c>
    </row>
    <row r="264" spans="1:17" x14ac:dyDescent="0.25">
      <c r="A264">
        <v>263</v>
      </c>
      <c r="B264" t="s">
        <v>101</v>
      </c>
      <c r="C264" t="s">
        <v>100</v>
      </c>
      <c r="D264" t="s">
        <v>35</v>
      </c>
      <c r="E264" t="s">
        <v>49</v>
      </c>
      <c r="F264" t="s">
        <v>19</v>
      </c>
      <c r="G264" t="s">
        <v>96</v>
      </c>
      <c r="H264" t="s">
        <v>102</v>
      </c>
      <c r="I264" t="s">
        <v>22</v>
      </c>
      <c r="J264" t="s">
        <v>147</v>
      </c>
      <c r="K264" t="s">
        <v>23</v>
      </c>
      <c r="L264">
        <v>397</v>
      </c>
      <c r="M264" s="4">
        <v>32.267986100000002</v>
      </c>
      <c r="N264" s="4">
        <v>44.097648823542052</v>
      </c>
      <c r="O264" s="4">
        <v>2.2555589423837258E-2</v>
      </c>
      <c r="P264" s="1" t="str">
        <f>HYPERLINK(".\sm_car_250702_1901\sm_car_Axle3_250702_1901_263_CaAxle3_010TrK_MaWOT_DrSt_ode23t_1.png","figure")</f>
        <v>figure</v>
      </c>
      <c r="Q264" t="s">
        <v>15</v>
      </c>
    </row>
    <row r="265" spans="1:17" x14ac:dyDescent="0.25">
      <c r="A265">
        <v>264</v>
      </c>
      <c r="B265" t="s">
        <v>101</v>
      </c>
      <c r="C265" t="s">
        <v>100</v>
      </c>
      <c r="D265" t="s">
        <v>35</v>
      </c>
      <c r="E265" t="s">
        <v>49</v>
      </c>
      <c r="F265" t="s">
        <v>19</v>
      </c>
      <c r="G265" t="s">
        <v>96</v>
      </c>
      <c r="H265" t="s">
        <v>102</v>
      </c>
      <c r="I265" t="s">
        <v>22</v>
      </c>
      <c r="J265" t="s">
        <v>147</v>
      </c>
      <c r="K265" t="s">
        <v>23</v>
      </c>
      <c r="L265">
        <v>402</v>
      </c>
      <c r="M265" s="4">
        <v>31.6369133</v>
      </c>
      <c r="N265" s="4">
        <v>44.31419037135273</v>
      </c>
      <c r="O265" s="4">
        <v>2.283316835235729E-2</v>
      </c>
      <c r="P265" s="1" t="str">
        <f>HYPERLINK(".\sm_car_250702_1901\sm_car_Axle3_250702_1901_264_CaAxle3_010TrK_MaWOT_DrSt_ode23t_1.png","figure")</f>
        <v>figure</v>
      </c>
      <c r="Q265" t="s">
        <v>15</v>
      </c>
    </row>
    <row r="266" spans="1:17" x14ac:dyDescent="0.25">
      <c r="A266">
        <v>265</v>
      </c>
      <c r="B266" t="s">
        <v>115</v>
      </c>
      <c r="C266" t="s">
        <v>100</v>
      </c>
      <c r="D266" t="s">
        <v>35</v>
      </c>
      <c r="E266" t="s">
        <v>107</v>
      </c>
      <c r="F266" t="s">
        <v>19</v>
      </c>
      <c r="G266" t="s">
        <v>96</v>
      </c>
      <c r="H266" t="s">
        <v>102</v>
      </c>
      <c r="I266" t="s">
        <v>22</v>
      </c>
      <c r="J266" t="s">
        <v>147</v>
      </c>
      <c r="K266" t="s">
        <v>23</v>
      </c>
      <c r="L266">
        <v>398</v>
      </c>
      <c r="M266" s="4">
        <v>3.3606454000000001</v>
      </c>
      <c r="N266" s="4">
        <v>48.1835066105021</v>
      </c>
      <c r="O266" s="4">
        <v>2.6474473560836397E-2</v>
      </c>
      <c r="P266" s="1" t="str">
        <f>HYPERLINK(".\sm_car_250702_1901\sm_car_Axle3_250702_1901_265_CaAxle3_019TrK_MaWOT_DrSt_ode23t_1.png","figure")</f>
        <v>figure</v>
      </c>
      <c r="Q266" t="s">
        <v>15</v>
      </c>
    </row>
    <row r="267" spans="1:17" x14ac:dyDescent="0.25">
      <c r="A267">
        <v>266</v>
      </c>
      <c r="B267" t="s">
        <v>115</v>
      </c>
      <c r="C267" t="s">
        <v>100</v>
      </c>
      <c r="D267" t="s">
        <v>35</v>
      </c>
      <c r="E267" t="s">
        <v>107</v>
      </c>
      <c r="F267" t="s">
        <v>19</v>
      </c>
      <c r="G267" t="s">
        <v>96</v>
      </c>
      <c r="H267" t="s">
        <v>102</v>
      </c>
      <c r="I267" t="s">
        <v>22</v>
      </c>
      <c r="J267" t="s">
        <v>147</v>
      </c>
      <c r="K267" t="s">
        <v>23</v>
      </c>
      <c r="L267">
        <v>401</v>
      </c>
      <c r="M267" s="4">
        <v>3.3746440999999998</v>
      </c>
      <c r="N267" s="4">
        <v>48.113113515806859</v>
      </c>
      <c r="O267" s="4">
        <v>2.6374438288324573E-2</v>
      </c>
      <c r="P267" s="1" t="str">
        <f>HYPERLINK(".\sm_car_250702_1901\sm_car_Axle3_250702_1901_266_CaAxle3_019TrK_MaWOT_DrSt_ode23t_1.png","figure")</f>
        <v>figure</v>
      </c>
      <c r="Q267" t="s">
        <v>15</v>
      </c>
    </row>
    <row r="268" spans="1:17" x14ac:dyDescent="0.25">
      <c r="A268">
        <v>267</v>
      </c>
      <c r="B268" t="s">
        <v>115</v>
      </c>
      <c r="C268" t="s">
        <v>100</v>
      </c>
      <c r="D268" t="s">
        <v>35</v>
      </c>
      <c r="E268" t="s">
        <v>107</v>
      </c>
      <c r="F268" t="s">
        <v>19</v>
      </c>
      <c r="G268" t="s">
        <v>96</v>
      </c>
      <c r="H268" t="s">
        <v>102</v>
      </c>
      <c r="I268" t="s">
        <v>53</v>
      </c>
      <c r="J268" t="s">
        <v>147</v>
      </c>
      <c r="K268" t="s">
        <v>23</v>
      </c>
      <c r="L268">
        <v>647</v>
      </c>
      <c r="M268" s="4">
        <v>4.4994833999999999</v>
      </c>
      <c r="N268" s="4">
        <v>254.13963267450055</v>
      </c>
      <c r="O268" s="4">
        <v>-0.11250642589534099</v>
      </c>
      <c r="P268" s="1" t="str">
        <f>HYPERLINK(".\sm_car_250702_1901\sm_car_Axle3_250702_1901_267_CaAxle3_019TrK_MaDLC_DrSt_ode23t_1.png","figure")</f>
        <v>figure</v>
      </c>
      <c r="Q268" t="s">
        <v>15</v>
      </c>
    </row>
    <row r="269" spans="1:17" x14ac:dyDescent="0.25">
      <c r="A269">
        <v>268</v>
      </c>
      <c r="B269" t="s">
        <v>115</v>
      </c>
      <c r="C269" t="s">
        <v>100</v>
      </c>
      <c r="D269" t="s">
        <v>35</v>
      </c>
      <c r="E269" t="s">
        <v>107</v>
      </c>
      <c r="F269" t="s">
        <v>19</v>
      </c>
      <c r="G269" t="s">
        <v>96</v>
      </c>
      <c r="H269" t="s">
        <v>102</v>
      </c>
      <c r="I269" t="s">
        <v>53</v>
      </c>
      <c r="J269" t="s">
        <v>147</v>
      </c>
      <c r="K269" t="s">
        <v>23</v>
      </c>
      <c r="L269">
        <v>784</v>
      </c>
      <c r="M269" s="4">
        <v>4.9163379000000003</v>
      </c>
      <c r="N269" s="4">
        <v>253.38804955965207</v>
      </c>
      <c r="O269" s="4">
        <v>-0.11295893579148331</v>
      </c>
      <c r="P269" s="1" t="str">
        <f>HYPERLINK(".\sm_car_250702_1901\sm_car_Axle3_250702_1901_268_CaAxle3_019TrK_MaDLC_DrSt_ode23t_1.png","figure")</f>
        <v>figure</v>
      </c>
      <c r="Q269" t="s">
        <v>15</v>
      </c>
    </row>
    <row r="270" spans="1:17" x14ac:dyDescent="0.25">
      <c r="A270">
        <v>269</v>
      </c>
      <c r="B270" t="s">
        <v>115</v>
      </c>
      <c r="C270" t="s">
        <v>100</v>
      </c>
      <c r="D270" t="s">
        <v>35</v>
      </c>
      <c r="E270" t="s">
        <v>107</v>
      </c>
      <c r="F270" t="s">
        <v>19</v>
      </c>
      <c r="G270" t="s">
        <v>96</v>
      </c>
      <c r="H270" t="s">
        <v>102</v>
      </c>
      <c r="I270" t="s">
        <v>53</v>
      </c>
      <c r="J270" t="s">
        <v>147</v>
      </c>
      <c r="K270" t="s">
        <v>23</v>
      </c>
      <c r="L270">
        <v>640</v>
      </c>
      <c r="M270" s="4">
        <v>4.7442225000000002</v>
      </c>
      <c r="N270" s="4">
        <v>253.39154743329254</v>
      </c>
      <c r="O270" s="4">
        <v>-0.10922102566576797</v>
      </c>
      <c r="P270" s="1" t="str">
        <f>HYPERLINK(".\sm_car_250702_1901\sm_car_Axle3_250702_1901_269_CaAxle3_019TrK_MaDLC_DrSt_ode23t_1.png","figure")</f>
        <v>figure</v>
      </c>
      <c r="Q270" t="s">
        <v>15</v>
      </c>
    </row>
    <row r="271" spans="1:17" x14ac:dyDescent="0.25">
      <c r="A271">
        <v>270</v>
      </c>
      <c r="B271" t="s">
        <v>115</v>
      </c>
      <c r="C271" t="s">
        <v>100</v>
      </c>
      <c r="D271" t="s">
        <v>35</v>
      </c>
      <c r="E271" t="s">
        <v>107</v>
      </c>
      <c r="F271" t="s">
        <v>19</v>
      </c>
      <c r="G271" t="s">
        <v>96</v>
      </c>
      <c r="H271" t="s">
        <v>102</v>
      </c>
      <c r="I271" t="s">
        <v>53</v>
      </c>
      <c r="J271" t="s">
        <v>147</v>
      </c>
      <c r="K271" t="s">
        <v>23</v>
      </c>
      <c r="L271">
        <v>828</v>
      </c>
      <c r="M271" s="4">
        <v>5.4363722000000001</v>
      </c>
      <c r="N271" s="4">
        <v>254.01853001715256</v>
      </c>
      <c r="O271" s="4">
        <v>-0.10723447569119937</v>
      </c>
      <c r="P271" s="1" t="str">
        <f>HYPERLINK(".\sm_car_250702_1901\sm_car_Axle3_250702_1901_270_CaAxle3_019TrK_MaDLC_DrSt_ode23t_1.png","figure")</f>
        <v>figure</v>
      </c>
      <c r="Q271" t="s">
        <v>15</v>
      </c>
    </row>
    <row r="272" spans="1:17" x14ac:dyDescent="0.25">
      <c r="A272">
        <v>271</v>
      </c>
      <c r="B272" t="s">
        <v>142</v>
      </c>
      <c r="C272" t="s">
        <v>143</v>
      </c>
      <c r="D272" t="s">
        <v>35</v>
      </c>
      <c r="E272" t="s">
        <v>49</v>
      </c>
      <c r="F272" t="s">
        <v>19</v>
      </c>
      <c r="G272" t="s">
        <v>96</v>
      </c>
      <c r="H272" t="s">
        <v>102</v>
      </c>
      <c r="I272" t="s">
        <v>22</v>
      </c>
      <c r="J272" t="s">
        <v>147</v>
      </c>
      <c r="K272" t="s">
        <v>23</v>
      </c>
      <c r="L272">
        <v>375</v>
      </c>
      <c r="M272" s="4">
        <v>2.9080604000000001</v>
      </c>
      <c r="N272" s="4">
        <v>136.82772368936205</v>
      </c>
      <c r="O272" s="4">
        <v>0.19635776389535528</v>
      </c>
      <c r="P272" s="1" t="str">
        <f>HYPERLINK(".\sm_car_250702_1901\sm_car_Axle3_250702_1901_271_CaAxle3_023TrK_MaWOT_DrSt_ode23t_1.png","figure")</f>
        <v>figure</v>
      </c>
      <c r="Q272" t="s">
        <v>15</v>
      </c>
    </row>
  </sheetData>
  <autoFilter ref="A1:Q272" xr:uid="{377AF908-FE09-42FE-A803-1F4B8D1ADFFF}"/>
  <conditionalFormatting sqref="X2:X9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{264D39CB-1912-4E85-B984-9741E5F0B1EA}</x14:id>
        </ext>
      </extLst>
    </cfRule>
  </conditionalFormatting>
  <conditionalFormatting sqref="Z2:Z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{C8EB3F9F-2CF1-4BBA-B043-9ECA09979E44}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D39CB-1912-4E85-B984-9741E5F0B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X2:X91</xm:sqref>
        </x14:conditionalFormatting>
        <x14:conditionalFormatting xmlns:xm="http://schemas.microsoft.com/office/excel/2006/main">
          <x14:cfRule type="dataBar" id="{C8EB3F9F-2CF1-4BBA-B043-9ECA09979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F048-4D14-4ACA-8475-22A424FF8D9E}">
  <dimension ref="A1:X272"/>
  <sheetViews>
    <sheetView tabSelected="1" topLeftCell="A121" workbookViewId="0">
      <selection activeCell="S128" sqref="S128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12.42578125" bestFit="1" customWidth="1"/>
    <col min="11" max="11" width="7.140625" bestFit="1" customWidth="1"/>
    <col min="12" max="12" width="7.28515625" bestFit="1" customWidth="1"/>
    <col min="13" max="13" width="7.5703125" bestFit="1" customWidth="1"/>
    <col min="14" max="14" width="8.5703125" bestFit="1" customWidth="1"/>
    <col min="15" max="15" width="9.28515625" bestFit="1" customWidth="1"/>
    <col min="16" max="16" width="6.5703125" bestFit="1" customWidth="1"/>
    <col min="17" max="17" width="4.85546875" bestFit="1" customWidth="1"/>
    <col min="19" max="19" width="30.85546875" bestFit="1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S1" s="2" t="s">
        <v>151</v>
      </c>
    </row>
    <row r="2" spans="1:24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147</v>
      </c>
      <c r="K2" t="s">
        <v>23</v>
      </c>
      <c r="L2">
        <v>426</v>
      </c>
      <c r="M2" s="4">
        <v>7.4033563999999998</v>
      </c>
      <c r="N2" s="4">
        <v>231.30326068077281</v>
      </c>
      <c r="O2" s="4">
        <v>-5.5115920140166915E-3</v>
      </c>
      <c r="P2" s="1" t="str">
        <f>HYPERLINK(".\sm_car_250703_0822\sm_car_250703_0822_001_Ca000TrN_MaWOT_DrSt_ode23t.png","figure")</f>
        <v>figure</v>
      </c>
      <c r="Q2" t="s">
        <v>15</v>
      </c>
      <c r="S2" s="2" t="s">
        <v>116</v>
      </c>
      <c r="U2">
        <f>L2-'2024b_250702_1901'!L2</f>
        <v>0</v>
      </c>
      <c r="V2" s="7">
        <f>U2/'2024b_250702_1901'!L2</f>
        <v>0</v>
      </c>
      <c r="W2" s="4">
        <f>M2-'2024b_250702_1901'!M2</f>
        <v>-0.16704149999999984</v>
      </c>
      <c r="X2" s="7">
        <f>W2/'2024b_250702_1901'!M2</f>
        <v>-2.206508854706301E-2</v>
      </c>
    </row>
    <row r="3" spans="1:24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147</v>
      </c>
      <c r="K3" t="s">
        <v>23</v>
      </c>
      <c r="L3">
        <v>530</v>
      </c>
      <c r="M3" s="4">
        <v>9.3635515999999992</v>
      </c>
      <c r="N3" s="4">
        <v>71.234935539575417</v>
      </c>
      <c r="O3" s="4">
        <v>-0.54002385198003444</v>
      </c>
      <c r="P3" s="1" t="str">
        <f>HYPERLINK(".\sm_car_250703_0822\sm_car_250703_0822_002_Ca000TrN_MaLSS_DrSt_ode23t.png","figure")</f>
        <v>figure</v>
      </c>
      <c r="Q3" t="s">
        <v>15</v>
      </c>
      <c r="S3" s="2" t="s">
        <v>145</v>
      </c>
      <c r="U3">
        <f>L3-'2024b_250702_1901'!L3</f>
        <v>0</v>
      </c>
      <c r="V3" s="7">
        <f>U3/'2024b_250702_1901'!L3</f>
        <v>0</v>
      </c>
      <c r="W3" s="4">
        <f>M3-'2024b_250702_1901'!M3</f>
        <v>0.53730209999999978</v>
      </c>
      <c r="X3" s="7">
        <f>W3/'2024b_250702_1901'!M3</f>
        <v>6.0875471512560328E-2</v>
      </c>
    </row>
    <row r="4" spans="1:24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147</v>
      </c>
      <c r="K4" t="s">
        <v>23</v>
      </c>
      <c r="L4">
        <v>403</v>
      </c>
      <c r="M4" s="4">
        <v>8.6064483000000003</v>
      </c>
      <c r="N4" s="4">
        <v>230.24202824765311</v>
      </c>
      <c r="O4" s="4">
        <v>-1.2939438434269739E-2</v>
      </c>
      <c r="P4" s="1" t="str">
        <f>HYPERLINK(".\sm_car_250703_0822\sm_car_250703_0822_003_Ca001TrN_MaWOT_DrSt_ode23t.png","figure")</f>
        <v>figure</v>
      </c>
      <c r="Q4" t="s">
        <v>15</v>
      </c>
      <c r="S4" s="2" t="s">
        <v>117</v>
      </c>
      <c r="U4">
        <f>L4-'2024b_250702_1901'!L4</f>
        <v>0</v>
      </c>
      <c r="V4" s="7">
        <f>U4/'2024b_250702_1901'!L4</f>
        <v>0</v>
      </c>
      <c r="W4" s="4">
        <f>M4-'2024b_250702_1901'!M4</f>
        <v>-0.15688309999999994</v>
      </c>
      <c r="X4" s="7">
        <f>W4/'2024b_250702_1901'!M4</f>
        <v>-1.7902221522741905E-2</v>
      </c>
    </row>
    <row r="5" spans="1:24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147</v>
      </c>
      <c r="K5" t="s">
        <v>23</v>
      </c>
      <c r="L5">
        <v>522</v>
      </c>
      <c r="M5" s="4">
        <v>9.9426257000000007</v>
      </c>
      <c r="N5" s="4">
        <v>70.963718329064434</v>
      </c>
      <c r="O5" s="4">
        <v>-0.53531943431979556</v>
      </c>
      <c r="P5" s="1" t="str">
        <f>HYPERLINK(".\sm_car_250703_0822\sm_car_250703_0822_004_Ca001TrN_MaLSS_DrSt_ode23t.png","figure")</f>
        <v>figure</v>
      </c>
      <c r="Q5" t="s">
        <v>15</v>
      </c>
      <c r="S5" t="s">
        <v>152</v>
      </c>
      <c r="U5">
        <f>L5-'2024b_250702_1901'!L5</f>
        <v>0</v>
      </c>
      <c r="V5" s="7">
        <f>U5/'2024b_250702_1901'!L5</f>
        <v>0</v>
      </c>
      <c r="W5" s="4">
        <f>M5-'2024b_250702_1901'!M5</f>
        <v>-1.6261207999999989</v>
      </c>
      <c r="X5" s="7">
        <f>W5/'2024b_250702_1901'!M5</f>
        <v>-0.14056153793325829</v>
      </c>
    </row>
    <row r="6" spans="1:24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147</v>
      </c>
      <c r="K6" t="s">
        <v>23</v>
      </c>
      <c r="L6">
        <v>442</v>
      </c>
      <c r="M6" s="4">
        <v>12.247169299999999</v>
      </c>
      <c r="N6" s="4">
        <v>230.01725432858086</v>
      </c>
      <c r="O6" s="4">
        <v>5.3621364369734352E-2</v>
      </c>
      <c r="P6" s="1" t="str">
        <f>HYPERLINK(".\sm_car_250703_0822\sm_car_250703_0822_005_Ca002TrN_MaWOT_DrSt_ode23t.png","figure")</f>
        <v>figure</v>
      </c>
      <c r="Q6" t="s">
        <v>15</v>
      </c>
      <c r="U6">
        <f>L6-'2024b_250702_1901'!L6</f>
        <v>8</v>
      </c>
      <c r="V6" s="7">
        <f>U6/'2024b_250702_1901'!L6</f>
        <v>1.8433179723502304E-2</v>
      </c>
      <c r="W6" s="4">
        <f>M6-'2024b_250702_1901'!M6</f>
        <v>0.12350019999999873</v>
      </c>
      <c r="X6" s="7">
        <f>W6/'2024b_250702_1901'!M6</f>
        <v>1.0186701647935831E-2</v>
      </c>
    </row>
    <row r="7" spans="1:24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147</v>
      </c>
      <c r="K7" t="s">
        <v>23</v>
      </c>
      <c r="L7">
        <v>523</v>
      </c>
      <c r="M7" s="4">
        <v>16.521018099999999</v>
      </c>
      <c r="N7" s="4">
        <v>70.948489078821794</v>
      </c>
      <c r="O7" s="4">
        <v>-0.52834453207181942</v>
      </c>
      <c r="P7" s="1" t="str">
        <f>HYPERLINK(".\sm_car_250703_0822\sm_car_250703_0822_006_Ca002TrN_MaLSS_DrSt_ode23t.png","figure")</f>
        <v>figure</v>
      </c>
      <c r="Q7" t="s">
        <v>15</v>
      </c>
      <c r="U7">
        <f>L7-'2024b_250702_1901'!L7</f>
        <v>8</v>
      </c>
      <c r="V7" s="7">
        <f>U7/'2024b_250702_1901'!L7</f>
        <v>1.5533980582524271E-2</v>
      </c>
      <c r="W7" s="4">
        <f>M7-'2024b_250702_1901'!M7</f>
        <v>3.9390899999999984</v>
      </c>
      <c r="X7" s="7">
        <f>W7/'2024b_250702_1901'!M7</f>
        <v>0.31307522731750453</v>
      </c>
    </row>
    <row r="8" spans="1:24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147</v>
      </c>
      <c r="K8" t="s">
        <v>23</v>
      </c>
      <c r="L8">
        <v>484</v>
      </c>
      <c r="M8" s="4">
        <v>14.0078435</v>
      </c>
      <c r="N8" s="4">
        <v>229.8612756742512</v>
      </c>
      <c r="O8" s="4">
        <v>5.2176472430721245E-2</v>
      </c>
      <c r="P8" s="1" t="str">
        <f>HYPERLINK(".\sm_car_250703_0822\sm_car_250703_0822_007_Ca003TrN_MaWOT_DrSt_ode23t.png","figure")</f>
        <v>figure</v>
      </c>
      <c r="Q8" t="s">
        <v>15</v>
      </c>
      <c r="U8">
        <f>L8-'2024b_250702_1901'!L8</f>
        <v>3</v>
      </c>
      <c r="V8" s="7">
        <f>U8/'2024b_250702_1901'!L8</f>
        <v>6.2370062370062374E-3</v>
      </c>
      <c r="W8" s="4">
        <f>M8-'2024b_250702_1901'!M8</f>
        <v>-0.15236349999999987</v>
      </c>
      <c r="X8" s="7">
        <f>W8/'2024b_250702_1901'!M8</f>
        <v>-1.0759976884518699E-2</v>
      </c>
    </row>
    <row r="9" spans="1:24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147</v>
      </c>
      <c r="K9" t="s">
        <v>23</v>
      </c>
      <c r="L9">
        <v>574</v>
      </c>
      <c r="M9" s="4">
        <v>12.8490875</v>
      </c>
      <c r="N9" s="4">
        <v>70.825340852775085</v>
      </c>
      <c r="O9" s="4">
        <v>-0.52859394004831606</v>
      </c>
      <c r="P9" s="1" t="str">
        <f>HYPERLINK(".\sm_car_250703_0822\sm_car_250703_0822_008_Ca003TrN_MaLSS_DrSt_ode23t.png","figure")</f>
        <v>figure</v>
      </c>
      <c r="Q9" t="s">
        <v>15</v>
      </c>
      <c r="U9">
        <f>L9-'2024b_250702_1901'!L9</f>
        <v>22</v>
      </c>
      <c r="V9" s="7">
        <f>U9/'2024b_250702_1901'!L9</f>
        <v>3.9855072463768113E-2</v>
      </c>
      <c r="W9" s="4">
        <f>M9-'2024b_250702_1901'!M9</f>
        <v>-1.2198776000000002</v>
      </c>
      <c r="X9" s="7">
        <f>W9/'2024b_250702_1901'!M9</f>
        <v>-8.6706988845967087E-2</v>
      </c>
    </row>
    <row r="10" spans="1:24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147</v>
      </c>
      <c r="K10" t="s">
        <v>23</v>
      </c>
      <c r="L10">
        <v>1089</v>
      </c>
      <c r="M10" s="4">
        <v>12.214581000000001</v>
      </c>
      <c r="N10" s="4">
        <v>231.29279007948639</v>
      </c>
      <c r="O10" s="4">
        <v>-3.7491405077278088E-3</v>
      </c>
      <c r="P10" s="1" t="str">
        <f>HYPERLINK(".\sm_car_250703_0822\sm_car_250703_0822_009_Ca004TrN_MaWOT_DrSt_ode23t.png","figure")</f>
        <v>figure</v>
      </c>
      <c r="Q10" t="s">
        <v>15</v>
      </c>
      <c r="U10">
        <f>L10-'2024b_250702_1901'!L10</f>
        <v>0</v>
      </c>
      <c r="V10" s="7">
        <f>U10/'2024b_250702_1901'!L10</f>
        <v>0</v>
      </c>
      <c r="W10" s="4">
        <f>M10-'2024b_250702_1901'!M10</f>
        <v>-1.2433109999999985</v>
      </c>
      <c r="X10" s="7">
        <f>W10/'2024b_250702_1901'!M10</f>
        <v>-9.2385271036503971E-2</v>
      </c>
    </row>
    <row r="11" spans="1:24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147</v>
      </c>
      <c r="K11" t="s">
        <v>23</v>
      </c>
      <c r="L11">
        <v>1208</v>
      </c>
      <c r="M11" s="4">
        <v>13.7945834</v>
      </c>
      <c r="N11" s="4">
        <v>71.247529607839866</v>
      </c>
      <c r="O11" s="4">
        <v>-0.54125530864672244</v>
      </c>
      <c r="P11" s="1" t="str">
        <f>HYPERLINK(".\sm_car_250703_0822\sm_car_250703_0822_010_Ca004TrN_MaLSS_DrSt_ode23t.png","figure")</f>
        <v>figure</v>
      </c>
      <c r="Q11" t="s">
        <v>15</v>
      </c>
      <c r="U11">
        <f>L11-'2024b_250702_1901'!L11</f>
        <v>0</v>
      </c>
      <c r="V11" s="7">
        <f>U11/'2024b_250702_1901'!L11</f>
        <v>0</v>
      </c>
      <c r="W11" s="4">
        <f>M11-'2024b_250702_1901'!M11</f>
        <v>-1.0437545000000004</v>
      </c>
      <c r="X11" s="7">
        <f>W11/'2024b_250702_1901'!M11</f>
        <v>-7.0341739555614263E-2</v>
      </c>
    </row>
    <row r="12" spans="1:24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147</v>
      </c>
      <c r="K12" t="s">
        <v>23</v>
      </c>
      <c r="L12">
        <v>1130</v>
      </c>
      <c r="M12" s="4">
        <v>15.724467799999999</v>
      </c>
      <c r="N12" s="4">
        <v>230.32939457383347</v>
      </c>
      <c r="O12" s="4">
        <v>-1.0529868035400543E-2</v>
      </c>
      <c r="P12" s="1" t="str">
        <f>HYPERLINK(".\sm_car_250703_0822\sm_car_250703_0822_011_Ca005TrN_MaWOT_DrSt_ode23t.png","figure")</f>
        <v>figure</v>
      </c>
      <c r="Q12" t="s">
        <v>15</v>
      </c>
      <c r="U12">
        <f>L12-'2024b_250702_1901'!L12</f>
        <v>0</v>
      </c>
      <c r="V12" s="7">
        <f>U12/'2024b_250702_1901'!L12</f>
        <v>0</v>
      </c>
      <c r="W12" s="4">
        <f>M12-'2024b_250702_1901'!M12</f>
        <v>4.0250199999999126E-2</v>
      </c>
      <c r="X12" s="7">
        <f>W12/'2024b_250702_1901'!M12</f>
        <v>2.5662867620504784E-3</v>
      </c>
    </row>
    <row r="13" spans="1:24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147</v>
      </c>
      <c r="K13" t="s">
        <v>23</v>
      </c>
      <c r="L13">
        <v>1233</v>
      </c>
      <c r="M13" s="4">
        <v>16.2040595</v>
      </c>
      <c r="N13" s="4">
        <v>70.962509885793409</v>
      </c>
      <c r="O13" s="4">
        <v>-0.5379166977355847</v>
      </c>
      <c r="P13" s="1" t="str">
        <f>HYPERLINK(".\sm_car_250703_0822\sm_car_250703_0822_012_Ca005TrN_MaLSS_DrSt_ode23t.png","figure")</f>
        <v>figure</v>
      </c>
      <c r="Q13" t="s">
        <v>15</v>
      </c>
      <c r="U13">
        <f>L13-'2024b_250702_1901'!L13</f>
        <v>0</v>
      </c>
      <c r="V13" s="7">
        <f>U13/'2024b_250702_1901'!L13</f>
        <v>0</v>
      </c>
      <c r="W13" s="4">
        <f>M13-'2024b_250702_1901'!M13</f>
        <v>-2.0232592999999994</v>
      </c>
      <c r="X13" s="7">
        <f>W13/'2024b_250702_1901'!M13</f>
        <v>-0.11100147653093112</v>
      </c>
    </row>
    <row r="14" spans="1:24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147</v>
      </c>
      <c r="K14" t="s">
        <v>23</v>
      </c>
      <c r="L14">
        <v>1203</v>
      </c>
      <c r="M14" s="4">
        <v>22.3717994</v>
      </c>
      <c r="N14" s="4">
        <v>230.26408379091711</v>
      </c>
      <c r="O14" s="4">
        <v>1.5123705248985726E-2</v>
      </c>
      <c r="P14" s="1" t="str">
        <f>HYPERLINK(".\sm_car_250703_0822\sm_car_250703_0822_013_Ca006TrN_MaWOT_DrSt_ode23t.png","figure")</f>
        <v>figure</v>
      </c>
      <c r="Q14" t="s">
        <v>15</v>
      </c>
      <c r="U14">
        <f>L14-'2024b_250702_1901'!L14</f>
        <v>6</v>
      </c>
      <c r="V14" s="7">
        <f>U14/'2024b_250702_1901'!L14</f>
        <v>5.0125313283208017E-3</v>
      </c>
      <c r="W14" s="4">
        <f>M14-'2024b_250702_1901'!M14</f>
        <v>2.6251075000000021</v>
      </c>
      <c r="X14" s="7">
        <f>W14/'2024b_250702_1901'!M14</f>
        <v>0.13293910257444197</v>
      </c>
    </row>
    <row r="15" spans="1:24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147</v>
      </c>
      <c r="K15" t="s">
        <v>23</v>
      </c>
      <c r="L15">
        <v>1298</v>
      </c>
      <c r="M15" s="4">
        <v>18.370755800000001</v>
      </c>
      <c r="N15" s="4">
        <v>70.960360082953812</v>
      </c>
      <c r="O15" s="4">
        <v>-0.53107709775010914</v>
      </c>
      <c r="P15" s="1" t="str">
        <f>HYPERLINK(".\sm_car_250703_0822\sm_car_250703_0822_014_Ca006TrN_MaLSS_DrSt_ode23t.png","figure")</f>
        <v>figure</v>
      </c>
      <c r="Q15" t="s">
        <v>15</v>
      </c>
      <c r="U15">
        <f>L15-'2024b_250702_1901'!L15</f>
        <v>25</v>
      </c>
      <c r="V15" s="7">
        <f>U15/'2024b_250702_1901'!L15</f>
        <v>1.9638648860958365E-2</v>
      </c>
      <c r="W15" s="4">
        <f>M15-'2024b_250702_1901'!M15</f>
        <v>-0.20702059999999989</v>
      </c>
      <c r="X15" s="7">
        <f>W15/'2024b_250702_1901'!M15</f>
        <v>-1.114345417571071E-2</v>
      </c>
    </row>
    <row r="16" spans="1:24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147</v>
      </c>
      <c r="K16" t="s">
        <v>23</v>
      </c>
      <c r="L16">
        <v>1177</v>
      </c>
      <c r="M16" s="4">
        <v>20.0414134</v>
      </c>
      <c r="N16" s="4">
        <v>229.79952637703866</v>
      </c>
      <c r="O16" s="4">
        <v>5.2451285911852351E-2</v>
      </c>
      <c r="P16" s="1" t="str">
        <f>HYPERLINK(".\sm_car_250703_0822\sm_car_250703_0822_015_Ca007TrN_MaWOT_DrSt_ode23t.png","figure")</f>
        <v>figure</v>
      </c>
      <c r="Q16" t="s">
        <v>15</v>
      </c>
      <c r="U16">
        <f>L16-'2024b_250702_1901'!L16</f>
        <v>-15</v>
      </c>
      <c r="V16" s="7">
        <f>U16/'2024b_250702_1901'!L16</f>
        <v>-1.2583892617449664E-2</v>
      </c>
      <c r="W16" s="4">
        <f>M16-'2024b_250702_1901'!M16</f>
        <v>-0.68068699999999893</v>
      </c>
      <c r="X16" s="7">
        <f>W16/'2024b_250702_1901'!M16</f>
        <v>-3.2848359329443216E-2</v>
      </c>
    </row>
    <row r="17" spans="1:24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147</v>
      </c>
      <c r="K17" t="s">
        <v>23</v>
      </c>
      <c r="L17">
        <v>1276</v>
      </c>
      <c r="M17" s="4">
        <v>18.723759099999999</v>
      </c>
      <c r="N17" s="4">
        <v>70.834813006083138</v>
      </c>
      <c r="O17" s="4">
        <v>-0.5313223651805411</v>
      </c>
      <c r="P17" s="1" t="str">
        <f>HYPERLINK(".\sm_car_250703_0822\sm_car_250703_0822_016_Ca007TrN_MaLSS_DrSt_ode23t.png","figure")</f>
        <v>figure</v>
      </c>
      <c r="Q17" t="s">
        <v>15</v>
      </c>
      <c r="U17">
        <f>L17-'2024b_250702_1901'!L17</f>
        <v>13</v>
      </c>
      <c r="V17" s="7">
        <f>U17/'2024b_250702_1901'!L17</f>
        <v>1.0292953285827395E-2</v>
      </c>
      <c r="W17" s="4">
        <f>M17-'2024b_250702_1901'!M17</f>
        <v>-0.81206110000000109</v>
      </c>
      <c r="X17" s="7">
        <f>W17/'2024b_250702_1901'!M17</f>
        <v>-4.1567801693834235E-2</v>
      </c>
    </row>
    <row r="18" spans="1:24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147</v>
      </c>
      <c r="K18" t="s">
        <v>23</v>
      </c>
      <c r="L18">
        <v>403</v>
      </c>
      <c r="M18" s="4">
        <v>6.6402339000000001</v>
      </c>
      <c r="N18" s="4">
        <v>231.96560416342828</v>
      </c>
      <c r="O18" s="4">
        <v>-7.2381442432730869E-2</v>
      </c>
      <c r="P18" s="1" t="str">
        <f>HYPERLINK(".\sm_car_250703_0822\sm_car_250703_0822_017_Ca016TrN_MaWOT_DrSt_ode23t.png","figure")</f>
        <v>figure</v>
      </c>
      <c r="Q18" t="s">
        <v>15</v>
      </c>
      <c r="U18">
        <f>L18-'2024b_250702_1901'!L18</f>
        <v>0</v>
      </c>
      <c r="V18" s="7">
        <f>U18/'2024b_250702_1901'!L18</f>
        <v>0</v>
      </c>
      <c r="W18" s="4">
        <f>M18-'2024b_250702_1901'!M18</f>
        <v>-0.15963779999999961</v>
      </c>
      <c r="X18" s="7">
        <f>W18/'2024b_250702_1901'!M18</f>
        <v>-2.3476590006837866E-2</v>
      </c>
    </row>
    <row r="19" spans="1:24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147</v>
      </c>
      <c r="K19" t="s">
        <v>23</v>
      </c>
      <c r="L19">
        <v>480</v>
      </c>
      <c r="M19" s="4">
        <v>6.5975165000000002</v>
      </c>
      <c r="N19" s="4">
        <v>71.5235988428756</v>
      </c>
      <c r="O19" s="4">
        <v>-2.1717164716426218E-2</v>
      </c>
      <c r="P19" s="1" t="str">
        <f>HYPERLINK(".\sm_car_250703_0822\sm_car_250703_0822_018_Ca016TrN_MaLSS_DrSt_ode23t.png","figure")</f>
        <v>figure</v>
      </c>
      <c r="Q19" t="s">
        <v>15</v>
      </c>
      <c r="U19">
        <f>L19-'2024b_250702_1901'!L19</f>
        <v>0</v>
      </c>
      <c r="V19" s="7">
        <f>U19/'2024b_250702_1901'!L19</f>
        <v>0</v>
      </c>
      <c r="W19" s="4">
        <f>M19-'2024b_250702_1901'!M19</f>
        <v>-0.2277338999999996</v>
      </c>
      <c r="X19" s="7">
        <f>W19/'2024b_250702_1901'!M19</f>
        <v>-3.3366380228335595E-2</v>
      </c>
    </row>
    <row r="20" spans="1:24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147</v>
      </c>
      <c r="K20" t="s">
        <v>23</v>
      </c>
      <c r="L20">
        <v>405</v>
      </c>
      <c r="M20" s="4">
        <v>8.6389136999999998</v>
      </c>
      <c r="N20" s="4">
        <v>231.09636507350712</v>
      </c>
      <c r="O20" s="4">
        <v>7.4862725897613903E-3</v>
      </c>
      <c r="P20" s="1" t="str">
        <f>HYPERLINK(".\sm_car_250703_0822\sm_car_250703_0822_019_Ca032TrN_MaWOT_DrSt_ode23t.png","figure")</f>
        <v>figure</v>
      </c>
      <c r="Q20" t="s">
        <v>15</v>
      </c>
      <c r="U20">
        <f>L20-'2024b_250702_1901'!L20</f>
        <v>0</v>
      </c>
      <c r="V20" s="7">
        <f>U20/'2024b_250702_1901'!L20</f>
        <v>0</v>
      </c>
      <c r="W20" s="4">
        <f>M20-'2024b_250702_1901'!M20</f>
        <v>-0.57502180000000003</v>
      </c>
      <c r="X20" s="7">
        <f>W20/'2024b_250702_1901'!M20</f>
        <v>-6.2407838648317004E-2</v>
      </c>
    </row>
    <row r="21" spans="1:24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147</v>
      </c>
      <c r="K21" t="s">
        <v>23</v>
      </c>
      <c r="L21">
        <v>516</v>
      </c>
      <c r="M21" s="4">
        <v>9.3117122999999999</v>
      </c>
      <c r="N21" s="4">
        <v>71.247955112767585</v>
      </c>
      <c r="O21" s="4">
        <v>-0.52328768476789989</v>
      </c>
      <c r="P21" s="1" t="str">
        <f>HYPERLINK(".\sm_car_250703_0822\sm_car_250703_0822_020_Ca032TrN_MaLSS_DrSt_ode23t.png","figure")</f>
        <v>figure</v>
      </c>
      <c r="Q21" t="s">
        <v>15</v>
      </c>
      <c r="U21">
        <f>L21-'2024b_250702_1901'!L21</f>
        <v>0</v>
      </c>
      <c r="V21" s="7">
        <f>U21/'2024b_250702_1901'!L21</f>
        <v>0</v>
      </c>
      <c r="W21" s="4">
        <f>M21-'2024b_250702_1901'!M21</f>
        <v>-0.80893799999999949</v>
      </c>
      <c r="X21" s="7">
        <f>W21/'2024b_250702_1901'!M21</f>
        <v>-7.9929448802316547E-2</v>
      </c>
    </row>
    <row r="22" spans="1:24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147</v>
      </c>
      <c r="K22" t="s">
        <v>23</v>
      </c>
      <c r="L22">
        <v>399</v>
      </c>
      <c r="M22" s="4">
        <v>9.5263851000000006</v>
      </c>
      <c r="N22" s="4">
        <v>231.35789077577942</v>
      </c>
      <c r="O22" s="4">
        <v>-1.7326344445185788E-2</v>
      </c>
      <c r="P22" s="1" t="str">
        <f>HYPERLINK(".\sm_car_250703_0822\sm_car_250703_0822_021_Ca048TrN_MaWOT_DrSt_ode23t.png","figure")</f>
        <v>figure</v>
      </c>
      <c r="Q22" t="s">
        <v>15</v>
      </c>
      <c r="U22">
        <f>L22-'2024b_250702_1901'!L22</f>
        <v>0</v>
      </c>
      <c r="V22" s="7">
        <f>U22/'2024b_250702_1901'!L22</f>
        <v>0</v>
      </c>
      <c r="W22" s="4">
        <f>M22-'2024b_250702_1901'!M22</f>
        <v>0.29946680000000114</v>
      </c>
      <c r="X22" s="7">
        <f>W22/'2024b_250702_1901'!M22</f>
        <v>3.2455776702824082E-2</v>
      </c>
    </row>
    <row r="23" spans="1:24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147</v>
      </c>
      <c r="K23" t="s">
        <v>23</v>
      </c>
      <c r="L23">
        <v>533</v>
      </c>
      <c r="M23" s="4">
        <v>10.447848199999999</v>
      </c>
      <c r="N23" s="4">
        <v>71.241129897486829</v>
      </c>
      <c r="O23" s="4">
        <v>-0.52477170462014389</v>
      </c>
      <c r="P23" s="1" t="str">
        <f>HYPERLINK(".\sm_car_250703_0822\sm_car_250703_0822_022_Ca048TrN_MaLSS_DrSt_ode23t.png","figure")</f>
        <v>figure</v>
      </c>
      <c r="Q23" t="s">
        <v>15</v>
      </c>
      <c r="U23">
        <f>L23-'2024b_250702_1901'!L23</f>
        <v>0</v>
      </c>
      <c r="V23" s="7">
        <f>U23/'2024b_250702_1901'!L23</f>
        <v>0</v>
      </c>
      <c r="W23" s="4">
        <f>M23-'2024b_250702_1901'!M23</f>
        <v>-1.5744818000000009</v>
      </c>
      <c r="X23" s="7">
        <f>W23/'2024b_250702_1901'!M23</f>
        <v>-0.13096311613472603</v>
      </c>
    </row>
    <row r="24" spans="1:24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147</v>
      </c>
      <c r="K24" t="s">
        <v>23</v>
      </c>
      <c r="L24">
        <v>412</v>
      </c>
      <c r="M24" s="4">
        <v>10.2267244</v>
      </c>
      <c r="N24" s="4">
        <v>231.37225573733505</v>
      </c>
      <c r="O24" s="4">
        <v>9.6715393855422559E-3</v>
      </c>
      <c r="P24" s="1" t="str">
        <f>HYPERLINK(".\sm_car_250703_0822\sm_car_250703_0822_023_Ca064TrN_MaWOT_DrSt_ode23t.png","figure")</f>
        <v>figure</v>
      </c>
      <c r="Q24" t="s">
        <v>15</v>
      </c>
      <c r="U24">
        <f>L24-'2024b_250702_1901'!L24</f>
        <v>0</v>
      </c>
      <c r="V24" s="7">
        <f>U24/'2024b_250702_1901'!L24</f>
        <v>0</v>
      </c>
      <c r="W24" s="4">
        <f>M24-'2024b_250702_1901'!M24</f>
        <v>0.24271079999999934</v>
      </c>
      <c r="X24" s="7">
        <f>W24/'2024b_250702_1901'!M24</f>
        <v>2.4309942847032914E-2</v>
      </c>
    </row>
    <row r="25" spans="1:24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147</v>
      </c>
      <c r="K25" t="s">
        <v>23</v>
      </c>
      <c r="L25">
        <v>527</v>
      </c>
      <c r="M25" s="4">
        <v>10.506218499999999</v>
      </c>
      <c r="N25" s="4">
        <v>71.255001006260116</v>
      </c>
      <c r="O25" s="4">
        <v>-0.51823400924234464</v>
      </c>
      <c r="P25" s="1" t="str">
        <f>HYPERLINK(".\sm_car_250703_0822\sm_car_250703_0822_024_Ca064TrN_MaLSS_DrSt_ode23t.png","figure")</f>
        <v>figure</v>
      </c>
      <c r="Q25" t="s">
        <v>15</v>
      </c>
      <c r="U25">
        <f>L25-'2024b_250702_1901'!L25</f>
        <v>0</v>
      </c>
      <c r="V25" s="7">
        <f>U25/'2024b_250702_1901'!L25</f>
        <v>0</v>
      </c>
      <c r="W25" s="4">
        <f>M25-'2024b_250702_1901'!M25</f>
        <v>-8.0880700000001582E-2</v>
      </c>
      <c r="X25" s="7">
        <f>W25/'2024b_250702_1901'!M25</f>
        <v>-7.6395524847827608E-3</v>
      </c>
    </row>
    <row r="26" spans="1:24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147</v>
      </c>
      <c r="K26" t="s">
        <v>23</v>
      </c>
      <c r="L26">
        <v>422</v>
      </c>
      <c r="M26" s="4">
        <v>10.346338599999999</v>
      </c>
      <c r="N26" s="4">
        <v>231.23172022216102</v>
      </c>
      <c r="O26" s="4">
        <v>-1.8982884857302599E-2</v>
      </c>
      <c r="P26" s="1" t="str">
        <f>HYPERLINK(".\sm_car_250703_0822\sm_car_250703_0822_025_Ca080TrN_MaWOT_DrSt_ode23t.png","figure")</f>
        <v>figure</v>
      </c>
      <c r="Q26" t="s">
        <v>15</v>
      </c>
      <c r="U26">
        <f>L26-'2024b_250702_1901'!L26</f>
        <v>0</v>
      </c>
      <c r="V26" s="7">
        <f>U26/'2024b_250702_1901'!L26</f>
        <v>0</v>
      </c>
      <c r="W26" s="4">
        <f>M26-'2024b_250702_1901'!M26</f>
        <v>-0.15680170000000082</v>
      </c>
      <c r="X26" s="7">
        <f>W26/'2024b_250702_1901'!M26</f>
        <v>-1.4929030320579535E-2</v>
      </c>
    </row>
    <row r="27" spans="1:24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147</v>
      </c>
      <c r="K27" t="s">
        <v>23</v>
      </c>
      <c r="L27">
        <v>512</v>
      </c>
      <c r="M27" s="4">
        <v>10.686917899999999</v>
      </c>
      <c r="N27" s="4">
        <v>71.247972598443567</v>
      </c>
      <c r="O27" s="4">
        <v>-0.52248701860012448</v>
      </c>
      <c r="P27" s="1" t="str">
        <f>HYPERLINK(".\sm_car_250703_0822\sm_car_250703_0822_026_Ca080TrN_MaLSS_DrSt_ode23t.png","figure")</f>
        <v>figure</v>
      </c>
      <c r="Q27" t="s">
        <v>15</v>
      </c>
      <c r="U27">
        <f>L27-'2024b_250702_1901'!L27</f>
        <v>0</v>
      </c>
      <c r="V27" s="7">
        <f>U27/'2024b_250702_1901'!L27</f>
        <v>0</v>
      </c>
      <c r="W27" s="4">
        <f>M27-'2024b_250702_1901'!M27</f>
        <v>-0.35229820000000167</v>
      </c>
      <c r="X27" s="7">
        <f>W27/'2024b_250702_1901'!M27</f>
        <v>-3.1913334860797012E-2</v>
      </c>
    </row>
    <row r="28" spans="1:24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147</v>
      </c>
      <c r="K28" t="s">
        <v>23</v>
      </c>
      <c r="L28">
        <v>407</v>
      </c>
      <c r="M28" s="4">
        <v>7.0299370000000003</v>
      </c>
      <c r="N28" s="4">
        <v>232.91377663486782</v>
      </c>
      <c r="O28" s="4">
        <v>1.8505834318396436E-2</v>
      </c>
      <c r="P28" s="1" t="str">
        <f>HYPERLINK(".\sm_car_250703_0822\sm_car_250703_0822_027_Ca096TrN_MaWOT_DrSt_ode23t.png","figure")</f>
        <v>figure</v>
      </c>
      <c r="Q28" t="s">
        <v>15</v>
      </c>
      <c r="U28">
        <f>L28-'2024b_250702_1901'!L28</f>
        <v>0</v>
      </c>
      <c r="V28" s="7">
        <f>U28/'2024b_250702_1901'!L28</f>
        <v>0</v>
      </c>
      <c r="W28" s="4">
        <f>M28-'2024b_250702_1901'!M28</f>
        <v>-1.1111149999999999</v>
      </c>
      <c r="X28" s="7">
        <f>W28/'2024b_250702_1901'!M28</f>
        <v>-0.13648297541890161</v>
      </c>
    </row>
    <row r="29" spans="1:24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147</v>
      </c>
      <c r="K29" t="s">
        <v>23</v>
      </c>
      <c r="L29">
        <v>530</v>
      </c>
      <c r="M29" s="4">
        <v>7.5132984</v>
      </c>
      <c r="N29" s="4">
        <v>71.764910029474507</v>
      </c>
      <c r="O29" s="4">
        <v>-0.52864687778566466</v>
      </c>
      <c r="P29" s="1" t="str">
        <f>HYPERLINK(".\sm_car_250703_0822\sm_car_250703_0822_028_Ca096TrN_MaLSS_DrSt_ode23t.png","figure")</f>
        <v>figure</v>
      </c>
      <c r="Q29" t="s">
        <v>15</v>
      </c>
      <c r="U29">
        <f>L29-'2024b_250702_1901'!L29</f>
        <v>0</v>
      </c>
      <c r="V29" s="7">
        <f>U29/'2024b_250702_1901'!L29</f>
        <v>0</v>
      </c>
      <c r="W29" s="4">
        <f>M29-'2024b_250702_1901'!M29</f>
        <v>-2.0259894000000003</v>
      </c>
      <c r="X29" s="7">
        <f>W29/'2024b_250702_1901'!M29</f>
        <v>-0.21238371694792563</v>
      </c>
    </row>
    <row r="30" spans="1:24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147</v>
      </c>
      <c r="K30" t="s">
        <v>23</v>
      </c>
      <c r="L30">
        <v>366</v>
      </c>
      <c r="M30" s="4">
        <v>2.8875660999999999</v>
      </c>
      <c r="N30" s="4">
        <v>242.58505381194504</v>
      </c>
      <c r="O30" s="4">
        <v>0.23455824178956849</v>
      </c>
      <c r="P30" s="1" t="str">
        <f>HYPERLINK(".\sm_car_250703_0822\sm_car_250703_0822_029_Ca112TrN_MaWOT_DrSt_ode23t.png","figure")</f>
        <v>figure</v>
      </c>
      <c r="Q30" t="s">
        <v>15</v>
      </c>
      <c r="U30">
        <f>L30-'2024b_250702_1901'!L30</f>
        <v>-10</v>
      </c>
      <c r="V30" s="7">
        <f>U30/'2024b_250702_1901'!L30</f>
        <v>-2.6595744680851064E-2</v>
      </c>
      <c r="W30" s="4">
        <f>M30-'2024b_250702_1901'!M30</f>
        <v>-0.31017300000000025</v>
      </c>
      <c r="X30" s="7">
        <f>W30/'2024b_250702_1901'!M30</f>
        <v>-9.6997594331570153E-2</v>
      </c>
    </row>
    <row r="31" spans="1:24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147</v>
      </c>
      <c r="K31" t="s">
        <v>23</v>
      </c>
      <c r="L31">
        <v>477</v>
      </c>
      <c r="M31" s="4">
        <v>2.8996586</v>
      </c>
      <c r="N31" s="4">
        <v>74.670831510660832</v>
      </c>
      <c r="O31" s="4">
        <v>-0.33822083793606139</v>
      </c>
      <c r="P31" s="1" t="str">
        <f>HYPERLINK(".\sm_car_250703_0822\sm_car_250703_0822_030_Ca112TrN_MaLSS_DrSt_ode23t.png","figure")</f>
        <v>figure</v>
      </c>
      <c r="Q31" t="s">
        <v>15</v>
      </c>
      <c r="U31">
        <f>L31-'2024b_250702_1901'!L31</f>
        <v>0</v>
      </c>
      <c r="V31" s="7">
        <f>U31/'2024b_250702_1901'!L31</f>
        <v>0</v>
      </c>
      <c r="W31" s="4">
        <f>M31-'2024b_250702_1901'!M31</f>
        <v>-0.68106199999999983</v>
      </c>
      <c r="X31" s="7">
        <f>W31/'2024b_250702_1901'!M31</f>
        <v>-0.19020249722918897</v>
      </c>
    </row>
    <row r="32" spans="1:24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147</v>
      </c>
      <c r="K32" t="s">
        <v>23</v>
      </c>
      <c r="L32">
        <v>367</v>
      </c>
      <c r="M32" s="4">
        <v>3.0405905</v>
      </c>
      <c r="N32" s="4">
        <v>241.54505842659276</v>
      </c>
      <c r="O32" s="4">
        <v>0.23184453949807429</v>
      </c>
      <c r="P32" s="1" t="str">
        <f>HYPERLINK(".\sm_car_250703_0822\sm_car_250703_0822_031_Ca113TrN_MaWOT_DrSt_ode23t.png","figure")</f>
        <v>figure</v>
      </c>
      <c r="Q32" t="s">
        <v>15</v>
      </c>
      <c r="U32">
        <f>L32-'2024b_250702_1901'!L32</f>
        <v>-9</v>
      </c>
      <c r="V32" s="7">
        <f>U32/'2024b_250702_1901'!L32</f>
        <v>-2.3936170212765957E-2</v>
      </c>
      <c r="W32" s="4">
        <f>M32-'2024b_250702_1901'!M32</f>
        <v>-0.53475919999999988</v>
      </c>
      <c r="X32" s="7">
        <f>W32/'2024b_250702_1901'!M32</f>
        <v>-0.14956836250171554</v>
      </c>
    </row>
    <row r="33" spans="1:24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147</v>
      </c>
      <c r="K33" t="s">
        <v>23</v>
      </c>
      <c r="L33">
        <v>467</v>
      </c>
      <c r="M33" s="4">
        <v>3.3350773999999999</v>
      </c>
      <c r="N33" s="4">
        <v>74.340358610634311</v>
      </c>
      <c r="O33" s="4">
        <v>-0.33386107964305717</v>
      </c>
      <c r="P33" s="1" t="str">
        <f>HYPERLINK(".\sm_car_250703_0822\sm_car_250703_0822_032_Ca113TrN_MaLSS_DrSt_ode23t.png","figure")</f>
        <v>figure</v>
      </c>
      <c r="Q33" t="s">
        <v>15</v>
      </c>
      <c r="U33">
        <f>L33-'2024b_250702_1901'!L33</f>
        <v>-17</v>
      </c>
      <c r="V33" s="7">
        <f>U33/'2024b_250702_1901'!L33</f>
        <v>-3.5123966942148761E-2</v>
      </c>
      <c r="W33" s="4">
        <f>M33-'2024b_250702_1901'!M33</f>
        <v>-0.52872270000000032</v>
      </c>
      <c r="X33" s="7">
        <f>W33/'2024b_250702_1901'!M33</f>
        <v>-0.13684007617267785</v>
      </c>
    </row>
    <row r="34" spans="1:24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147</v>
      </c>
      <c r="K34" t="s">
        <v>23</v>
      </c>
      <c r="L34">
        <v>372</v>
      </c>
      <c r="M34" s="4">
        <v>3.3044956000000001</v>
      </c>
      <c r="N34" s="4">
        <v>241.58917591968628</v>
      </c>
      <c r="O34" s="4">
        <v>0.23148359156226408</v>
      </c>
      <c r="P34" s="1" t="str">
        <f>HYPERLINK(".\sm_car_250703_0822\sm_car_250703_0822_033_Ca114TrN_MaWOT_DrSt_ode23t.png","figure")</f>
        <v>figure</v>
      </c>
      <c r="Q34" t="s">
        <v>15</v>
      </c>
      <c r="U34">
        <f>L34-'2024b_250702_1901'!L34</f>
        <v>-9</v>
      </c>
      <c r="V34" s="7">
        <f>U34/'2024b_250702_1901'!L34</f>
        <v>-2.3622047244094488E-2</v>
      </c>
      <c r="W34" s="4">
        <f>M34-'2024b_250702_1901'!M34</f>
        <v>-0.60189629999999994</v>
      </c>
      <c r="X34" s="7">
        <f>W34/'2024b_250702_1901'!M34</f>
        <v>-0.1540798556335323</v>
      </c>
    </row>
    <row r="35" spans="1:24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147</v>
      </c>
      <c r="K35" t="s">
        <v>23</v>
      </c>
      <c r="L35">
        <v>491</v>
      </c>
      <c r="M35" s="4">
        <v>4.4249415000000001</v>
      </c>
      <c r="N35" s="4">
        <v>74.361016681229927</v>
      </c>
      <c r="O35" s="4">
        <v>-0.33526525352120018</v>
      </c>
      <c r="P35" s="1" t="str">
        <f>HYPERLINK(".\sm_car_250703_0822\sm_car_250703_0822_034_Ca114TrN_MaLSS_DrSt_ode23t.png","figure")</f>
        <v>figure</v>
      </c>
      <c r="Q35" t="s">
        <v>15</v>
      </c>
      <c r="U35">
        <f>L35-'2024b_250702_1901'!L35</f>
        <v>5</v>
      </c>
      <c r="V35" s="7">
        <f>U35/'2024b_250702_1901'!L35</f>
        <v>1.0288065843621399E-2</v>
      </c>
      <c r="W35" s="4">
        <f>M35-'2024b_250702_1901'!M35</f>
        <v>-0.16251809999999978</v>
      </c>
      <c r="X35" s="7">
        <f>W35/'2024b_250702_1901'!M35</f>
        <v>-3.5426600814097584E-2</v>
      </c>
    </row>
    <row r="36" spans="1:24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147</v>
      </c>
      <c r="K36" t="s">
        <v>23</v>
      </c>
      <c r="L36">
        <v>391</v>
      </c>
      <c r="M36" s="4">
        <v>3.5200140000000002</v>
      </c>
      <c r="N36" s="4">
        <v>241.00132464306677</v>
      </c>
      <c r="O36" s="4">
        <v>0.23038100197773115</v>
      </c>
      <c r="P36" s="1" t="str">
        <f>HYPERLINK(".\sm_car_250703_0822\sm_car_250703_0822_035_Ca115TrN_MaWOT_DrSt_ode23t.png","figure")</f>
        <v>figure</v>
      </c>
      <c r="Q36" t="s">
        <v>15</v>
      </c>
      <c r="U36">
        <f>L36-'2024b_250702_1901'!L36</f>
        <v>-20</v>
      </c>
      <c r="V36" s="7">
        <f>U36/'2024b_250702_1901'!L36</f>
        <v>-4.8661800486618008E-2</v>
      </c>
      <c r="W36" s="4">
        <f>M36-'2024b_250702_1901'!M36</f>
        <v>-1.0012371999999998</v>
      </c>
      <c r="X36" s="7">
        <f>W36/'2024b_250702_1901'!M36</f>
        <v>-0.22145135399687588</v>
      </c>
    </row>
    <row r="37" spans="1:24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147</v>
      </c>
      <c r="K37" t="s">
        <v>23</v>
      </c>
      <c r="L37">
        <v>498</v>
      </c>
      <c r="M37" s="4">
        <v>3.8112428999999999</v>
      </c>
      <c r="N37" s="4">
        <v>74.21718372811263</v>
      </c>
      <c r="O37" s="4">
        <v>-0.33111754175340369</v>
      </c>
      <c r="P37" s="1" t="str">
        <f>HYPERLINK(".\sm_car_250703_0822\sm_car_250703_0822_036_Ca115TrN_MaLSS_DrSt_ode23t.png","figure")</f>
        <v>figure</v>
      </c>
      <c r="Q37" t="s">
        <v>15</v>
      </c>
      <c r="U37">
        <f>L37-'2024b_250702_1901'!L37</f>
        <v>-10</v>
      </c>
      <c r="V37" s="7">
        <f>U37/'2024b_250702_1901'!L37</f>
        <v>-1.968503937007874E-2</v>
      </c>
      <c r="W37" s="4">
        <f>M37-'2024b_250702_1901'!M37</f>
        <v>-0.42736380000000018</v>
      </c>
      <c r="X37" s="7">
        <f>W37/'2024b_250702_1901'!M37</f>
        <v>-0.1008264814944968</v>
      </c>
    </row>
    <row r="38" spans="1:24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147</v>
      </c>
      <c r="K38" t="s">
        <v>23</v>
      </c>
      <c r="L38">
        <v>916</v>
      </c>
      <c r="M38" s="4">
        <v>5.0534946999999999</v>
      </c>
      <c r="N38" s="4">
        <v>242.64549059435888</v>
      </c>
      <c r="O38" s="4">
        <v>0.236089609359078</v>
      </c>
      <c r="P38" s="1" t="str">
        <f>HYPERLINK(".\sm_car_250703_0822\sm_car_250703_0822_037_Ca116TrN_MaWOT_DrSt_ode23t.png","figure")</f>
        <v>figure</v>
      </c>
      <c r="Q38" t="s">
        <v>15</v>
      </c>
      <c r="U38">
        <f>L38-'2024b_250702_1901'!L38</f>
        <v>-1</v>
      </c>
      <c r="V38" s="7">
        <f>U38/'2024b_250702_1901'!L38</f>
        <v>-1.0905125408942203E-3</v>
      </c>
      <c r="W38" s="4">
        <f>M38-'2024b_250702_1901'!M38</f>
        <v>-0.65196870000000029</v>
      </c>
      <c r="X38" s="7">
        <f>W38/'2024b_250702_1901'!M38</f>
        <v>-0.1142709459848608</v>
      </c>
    </row>
    <row r="39" spans="1:24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147</v>
      </c>
      <c r="K39" t="s">
        <v>23</v>
      </c>
      <c r="L39">
        <v>1051</v>
      </c>
      <c r="M39" s="4">
        <v>5.7328824999999997</v>
      </c>
      <c r="N39" s="4">
        <v>74.663070453655536</v>
      </c>
      <c r="O39" s="4">
        <v>-0.34031737401294726</v>
      </c>
      <c r="P39" s="1" t="str">
        <f>HYPERLINK(".\sm_car_250703_0822\sm_car_250703_0822_038_Ca116TrN_MaLSS_DrSt_ode23t.png","figure")</f>
        <v>figure</v>
      </c>
      <c r="Q39" t="s">
        <v>15</v>
      </c>
      <c r="U39">
        <f>L39-'2024b_250702_1901'!L39</f>
        <v>-6</v>
      </c>
      <c r="V39" s="7">
        <f>U39/'2024b_250702_1901'!L39</f>
        <v>-5.6764427625354778E-3</v>
      </c>
      <c r="W39" s="4">
        <f>M39-'2024b_250702_1901'!M39</f>
        <v>-0.85425340000000016</v>
      </c>
      <c r="X39" s="7">
        <f>W39/'2024b_250702_1901'!M39</f>
        <v>-0.12968510335425146</v>
      </c>
    </row>
    <row r="40" spans="1:24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147</v>
      </c>
      <c r="K40" t="s">
        <v>23</v>
      </c>
      <c r="L40">
        <v>955</v>
      </c>
      <c r="M40" s="4">
        <v>5.4377798000000004</v>
      </c>
      <c r="N40" s="4">
        <v>241.5848703404221</v>
      </c>
      <c r="O40" s="4">
        <v>0.23553735536986353</v>
      </c>
      <c r="P40" s="1" t="str">
        <f>HYPERLINK(".\sm_car_250703_0822\sm_car_250703_0822_039_Ca117TrN_MaWOT_DrSt_ode23t.png","figure")</f>
        <v>figure</v>
      </c>
      <c r="Q40" t="s">
        <v>15</v>
      </c>
      <c r="U40">
        <f>L40-'2024b_250702_1901'!L40</f>
        <v>-8</v>
      </c>
      <c r="V40" s="7">
        <f>U40/'2024b_250702_1901'!L40</f>
        <v>-8.3073727933541015E-3</v>
      </c>
      <c r="W40" s="4">
        <f>M40-'2024b_250702_1901'!M40</f>
        <v>-0.79654599999999931</v>
      </c>
      <c r="X40" s="7">
        <f>W40/'2024b_250702_1901'!M40</f>
        <v>-0.12776778525113322</v>
      </c>
    </row>
    <row r="41" spans="1:24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147</v>
      </c>
      <c r="K41" t="s">
        <v>23</v>
      </c>
      <c r="L41">
        <v>1070</v>
      </c>
      <c r="M41" s="4">
        <v>6.2793505999999999</v>
      </c>
      <c r="N41" s="4">
        <v>74.339257262781246</v>
      </c>
      <c r="O41" s="4">
        <v>-0.3376426054111249</v>
      </c>
      <c r="P41" s="1" t="str">
        <f>HYPERLINK(".\sm_car_250703_0822\sm_car_250703_0822_040_Ca117TrN_MaLSS_DrSt_ode23t.png","figure")</f>
        <v>figure</v>
      </c>
      <c r="Q41" t="s">
        <v>15</v>
      </c>
      <c r="U41">
        <f>L41-'2024b_250702_1901'!L41</f>
        <v>7</v>
      </c>
      <c r="V41" s="7">
        <f>U41/'2024b_250702_1901'!L41</f>
        <v>6.58513640639699E-3</v>
      </c>
      <c r="W41" s="4">
        <f>M41-'2024b_250702_1901'!M41</f>
        <v>-3.0574342999999997</v>
      </c>
      <c r="X41" s="7">
        <f>W41/'2024b_250702_1901'!M41</f>
        <v>-0.32746114778760727</v>
      </c>
    </row>
    <row r="42" spans="1:24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147</v>
      </c>
      <c r="K42" t="s">
        <v>23</v>
      </c>
      <c r="L42">
        <v>961</v>
      </c>
      <c r="M42" s="4">
        <v>5.9112435999999997</v>
      </c>
      <c r="N42" s="4">
        <v>241.48903813309698</v>
      </c>
      <c r="O42" s="4">
        <v>0.23227833750645321</v>
      </c>
      <c r="P42" s="1" t="str">
        <f>HYPERLINK(".\sm_car_250703_0822\sm_car_250703_0822_041_Ca118TrN_MaWOT_DrSt_ode23t.png","figure")</f>
        <v>figure</v>
      </c>
      <c r="Q42" t="s">
        <v>15</v>
      </c>
      <c r="U42">
        <f>L42-'2024b_250702_1901'!L42</f>
        <v>9</v>
      </c>
      <c r="V42" s="7">
        <f>U42/'2024b_250702_1901'!L42</f>
        <v>9.4537815126050414E-3</v>
      </c>
      <c r="W42" s="4">
        <f>M42-'2024b_250702_1901'!M42</f>
        <v>-0.55443690000000068</v>
      </c>
      <c r="X42" s="7">
        <f>W42/'2024b_250702_1901'!M42</f>
        <v>-8.575074193659904E-2</v>
      </c>
    </row>
    <row r="43" spans="1:24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147</v>
      </c>
      <c r="K43" t="s">
        <v>23</v>
      </c>
      <c r="L43">
        <v>1069</v>
      </c>
      <c r="M43" s="4">
        <v>6.6054864999999996</v>
      </c>
      <c r="N43" s="4">
        <v>74.338101661455127</v>
      </c>
      <c r="O43" s="4">
        <v>-0.33520571580824188</v>
      </c>
      <c r="P43" s="1" t="str">
        <f>HYPERLINK(".\sm_car_250703_0822\sm_car_250703_0822_042_Ca118TrN_MaLSS_DrSt_ode23t.png","figure")</f>
        <v>figure</v>
      </c>
      <c r="Q43" t="s">
        <v>15</v>
      </c>
      <c r="U43">
        <f>L43-'2024b_250702_1901'!L43</f>
        <v>0</v>
      </c>
      <c r="V43" s="7">
        <f>U43/'2024b_250702_1901'!L43</f>
        <v>0</v>
      </c>
      <c r="W43" s="4">
        <f>M43-'2024b_250702_1901'!M43</f>
        <v>-2.445639400000001</v>
      </c>
      <c r="X43" s="7">
        <f>W43/'2024b_250702_1901'!M43</f>
        <v>-0.27020278217541982</v>
      </c>
    </row>
    <row r="44" spans="1:24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147</v>
      </c>
      <c r="K44" t="s">
        <v>23</v>
      </c>
      <c r="L44">
        <v>1025</v>
      </c>
      <c r="M44" s="4">
        <v>6.9474629999999999</v>
      </c>
      <c r="N44" s="4">
        <v>241.12822685116041</v>
      </c>
      <c r="O44" s="4">
        <v>0.23068860222205065</v>
      </c>
      <c r="P44" s="1" t="str">
        <f>HYPERLINK(".\sm_car_250703_0822\sm_car_250703_0822_043_Ca119TrN_MaWOT_DrSt_ode23t.png","figure")</f>
        <v>figure</v>
      </c>
      <c r="Q44" t="s">
        <v>15</v>
      </c>
      <c r="U44">
        <f>L44-'2024b_250702_1901'!L44</f>
        <v>34</v>
      </c>
      <c r="V44" s="7">
        <f>U44/'2024b_250702_1901'!L44</f>
        <v>3.4308779011099896E-2</v>
      </c>
      <c r="W44" s="4">
        <f>M44-'2024b_250702_1901'!M44</f>
        <v>-0.22081160000000022</v>
      </c>
      <c r="X44" s="7">
        <f>W44/'2024b_250702_1901'!M44</f>
        <v>-3.080400965666134E-2</v>
      </c>
    </row>
    <row r="45" spans="1:24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147</v>
      </c>
      <c r="K45" t="s">
        <v>23</v>
      </c>
      <c r="L45">
        <v>1090</v>
      </c>
      <c r="M45" s="4">
        <v>6.4622124000000003</v>
      </c>
      <c r="N45" s="4">
        <v>74.190369236698587</v>
      </c>
      <c r="O45" s="4">
        <v>-0.33395233743439368</v>
      </c>
      <c r="P45" s="1" t="str">
        <f>HYPERLINK(".\sm_car_250703_0822\sm_car_250703_0822_044_Ca119TrN_MaLSS_DrSt_ode23t.png","figure")</f>
        <v>figure</v>
      </c>
      <c r="Q45" t="s">
        <v>15</v>
      </c>
      <c r="U45">
        <f>L45-'2024b_250702_1901'!L45</f>
        <v>-19</v>
      </c>
      <c r="V45" s="7">
        <f>U45/'2024b_250702_1901'!L45</f>
        <v>-1.7132551848512173E-2</v>
      </c>
      <c r="W45" s="4">
        <f>M45-'2024b_250702_1901'!M45</f>
        <v>-1.3729272999999997</v>
      </c>
      <c r="X45" s="7">
        <f>W45/'2024b_250702_1901'!M45</f>
        <v>-0.17522690756873163</v>
      </c>
    </row>
    <row r="46" spans="1:24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147</v>
      </c>
      <c r="K46" t="s">
        <v>23</v>
      </c>
      <c r="L46">
        <v>330</v>
      </c>
      <c r="M46" s="4">
        <v>6.0315633000000002</v>
      </c>
      <c r="N46" s="4">
        <v>99.837399178263084</v>
      </c>
      <c r="O46" s="4">
        <v>-1.7831377863885174E-2</v>
      </c>
      <c r="P46" s="1" t="str">
        <f>HYPERLINK(".\sm_car_250703_0822\sm_car_250703_0822_045_Ca128TrN_MaWOT_DrSt_ode23t.png","figure")</f>
        <v>figure</v>
      </c>
      <c r="Q46" t="s">
        <v>15</v>
      </c>
      <c r="U46">
        <f>L46-'2024b_250702_1901'!L46</f>
        <v>13</v>
      </c>
      <c r="V46" s="7">
        <f>U46/'2024b_250702_1901'!L46</f>
        <v>4.1009463722397478E-2</v>
      </c>
      <c r="W46" s="4">
        <f>M46-'2024b_250702_1901'!M46</f>
        <v>-0.81116089999999996</v>
      </c>
      <c r="X46" s="7">
        <f>W46/'2024b_250702_1901'!M46</f>
        <v>-0.11854356193400283</v>
      </c>
    </row>
    <row r="47" spans="1:24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147</v>
      </c>
      <c r="K47" t="s">
        <v>23</v>
      </c>
      <c r="L47">
        <v>440</v>
      </c>
      <c r="M47" s="4">
        <v>7.6880831000000001</v>
      </c>
      <c r="N47" s="4">
        <v>36.976623634647773</v>
      </c>
      <c r="O47" s="4">
        <v>-0.13081592866857561</v>
      </c>
      <c r="P47" s="1" t="str">
        <f>HYPERLINK(".\sm_car_250703_0822\sm_car_250703_0822_046_Ca128TrN_MaLSS_DrSt_ode23t.png","figure")</f>
        <v>figure</v>
      </c>
      <c r="Q47" t="s">
        <v>15</v>
      </c>
      <c r="U47">
        <f>L47-'2024b_250702_1901'!L47</f>
        <v>-18</v>
      </c>
      <c r="V47" s="7">
        <f>U47/'2024b_250702_1901'!L47</f>
        <v>-3.9301310043668124E-2</v>
      </c>
      <c r="W47" s="4">
        <f>M47-'2024b_250702_1901'!M47</f>
        <v>-7.4954835000000006</v>
      </c>
      <c r="X47" s="7">
        <f>W47/'2024b_250702_1901'!M47</f>
        <v>-0.4936576298219682</v>
      </c>
    </row>
    <row r="48" spans="1:24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147</v>
      </c>
      <c r="K48" t="s">
        <v>23</v>
      </c>
      <c r="L48">
        <v>359</v>
      </c>
      <c r="M48" s="4">
        <v>6.7220335000000002</v>
      </c>
      <c r="N48" s="4">
        <v>229.4249726072546</v>
      </c>
      <c r="O48" s="4">
        <v>6.207131468974228E-2</v>
      </c>
      <c r="P48" s="1" t="str">
        <f>HYPERLINK(".\sm_car_250703_0822\sm_car_250703_0822_047_Ca129TrN_MaWOT_DrSt_ode23t.png","figure")</f>
        <v>figure</v>
      </c>
      <c r="Q48" t="s">
        <v>15</v>
      </c>
      <c r="U48">
        <f>L48-'2024b_250702_1901'!L48</f>
        <v>23</v>
      </c>
      <c r="V48" s="7">
        <f>U48/'2024b_250702_1901'!L48</f>
        <v>6.8452380952380959E-2</v>
      </c>
      <c r="W48" s="4">
        <f>M48-'2024b_250702_1901'!M48</f>
        <v>-0.69965529999999987</v>
      </c>
      <c r="X48" s="7">
        <f>W48/'2024b_250702_1901'!M48</f>
        <v>-9.4271710772890371E-2</v>
      </c>
    </row>
    <row r="49" spans="1:24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147</v>
      </c>
      <c r="K49" t="s">
        <v>23</v>
      </c>
      <c r="L49">
        <v>476</v>
      </c>
      <c r="M49" s="4">
        <v>9.0327819999999992</v>
      </c>
      <c r="N49" s="4">
        <v>70.690433860921701</v>
      </c>
      <c r="O49" s="4">
        <v>-0.52689467687495484</v>
      </c>
      <c r="P49" s="1" t="str">
        <f>HYPERLINK(".\sm_car_250703_0822\sm_car_250703_0822_048_Ca129TrN_MaLSS_DrSt_ode23t.png","figure")</f>
        <v>figure</v>
      </c>
      <c r="Q49" t="s">
        <v>15</v>
      </c>
      <c r="U49">
        <f>L49-'2024b_250702_1901'!L49</f>
        <v>3</v>
      </c>
      <c r="V49" s="7">
        <f>U49/'2024b_250702_1901'!L49</f>
        <v>6.3424947145877377E-3</v>
      </c>
      <c r="W49" s="4">
        <f>M49-'2024b_250702_1901'!M49</f>
        <v>-5.7772864000000013</v>
      </c>
      <c r="X49" s="7">
        <f>W49/'2024b_250702_1901'!M49</f>
        <v>-0.39009181078461469</v>
      </c>
    </row>
    <row r="50" spans="1:24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147</v>
      </c>
      <c r="K50" t="s">
        <v>23</v>
      </c>
      <c r="L50">
        <v>815</v>
      </c>
      <c r="M50" s="4">
        <v>26.118377599999999</v>
      </c>
      <c r="N50" s="4">
        <v>217.23675731633</v>
      </c>
      <c r="O50" s="4">
        <v>-1.5361479224940517</v>
      </c>
      <c r="P50" s="1" t="str">
        <f>HYPERLINK(".\sm_car_250703_0822\sm_car_250703_0822_049_Ca130TrN_MaWOT_DrSt_ode23t.png","figure")</f>
        <v>figure</v>
      </c>
      <c r="Q50" t="s">
        <v>15</v>
      </c>
      <c r="U50">
        <f>L50-'2024b_250702_1901'!L50</f>
        <v>0</v>
      </c>
      <c r="V50" s="7">
        <f>U50/'2024b_250702_1901'!L50</f>
        <v>0</v>
      </c>
      <c r="W50" s="4">
        <f>M50-'2024b_250702_1901'!M50</f>
        <v>-4.4838060000000013</v>
      </c>
      <c r="X50" s="7">
        <f>W50/'2024b_250702_1901'!M50</f>
        <v>-0.14651915231303955</v>
      </c>
    </row>
    <row r="51" spans="1:24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147</v>
      </c>
      <c r="K51" t="s">
        <v>23</v>
      </c>
      <c r="L51">
        <v>783</v>
      </c>
      <c r="M51" s="4">
        <v>22.462047599999998</v>
      </c>
      <c r="N51" s="4">
        <v>68.768774889683755</v>
      </c>
      <c r="O51" s="4">
        <v>-0.54614825917901799</v>
      </c>
      <c r="P51" s="1" t="str">
        <f>HYPERLINK(".\sm_car_250703_0822\sm_car_250703_0822_050_Ca130TrN_MaLSS_DrSt_ode23t.png","figure")</f>
        <v>figure</v>
      </c>
      <c r="Q51" t="s">
        <v>15</v>
      </c>
      <c r="U51">
        <f>L51-'2024b_250702_1901'!L51</f>
        <v>0</v>
      </c>
      <c r="V51" s="7">
        <f>U51/'2024b_250702_1901'!L51</f>
        <v>0</v>
      </c>
      <c r="W51" s="4">
        <f>M51-'2024b_250702_1901'!M51</f>
        <v>-10.438986700000001</v>
      </c>
      <c r="X51" s="7">
        <f>W51/'2024b_250702_1901'!M51</f>
        <v>-0.3172844538811353</v>
      </c>
    </row>
    <row r="52" spans="1:24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147</v>
      </c>
      <c r="K52" t="s">
        <v>23</v>
      </c>
      <c r="L52">
        <v>350</v>
      </c>
      <c r="M52" s="4">
        <v>4.9375988</v>
      </c>
      <c r="N52" s="4">
        <v>229.90604607490658</v>
      </c>
      <c r="O52" s="4">
        <v>-4.342565327935461E-2</v>
      </c>
      <c r="P52" s="1" t="str">
        <f>HYPERLINK(".\sm_car_250703_0822\sm_car_250703_0822_051_Ca131TrN_MaWOT_DrSt_ode23t.png","figure")</f>
        <v>figure</v>
      </c>
      <c r="Q52" t="s">
        <v>15</v>
      </c>
      <c r="U52">
        <f>L52-'2024b_250702_1901'!L52</f>
        <v>0</v>
      </c>
      <c r="V52" s="7">
        <f>U52/'2024b_250702_1901'!L52</f>
        <v>0</v>
      </c>
      <c r="W52" s="4">
        <f>M52-'2024b_250702_1901'!M52</f>
        <v>-0.46180410000000016</v>
      </c>
      <c r="X52" s="7">
        <f>W52/'2024b_250702_1901'!M52</f>
        <v>-8.5528735038461409E-2</v>
      </c>
    </row>
    <row r="53" spans="1:24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147</v>
      </c>
      <c r="K53" t="s">
        <v>23</v>
      </c>
      <c r="L53">
        <v>489</v>
      </c>
      <c r="M53" s="4">
        <v>5.9006623999999999</v>
      </c>
      <c r="N53" s="4">
        <v>70.96405899521919</v>
      </c>
      <c r="O53" s="4">
        <v>-0.53703792590371346</v>
      </c>
      <c r="P53" s="1" t="str">
        <f>HYPERLINK(".\sm_car_250703_0822\sm_car_250703_0822_052_Ca131TrN_MaLSS_DrSt_ode23t.png","figure")</f>
        <v>figure</v>
      </c>
      <c r="Q53" t="s">
        <v>15</v>
      </c>
      <c r="U53">
        <f>L53-'2024b_250702_1901'!L53</f>
        <v>0</v>
      </c>
      <c r="V53" s="7">
        <f>U53/'2024b_250702_1901'!L53</f>
        <v>0</v>
      </c>
      <c r="W53" s="4">
        <f>M53-'2024b_250702_1901'!M53</f>
        <v>-6.0067412000000004</v>
      </c>
      <c r="X53" s="7">
        <f>W53/'2024b_250702_1901'!M53</f>
        <v>-0.50445432117544087</v>
      </c>
    </row>
    <row r="54" spans="1:24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147</v>
      </c>
      <c r="K54" t="s">
        <v>23</v>
      </c>
      <c r="L54">
        <v>353</v>
      </c>
      <c r="M54" s="4">
        <v>4.9588577000000003</v>
      </c>
      <c r="N54" s="4">
        <v>230.37733739495394</v>
      </c>
      <c r="O54" s="4">
        <v>-8.2125368678323488E-3</v>
      </c>
      <c r="P54" s="1" t="str">
        <f>HYPERLINK(".\sm_car_250703_0822\sm_car_250703_0822_053_Ca132TrN_MaWOT_DrSt_ode23t.png","figure")</f>
        <v>figure</v>
      </c>
      <c r="Q54" t="s">
        <v>15</v>
      </c>
      <c r="U54">
        <f>L54-'2024b_250702_1901'!L54</f>
        <v>0</v>
      </c>
      <c r="V54" s="7">
        <f>U54/'2024b_250702_1901'!L54</f>
        <v>0</v>
      </c>
      <c r="W54" s="4">
        <f>M54-'2024b_250702_1901'!M54</f>
        <v>-0.39128939999999979</v>
      </c>
      <c r="X54" s="7">
        <f>W54/'2024b_250702_1901'!M54</f>
        <v>-7.3136194703880164E-2</v>
      </c>
    </row>
    <row r="55" spans="1:24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147</v>
      </c>
      <c r="K55" t="s">
        <v>23</v>
      </c>
      <c r="L55">
        <v>495</v>
      </c>
      <c r="M55" s="4">
        <v>5.7032724000000004</v>
      </c>
      <c r="N55" s="4">
        <v>70.961645209055376</v>
      </c>
      <c r="O55" s="4">
        <v>-0.52874111785865607</v>
      </c>
      <c r="P55" s="1" t="str">
        <f>HYPERLINK(".\sm_car_250703_0822\sm_car_250703_0822_054_Ca132TrN_MaLSS_DrSt_ode23t.png","figure")</f>
        <v>figure</v>
      </c>
      <c r="Q55" t="s">
        <v>15</v>
      </c>
      <c r="U55">
        <f>L55-'2024b_250702_1901'!L55</f>
        <v>0</v>
      </c>
      <c r="V55" s="7">
        <f>U55/'2024b_250702_1901'!L55</f>
        <v>0</v>
      </c>
      <c r="W55" s="4">
        <f>M55-'2024b_250702_1901'!M55</f>
        <v>-5.2991184999999996</v>
      </c>
      <c r="X55" s="7">
        <f>W55/'2024b_250702_1901'!M55</f>
        <v>-0.48163336025445158</v>
      </c>
    </row>
    <row r="56" spans="1:24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147</v>
      </c>
      <c r="K56" t="s">
        <v>23</v>
      </c>
      <c r="L56">
        <v>340</v>
      </c>
      <c r="M56" s="4">
        <v>4.2613899999999996</v>
      </c>
      <c r="N56" s="4">
        <v>230.35952479646994</v>
      </c>
      <c r="O56" s="4">
        <v>-1.6739138794538474E-2</v>
      </c>
      <c r="P56" s="1" t="str">
        <f>HYPERLINK(".\sm_car_250703_0822\sm_car_250703_0822_055_Ca133TrN_MaWOT_DrSt_ode23t.png","figure")</f>
        <v>figure</v>
      </c>
      <c r="Q56" t="s">
        <v>15</v>
      </c>
      <c r="U56">
        <f>L56-'2024b_250702_1901'!L56</f>
        <v>0</v>
      </c>
      <c r="V56" s="7">
        <f>U56/'2024b_250702_1901'!L56</f>
        <v>0</v>
      </c>
      <c r="W56" s="4">
        <f>M56-'2024b_250702_1901'!M56</f>
        <v>-0.37910030000000017</v>
      </c>
      <c r="X56" s="7">
        <f>W56/'2024b_250702_1901'!M56</f>
        <v>-8.1694018410080546E-2</v>
      </c>
    </row>
    <row r="57" spans="1:24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147</v>
      </c>
      <c r="K57" t="s">
        <v>23</v>
      </c>
      <c r="L57">
        <v>494</v>
      </c>
      <c r="M57" s="4">
        <v>6.1181694000000002</v>
      </c>
      <c r="N57" s="4">
        <v>70.96889101454363</v>
      </c>
      <c r="O57" s="4">
        <v>-0.5291616932489025</v>
      </c>
      <c r="P57" s="1" t="str">
        <f>HYPERLINK(".\sm_car_250703_0822\sm_car_250703_0822_056_Ca133TrN_MaLSS_DrSt_ode23t.png","figure")</f>
        <v>figure</v>
      </c>
      <c r="Q57" t="s">
        <v>15</v>
      </c>
      <c r="U57">
        <f>L57-'2024b_250702_1901'!L57</f>
        <v>0</v>
      </c>
      <c r="V57" s="7">
        <f>U57/'2024b_250702_1901'!L57</f>
        <v>0</v>
      </c>
      <c r="W57" s="4">
        <f>M57-'2024b_250702_1901'!M57</f>
        <v>-6.8186759999999991</v>
      </c>
      <c r="X57" s="7">
        <f>W57/'2024b_250702_1901'!M57</f>
        <v>-0.52707408871099282</v>
      </c>
    </row>
    <row r="58" spans="1:24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147</v>
      </c>
      <c r="K58" t="s">
        <v>23</v>
      </c>
      <c r="L58">
        <v>348</v>
      </c>
      <c r="M58" s="4">
        <v>4.9785579999999996</v>
      </c>
      <c r="N58" s="4">
        <v>230.32579217276898</v>
      </c>
      <c r="O58" s="4">
        <v>-1.230538357952389E-2</v>
      </c>
      <c r="P58" s="1" t="str">
        <f>HYPERLINK(".\sm_car_250703_0822\sm_car_250703_0822_057_Ca134TrN_MaWOT_DrSt_ode23t.png","figure")</f>
        <v>figure</v>
      </c>
      <c r="Q58" t="s">
        <v>15</v>
      </c>
      <c r="U58">
        <f>L58-'2024b_250702_1901'!L58</f>
        <v>0</v>
      </c>
      <c r="V58" s="7">
        <f>U58/'2024b_250702_1901'!L58</f>
        <v>0</v>
      </c>
      <c r="W58" s="4">
        <f>M58-'2024b_250702_1901'!M58</f>
        <v>-0.24992740000000069</v>
      </c>
      <c r="X58" s="7">
        <f>W58/'2024b_250702_1901'!M58</f>
        <v>-4.7801108902398519E-2</v>
      </c>
    </row>
    <row r="59" spans="1:24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147</v>
      </c>
      <c r="K59" t="s">
        <v>23</v>
      </c>
      <c r="L59">
        <v>506</v>
      </c>
      <c r="M59" s="4">
        <v>6.2218920999999998</v>
      </c>
      <c r="N59" s="4">
        <v>70.975499491362314</v>
      </c>
      <c r="O59" s="4">
        <v>-0.53213036527429414</v>
      </c>
      <c r="P59" s="1" t="str">
        <f>HYPERLINK(".\sm_car_250703_0822\sm_car_250703_0822_058_Ca134TrN_MaLSS_DrSt_ode23t.png","figure")</f>
        <v>figure</v>
      </c>
      <c r="Q59" t="s">
        <v>15</v>
      </c>
      <c r="U59">
        <f>L59-'2024b_250702_1901'!L59</f>
        <v>0</v>
      </c>
      <c r="V59" s="7">
        <f>U59/'2024b_250702_1901'!L59</f>
        <v>0</v>
      </c>
      <c r="W59" s="4">
        <f>M59-'2024b_250702_1901'!M59</f>
        <v>-4.9739959999999996</v>
      </c>
      <c r="X59" s="7">
        <f>W59/'2024b_250702_1901'!M59</f>
        <v>-0.44426989226517904</v>
      </c>
    </row>
    <row r="60" spans="1:24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147</v>
      </c>
      <c r="K60" t="s">
        <v>23</v>
      </c>
      <c r="L60">
        <v>349</v>
      </c>
      <c r="M60" s="4">
        <v>4.5714486000000001</v>
      </c>
      <c r="N60" s="4">
        <v>230.40718893803435</v>
      </c>
      <c r="O60" s="4">
        <v>-1.1021089975450536E-2</v>
      </c>
      <c r="P60" s="1" t="str">
        <f>HYPERLINK(".\sm_car_250703_0822\sm_car_250703_0822_059_Ca135TrN_MaWOT_DrSt_ode23t.png","figure")</f>
        <v>figure</v>
      </c>
      <c r="Q60" t="s">
        <v>15</v>
      </c>
      <c r="U60">
        <f>L60-'2024b_250702_1901'!L60</f>
        <v>0</v>
      </c>
      <c r="V60" s="7">
        <f>U60/'2024b_250702_1901'!L60</f>
        <v>0</v>
      </c>
      <c r="W60" s="4">
        <f>M60-'2024b_250702_1901'!M60</f>
        <v>-0.17918900000000004</v>
      </c>
      <c r="X60" s="7">
        <f>W60/'2024b_250702_1901'!M60</f>
        <v>-3.7718936927540005E-2</v>
      </c>
    </row>
    <row r="61" spans="1:24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147</v>
      </c>
      <c r="K61" t="s">
        <v>23</v>
      </c>
      <c r="L61">
        <v>490</v>
      </c>
      <c r="M61" s="4">
        <v>6.2057203000000003</v>
      </c>
      <c r="N61" s="4">
        <v>70.977282427850653</v>
      </c>
      <c r="O61" s="4">
        <v>-0.5190944429755725</v>
      </c>
      <c r="P61" s="1" t="str">
        <f>HYPERLINK(".\sm_car_250703_0822\sm_car_250703_0822_060_Ca135TrN_MaLSS_DrSt_ode23t.png","figure")</f>
        <v>figure</v>
      </c>
      <c r="Q61" t="s">
        <v>15</v>
      </c>
      <c r="U61">
        <f>L61-'2024b_250702_1901'!L61</f>
        <v>0</v>
      </c>
      <c r="V61" s="7">
        <f>U61/'2024b_250702_1901'!L61</f>
        <v>0</v>
      </c>
      <c r="W61" s="4">
        <f>M61-'2024b_250702_1901'!M61</f>
        <v>-6.2641248999999997</v>
      </c>
      <c r="X61" s="7">
        <f>W61/'2024b_250702_1901'!M61</f>
        <v>-0.50234183340142824</v>
      </c>
    </row>
    <row r="62" spans="1:24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147</v>
      </c>
      <c r="K62" t="s">
        <v>23</v>
      </c>
      <c r="L62">
        <v>369</v>
      </c>
      <c r="M62" s="4">
        <v>5.7117654</v>
      </c>
      <c r="N62" s="4">
        <v>230.27274266515479</v>
      </c>
      <c r="O62" s="4">
        <v>5.4991299333891346E-2</v>
      </c>
      <c r="P62" s="1" t="str">
        <f>HYPERLINK(".\sm_car_250703_0822\sm_car_250703_0822_061_Ca136TrN_MaWOT_DrSt_ode23t.png","figure")</f>
        <v>figure</v>
      </c>
      <c r="Q62" t="s">
        <v>15</v>
      </c>
      <c r="U62">
        <f>L62-'2024b_250702_1901'!L62</f>
        <v>1</v>
      </c>
      <c r="V62" s="7">
        <f>U62/'2024b_250702_1901'!L62</f>
        <v>2.717391304347826E-3</v>
      </c>
      <c r="W62" s="4">
        <f>M62-'2024b_250702_1901'!M62</f>
        <v>-0.33582740000000033</v>
      </c>
      <c r="X62" s="7">
        <f>W62/'2024b_250702_1901'!M62</f>
        <v>-5.5530755972855894E-2</v>
      </c>
    </row>
    <row r="63" spans="1:24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147</v>
      </c>
      <c r="K63" t="s">
        <v>23</v>
      </c>
      <c r="L63">
        <v>483</v>
      </c>
      <c r="M63" s="4">
        <v>7.3970799999999999</v>
      </c>
      <c r="N63" s="4">
        <v>70.968316659061571</v>
      </c>
      <c r="O63" s="4">
        <v>-0.52891342839882882</v>
      </c>
      <c r="P63" s="1" t="str">
        <f>HYPERLINK(".\sm_car_250703_0822\sm_car_250703_0822_062_Ca136TrN_MaLSS_DrSt_ode23t.png","figure")</f>
        <v>figure</v>
      </c>
      <c r="Q63" t="s">
        <v>15</v>
      </c>
      <c r="U63">
        <f>L63-'2024b_250702_1901'!L63</f>
        <v>-8</v>
      </c>
      <c r="V63" s="7">
        <f>U63/'2024b_250702_1901'!L63</f>
        <v>-1.6293279022403257E-2</v>
      </c>
      <c r="W63" s="4">
        <f>M63-'2024b_250702_1901'!M63</f>
        <v>-6.3727247</v>
      </c>
      <c r="X63" s="7">
        <f>W63/'2024b_250702_1901'!M63</f>
        <v>-0.46280429089891162</v>
      </c>
    </row>
    <row r="64" spans="1:24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147</v>
      </c>
      <c r="K64" t="s">
        <v>23</v>
      </c>
      <c r="L64">
        <v>327</v>
      </c>
      <c r="M64" s="4">
        <v>4.0643193999999996</v>
      </c>
      <c r="N64" s="4">
        <v>231.08888867143762</v>
      </c>
      <c r="O64" s="4">
        <v>0.14188979538329691</v>
      </c>
      <c r="P64" s="1" t="str">
        <f>HYPERLINK(".\sm_car_250703_0822\sm_car_250703_0822_063_Ca137TrN_MaWOT_DrSt_ode23t.png","figure")</f>
        <v>figure</v>
      </c>
      <c r="Q64" t="s">
        <v>15</v>
      </c>
      <c r="U64">
        <f>L64-'2024b_250702_1901'!L64</f>
        <v>0</v>
      </c>
      <c r="V64" s="7">
        <f>U64/'2024b_250702_1901'!L64</f>
        <v>0</v>
      </c>
      <c r="W64" s="4">
        <f>M64-'2024b_250702_1901'!M64</f>
        <v>-0.53261430000000054</v>
      </c>
      <c r="X64" s="7">
        <f>W64/'2024b_250702_1901'!M64</f>
        <v>-0.11586295012260031</v>
      </c>
    </row>
    <row r="65" spans="1:24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147</v>
      </c>
      <c r="K65" t="s">
        <v>23</v>
      </c>
      <c r="L65">
        <v>479</v>
      </c>
      <c r="M65" s="4">
        <v>4.9675269000000002</v>
      </c>
      <c r="N65" s="4">
        <v>71.238594252125154</v>
      </c>
      <c r="O65" s="4">
        <v>-0.51297012236107886</v>
      </c>
      <c r="P65" s="1" t="str">
        <f>HYPERLINK(".\sm_car_250703_0822\sm_car_250703_0822_064_Ca137TrN_MaLSS_DrSt_ode23t.png","figure")</f>
        <v>figure</v>
      </c>
      <c r="Q65" t="s">
        <v>15</v>
      </c>
      <c r="U65">
        <f>L65-'2024b_250702_1901'!L65</f>
        <v>0</v>
      </c>
      <c r="V65" s="7">
        <f>U65/'2024b_250702_1901'!L65</f>
        <v>0</v>
      </c>
      <c r="W65" s="4">
        <f>M65-'2024b_250702_1901'!M65</f>
        <v>-4.6551388000000005</v>
      </c>
      <c r="X65" s="7">
        <f>W65/'2024b_250702_1901'!M65</f>
        <v>-0.48376811011942356</v>
      </c>
    </row>
    <row r="66" spans="1:24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147</v>
      </c>
      <c r="K66" t="s">
        <v>23</v>
      </c>
      <c r="L66">
        <v>333</v>
      </c>
      <c r="M66" s="4">
        <v>6.3512934999999997</v>
      </c>
      <c r="N66" s="4">
        <v>231.22666217414528</v>
      </c>
      <c r="O66" s="4">
        <v>0.14728310393877514</v>
      </c>
      <c r="P66" s="1" t="str">
        <f>HYPERLINK(".\sm_car_250703_0822\sm_car_250703_0822_065_Ca138TrN_MaWOT_DrSt_ode23t.png","figure")</f>
        <v>figure</v>
      </c>
      <c r="Q66" t="s">
        <v>15</v>
      </c>
      <c r="U66">
        <f>L66-'2024b_250702_1901'!L66</f>
        <v>0</v>
      </c>
      <c r="V66" s="7">
        <f>U66/'2024b_250702_1901'!L66</f>
        <v>0</v>
      </c>
      <c r="W66" s="4">
        <f>M66-'2024b_250702_1901'!M66</f>
        <v>-0.10223329999999997</v>
      </c>
      <c r="X66" s="7">
        <f>W66/'2024b_250702_1901'!M66</f>
        <v>-1.5841462066911997E-2</v>
      </c>
    </row>
    <row r="67" spans="1:24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147</v>
      </c>
      <c r="K67" t="s">
        <v>23</v>
      </c>
      <c r="L67">
        <v>485</v>
      </c>
      <c r="M67" s="4">
        <v>7.3125479999999996</v>
      </c>
      <c r="N67" s="4">
        <v>71.131260965545451</v>
      </c>
      <c r="O67" s="4">
        <v>-0.82811908523987388</v>
      </c>
      <c r="P67" s="1" t="str">
        <f>HYPERLINK(".\sm_car_250703_0822\sm_car_250703_0822_066_Ca138TrN_MaLSS_DrSt_ode23t.png","figure")</f>
        <v>figure</v>
      </c>
      <c r="Q67" t="s">
        <v>15</v>
      </c>
      <c r="U67">
        <f>L67-'2024b_250702_1901'!L67</f>
        <v>0</v>
      </c>
      <c r="V67" s="7">
        <f>U67/'2024b_250702_1901'!L67</f>
        <v>0</v>
      </c>
      <c r="W67" s="4">
        <f>M67-'2024b_250702_1901'!M67</f>
        <v>-0.27714879999999997</v>
      </c>
      <c r="X67" s="7">
        <f>W67/'2024b_250702_1901'!M67</f>
        <v>-3.6516452146019847E-2</v>
      </c>
    </row>
    <row r="68" spans="1:24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147</v>
      </c>
      <c r="K68" t="s">
        <v>23</v>
      </c>
      <c r="L68">
        <v>657</v>
      </c>
      <c r="M68" s="4">
        <v>27.689748699999999</v>
      </c>
      <c r="N68" s="4">
        <v>405.28910030151059</v>
      </c>
      <c r="O68" s="4">
        <v>1.9776038127659759</v>
      </c>
      <c r="P68" s="1" t="str">
        <f>HYPERLINK(".\sm_car_250703_0822\sm_car_250703_0822_067_Ca139TrN_MaWOT_DrSt_ode23t.png","figure")</f>
        <v>figure</v>
      </c>
      <c r="Q68" t="s">
        <v>15</v>
      </c>
      <c r="U68">
        <f>L68-'2024b_250702_1901'!L68</f>
        <v>0</v>
      </c>
      <c r="V68" s="7">
        <f>U68/'2024b_250702_1901'!L68</f>
        <v>0</v>
      </c>
      <c r="W68" s="4">
        <f>M68-'2024b_250702_1901'!M68</f>
        <v>-2.6683404999999993</v>
      </c>
      <c r="X68" s="7">
        <f>W68/'2024b_250702_1901'!M68</f>
        <v>-8.7895535269723088E-2</v>
      </c>
    </row>
    <row r="69" spans="1:24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147</v>
      </c>
      <c r="K69" t="s">
        <v>23</v>
      </c>
      <c r="L69">
        <v>621</v>
      </c>
      <c r="M69" s="4">
        <v>17.6400392</v>
      </c>
      <c r="N69" s="4">
        <v>154.34069106298506</v>
      </c>
      <c r="O69" s="4">
        <v>-0.57632982977325675</v>
      </c>
      <c r="P69" s="1" t="str">
        <f>HYPERLINK(".\sm_car_250703_0822\sm_car_250703_0822_068_Ca139TrN_MaLSS_DrSt_ode23t.png","figure")</f>
        <v>figure</v>
      </c>
      <c r="Q69" t="s">
        <v>15</v>
      </c>
      <c r="U69">
        <f>L69-'2024b_250702_1901'!L69</f>
        <v>5</v>
      </c>
      <c r="V69" s="7">
        <f>U69/'2024b_250702_1901'!L69</f>
        <v>8.1168831168831161E-3</v>
      </c>
      <c r="W69" s="4">
        <f>M69-'2024b_250702_1901'!M69</f>
        <v>-4.830547499999998</v>
      </c>
      <c r="X69" s="7">
        <f>W69/'2024b_250702_1901'!M69</f>
        <v>-0.21497202385018271</v>
      </c>
    </row>
    <row r="70" spans="1:24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147</v>
      </c>
      <c r="K70" t="s">
        <v>23</v>
      </c>
      <c r="L70">
        <v>2031</v>
      </c>
      <c r="M70" s="4">
        <v>44.214938199999999</v>
      </c>
      <c r="N70" s="4">
        <v>405.31542139593904</v>
      </c>
      <c r="O70" s="4">
        <v>1.6532169947747399</v>
      </c>
      <c r="P70" s="1" t="str">
        <f>HYPERLINK(".\sm_car_250703_0822\sm_car_250703_0822_069_Ca141TrN_MaWOT_DrSt_ode23t.png","figure")</f>
        <v>figure</v>
      </c>
      <c r="Q70" t="s">
        <v>15</v>
      </c>
      <c r="U70">
        <f>L70-'2024b_250702_1901'!L70</f>
        <v>43</v>
      </c>
      <c r="V70" s="7">
        <f>U70/'2024b_250702_1901'!L70</f>
        <v>2.1629778672032193E-2</v>
      </c>
      <c r="W70" s="4">
        <f>M70-'2024b_250702_1901'!M70</f>
        <v>-6.8667209000000042</v>
      </c>
      <c r="X70" s="7">
        <f>W70/'2024b_250702_1901'!M70</f>
        <v>-0.13442634834074926</v>
      </c>
    </row>
    <row r="71" spans="1:24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147</v>
      </c>
      <c r="K71" t="s">
        <v>23</v>
      </c>
      <c r="L71">
        <v>1853</v>
      </c>
      <c r="M71" s="4">
        <v>26.181223800000001</v>
      </c>
      <c r="N71" s="4">
        <v>154.40229038448064</v>
      </c>
      <c r="O71" s="4">
        <v>-0.58250811000593572</v>
      </c>
      <c r="P71" s="1" t="str">
        <f>HYPERLINK(".\sm_car_250703_0822\sm_car_250703_0822_070_Ca141TrN_MaLSS_DrSt_ode23t.png","figure")</f>
        <v>figure</v>
      </c>
      <c r="Q71" t="s">
        <v>15</v>
      </c>
      <c r="U71">
        <f>L71-'2024b_250702_1901'!L71</f>
        <v>-27</v>
      </c>
      <c r="V71" s="7">
        <f>U71/'2024b_250702_1901'!L71</f>
        <v>-1.4361702127659574E-2</v>
      </c>
      <c r="W71" s="4">
        <f>M71-'2024b_250702_1901'!M71</f>
        <v>-11.438707900000001</v>
      </c>
      <c r="X71" s="7">
        <f>W71/'2024b_250702_1901'!M71</f>
        <v>-0.30405977318666955</v>
      </c>
    </row>
    <row r="72" spans="1:24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147</v>
      </c>
      <c r="K72" t="s">
        <v>23</v>
      </c>
      <c r="L72">
        <v>329</v>
      </c>
      <c r="M72" s="4">
        <v>14.281659400000001</v>
      </c>
      <c r="N72" s="4">
        <v>62.699549711716045</v>
      </c>
      <c r="O72" s="4">
        <v>1.9616966827436015E-2</v>
      </c>
      <c r="P72" s="1" t="str">
        <f>HYPERLINK(".\sm_car_250703_0822\sm_car_250703_0822_071_Ca143TrN_MaWOT_DrSt_ode23t.png","figure")</f>
        <v>figure</v>
      </c>
      <c r="Q72" t="s">
        <v>15</v>
      </c>
      <c r="U72">
        <f>L72-'2024b_250702_1901'!L72</f>
        <v>-6</v>
      </c>
      <c r="V72" s="7">
        <f>U72/'2024b_250702_1901'!L72</f>
        <v>-1.7910447761194031E-2</v>
      </c>
      <c r="W72" s="4">
        <f>M72-'2024b_250702_1901'!M72</f>
        <v>-3.606682300000001</v>
      </c>
      <c r="X72" s="7">
        <f>W72/'2024b_250702_1901'!M72</f>
        <v>-0.20162194799756092</v>
      </c>
    </row>
    <row r="73" spans="1:24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147</v>
      </c>
      <c r="K73" t="s">
        <v>23</v>
      </c>
      <c r="L73">
        <v>468</v>
      </c>
      <c r="M73" s="4">
        <v>20.495500100000001</v>
      </c>
      <c r="N73" s="4">
        <v>25.014922999606007</v>
      </c>
      <c r="O73" s="4">
        <v>-5.3008514919658044E-2</v>
      </c>
      <c r="P73" s="1" t="str">
        <f>HYPERLINK(".\sm_car_250703_0822\sm_car_250703_0822_072_Ca143TrN_MaLSS_DrSt_ode23t.png","figure")</f>
        <v>figure</v>
      </c>
      <c r="Q73" t="s">
        <v>15</v>
      </c>
      <c r="U73">
        <f>L73-'2024b_250702_1901'!L73</f>
        <v>-9</v>
      </c>
      <c r="V73" s="7">
        <f>U73/'2024b_250702_1901'!L73</f>
        <v>-1.8867924528301886E-2</v>
      </c>
      <c r="W73" s="4">
        <f>M73-'2024b_250702_1901'!M73</f>
        <v>-2.135530799999998</v>
      </c>
      <c r="X73" s="7">
        <f>W73/'2024b_250702_1901'!M73</f>
        <v>-9.4362948353360163E-2</v>
      </c>
    </row>
    <row r="74" spans="1:24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147</v>
      </c>
      <c r="K74" t="s">
        <v>23</v>
      </c>
      <c r="L74">
        <v>325</v>
      </c>
      <c r="M74" s="4">
        <v>10.147148</v>
      </c>
      <c r="N74" s="4">
        <v>77.340337535513669</v>
      </c>
      <c r="O74" s="4">
        <v>0.24898547167850252</v>
      </c>
      <c r="P74" s="1" t="str">
        <f>HYPERLINK(".\sm_car_250703_0822\sm_car_250703_0822_073_Ca144TrN_MaWOT_DrSt_ode23t.png","figure")</f>
        <v>figure</v>
      </c>
      <c r="Q74" t="s">
        <v>15</v>
      </c>
      <c r="U74">
        <f>L74-'2024b_250702_1901'!L74</f>
        <v>-14</v>
      </c>
      <c r="V74" s="7">
        <f>U74/'2024b_250702_1901'!L74</f>
        <v>-4.1297935103244837E-2</v>
      </c>
      <c r="W74" s="4">
        <f>M74-'2024b_250702_1901'!M74</f>
        <v>-3.0064088000000009</v>
      </c>
      <c r="X74" s="7">
        <f>W74/'2024b_250702_1901'!M74</f>
        <v>-0.22856242199068169</v>
      </c>
    </row>
    <row r="75" spans="1:24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147</v>
      </c>
      <c r="K75" t="s">
        <v>23</v>
      </c>
      <c r="L75">
        <v>451</v>
      </c>
      <c r="M75" s="4">
        <v>12.275358300000001</v>
      </c>
      <c r="N75" s="4">
        <v>35.599303131200898</v>
      </c>
      <c r="O75" s="4">
        <v>-3.1300622361709961E-2</v>
      </c>
      <c r="P75" s="1" t="str">
        <f>HYPERLINK(".\sm_car_250703_0822\sm_car_250703_0822_074_Ca144TrN_MaLSS_DrSt_ode23t.png","figure")</f>
        <v>figure</v>
      </c>
      <c r="Q75" t="s">
        <v>15</v>
      </c>
      <c r="U75">
        <f>L75-'2024b_250702_1901'!L75</f>
        <v>8</v>
      </c>
      <c r="V75" s="7">
        <f>U75/'2024b_250702_1901'!L75</f>
        <v>1.8058690744920992E-2</v>
      </c>
      <c r="W75" s="4">
        <f>M75-'2024b_250702_1901'!M75</f>
        <v>-3.514274799999999</v>
      </c>
      <c r="X75" s="7">
        <f>W75/'2024b_250702_1901'!M75</f>
        <v>-0.22256849020766664</v>
      </c>
    </row>
    <row r="76" spans="1:24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147</v>
      </c>
      <c r="K76" t="s">
        <v>23</v>
      </c>
      <c r="L76">
        <v>2395</v>
      </c>
      <c r="M76" s="4">
        <v>28.876139800000001</v>
      </c>
      <c r="N76" s="4">
        <v>399.72421072362994</v>
      </c>
      <c r="O76" s="4">
        <v>-16.040474989694594</v>
      </c>
      <c r="P76" s="1" t="str">
        <f>HYPERLINK(".\sm_car_250703_0822\sm_car_250703_0822_075_Ca147TrN_MaWOT_DrSt_ode23t.png","figure")</f>
        <v>figure</v>
      </c>
      <c r="Q76" t="s">
        <v>15</v>
      </c>
      <c r="U76">
        <f>L76-'2024b_250702_1901'!L76</f>
        <v>-17</v>
      </c>
      <c r="V76" s="7">
        <f>U76/'2024b_250702_1901'!L76</f>
        <v>-7.0480928689883914E-3</v>
      </c>
      <c r="W76" s="4">
        <f>M76-'2024b_250702_1901'!M76</f>
        <v>-1.0962442999999986</v>
      </c>
      <c r="X76" s="7">
        <f>W76/'2024b_250702_1901'!M76</f>
        <v>-3.6575145185063829E-2</v>
      </c>
    </row>
    <row r="77" spans="1:24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147</v>
      </c>
      <c r="K77" t="s">
        <v>23</v>
      </c>
      <c r="L77">
        <v>1284</v>
      </c>
      <c r="M77" s="4">
        <v>18.728500499999999</v>
      </c>
      <c r="N77" s="4">
        <v>151.91929296693579</v>
      </c>
      <c r="O77" s="4">
        <v>-2.4457674697136738</v>
      </c>
      <c r="P77" s="1" t="str">
        <f>HYPERLINK(".\sm_car_250703_0822\sm_car_250703_0822_076_Ca147TrN_MaLSS_DrSt_ode23t.png","figure")</f>
        <v>figure</v>
      </c>
      <c r="Q77" t="s">
        <v>15</v>
      </c>
      <c r="U77">
        <f>L77-'2024b_250702_1901'!L77</f>
        <v>-35</v>
      </c>
      <c r="V77" s="7">
        <f>U77/'2024b_250702_1901'!L77</f>
        <v>-2.6535253980288095E-2</v>
      </c>
      <c r="W77" s="4">
        <f>M77-'2024b_250702_1901'!M77</f>
        <v>-3.9599645000000017</v>
      </c>
      <c r="X77" s="7">
        <f>W77/'2024b_250702_1901'!M77</f>
        <v>-0.17453646599714884</v>
      </c>
    </row>
    <row r="78" spans="1:24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147</v>
      </c>
      <c r="K78" t="s">
        <v>23</v>
      </c>
      <c r="L78">
        <v>300</v>
      </c>
      <c r="M78" s="4">
        <v>8.6410269</v>
      </c>
      <c r="N78" s="4">
        <v>229.63501568004187</v>
      </c>
      <c r="O78" s="4">
        <v>5.6287716534493106E-3</v>
      </c>
      <c r="P78" s="1" t="str">
        <f>HYPERLINK(".\sm_car_250703_0822\sm_car_250703_0822_077_Ca215TrN_MaWOT_DrSt_ode23t.png","figure")</f>
        <v>figure</v>
      </c>
      <c r="Q78" t="s">
        <v>15</v>
      </c>
      <c r="U78">
        <f>L78-'2024b_250702_1901'!L78</f>
        <v>0</v>
      </c>
      <c r="V78" s="7">
        <f>U78/'2024b_250702_1901'!L78</f>
        <v>0</v>
      </c>
      <c r="W78" s="4">
        <f>M78-'2024b_250702_1901'!M78</f>
        <v>-3.0233688999999995</v>
      </c>
      <c r="X78" s="7">
        <f>W78/'2024b_250702_1901'!M78</f>
        <v>-0.25919635717436812</v>
      </c>
    </row>
    <row r="79" spans="1:24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147</v>
      </c>
      <c r="K79" t="s">
        <v>23</v>
      </c>
      <c r="L79">
        <v>483</v>
      </c>
      <c r="M79" s="4">
        <v>8.4646489000000003</v>
      </c>
      <c r="N79" s="4">
        <v>81.273926341917871</v>
      </c>
      <c r="O79" s="4">
        <v>-0.2241734653823837</v>
      </c>
      <c r="P79" s="1" t="str">
        <f>HYPERLINK(".\sm_car_250703_0822\sm_car_250703_0822_078_Ca215TrN_MaLSS_DrSt_ode23t.png","figure")</f>
        <v>figure</v>
      </c>
      <c r="Q79" t="s">
        <v>15</v>
      </c>
      <c r="U79">
        <f>L79-'2024b_250702_1901'!L79</f>
        <v>0</v>
      </c>
      <c r="V79" s="7">
        <f>U79/'2024b_250702_1901'!L79</f>
        <v>0</v>
      </c>
      <c r="W79" s="4">
        <f>M79-'2024b_250702_1901'!M79</f>
        <v>-1.3203341000000002</v>
      </c>
      <c r="X79" s="7">
        <f>W79/'2024b_250702_1901'!M79</f>
        <v>-0.13493473621773283</v>
      </c>
    </row>
    <row r="80" spans="1:24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147</v>
      </c>
      <c r="K80" t="s">
        <v>23</v>
      </c>
      <c r="L80">
        <v>367</v>
      </c>
      <c r="M80" s="4">
        <v>4.6807235</v>
      </c>
      <c r="N80" s="4">
        <v>230.41396077972493</v>
      </c>
      <c r="O80" s="4">
        <v>0.17100241160554447</v>
      </c>
      <c r="P80" s="1" t="str">
        <f>HYPERLINK(".\sm_car_250703_0822\sm_car_250703_0822_079_Ca218TrN_MaWOT_DrSt_ode23t.png","figure")</f>
        <v>figure</v>
      </c>
      <c r="Q80" t="s">
        <v>15</v>
      </c>
      <c r="U80">
        <f>L80-'2024b_250702_1901'!L80</f>
        <v>4</v>
      </c>
      <c r="V80" s="7">
        <f>U80/'2024b_250702_1901'!L80</f>
        <v>1.1019283746556474E-2</v>
      </c>
      <c r="W80" s="4">
        <f>M80-'2024b_250702_1901'!M80</f>
        <v>-0.38225990000000021</v>
      </c>
      <c r="X80" s="7">
        <f>W80/'2024b_250702_1901'!M80</f>
        <v>-7.5500919082610501E-2</v>
      </c>
    </row>
    <row r="81" spans="1:24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147</v>
      </c>
      <c r="K81" t="s">
        <v>23</v>
      </c>
      <c r="L81">
        <v>501</v>
      </c>
      <c r="M81" s="4">
        <v>5.9701345999999997</v>
      </c>
      <c r="N81" s="4">
        <v>70.956660638986548</v>
      </c>
      <c r="O81" s="4">
        <v>-0.53471989500551032</v>
      </c>
      <c r="P81" s="1" t="str">
        <f>HYPERLINK(".\sm_car_250703_0822\sm_car_250703_0822_080_Ca218TrN_MaLSS_DrSt_ode23t.png","figure")</f>
        <v>figure</v>
      </c>
      <c r="Q81" t="s">
        <v>15</v>
      </c>
      <c r="U81">
        <f>L81-'2024b_250702_1901'!L81</f>
        <v>16</v>
      </c>
      <c r="V81" s="7">
        <f>U81/'2024b_250702_1901'!L81</f>
        <v>3.2989690721649485E-2</v>
      </c>
      <c r="W81" s="4">
        <f>M81-'2024b_250702_1901'!M81</f>
        <v>-4.9884971999999994</v>
      </c>
      <c r="X81" s="7">
        <f>W81/'2024b_250702_1901'!M81</f>
        <v>-0.45521168071364526</v>
      </c>
    </row>
    <row r="82" spans="1:24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147</v>
      </c>
      <c r="K82" t="s">
        <v>23</v>
      </c>
      <c r="L82">
        <v>403</v>
      </c>
      <c r="M82" s="4">
        <v>6.9939796999999997</v>
      </c>
      <c r="N82" s="4">
        <v>229.75696095210577</v>
      </c>
      <c r="O82" s="4">
        <v>0.17236154467976469</v>
      </c>
      <c r="P82" s="1" t="str">
        <f>HYPERLINK(".\sm_car_250703_0822\sm_car_250703_0822_081_Ca219TrN_MaWOT_DrSt_ode23t.png","figure")</f>
        <v>figure</v>
      </c>
      <c r="Q82" t="s">
        <v>15</v>
      </c>
      <c r="U82">
        <f>L82-'2024b_250702_1901'!L82</f>
        <v>9</v>
      </c>
      <c r="V82" s="7">
        <f>U82/'2024b_250702_1901'!L82</f>
        <v>2.2842639593908629E-2</v>
      </c>
      <c r="W82" s="4">
        <f>M82-'2024b_250702_1901'!M82</f>
        <v>-1.0806510999999999</v>
      </c>
      <c r="X82" s="7">
        <f>W82/'2024b_250702_1901'!M82</f>
        <v>-0.13383288063152063</v>
      </c>
    </row>
    <row r="83" spans="1:24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147</v>
      </c>
      <c r="K83" t="s">
        <v>23</v>
      </c>
      <c r="L83">
        <v>502</v>
      </c>
      <c r="M83" s="4">
        <v>8.1425710999999996</v>
      </c>
      <c r="N83" s="4">
        <v>70.786541994769635</v>
      </c>
      <c r="O83" s="4">
        <v>-0.55857699939671734</v>
      </c>
      <c r="P83" s="1" t="str">
        <f>HYPERLINK(".\sm_car_250703_0822\sm_car_250703_0822_082_Ca219TrN_MaLSS_DrSt_ode23t.png","figure")</f>
        <v>figure</v>
      </c>
      <c r="Q83" t="s">
        <v>15</v>
      </c>
      <c r="U83">
        <f>L83-'2024b_250702_1901'!L83</f>
        <v>-6</v>
      </c>
      <c r="V83" s="7">
        <f>U83/'2024b_250702_1901'!L83</f>
        <v>-1.1811023622047244E-2</v>
      </c>
      <c r="W83" s="4">
        <f>M83-'2024b_250702_1901'!M83</f>
        <v>-7.2227390000000007</v>
      </c>
      <c r="X83" s="7">
        <f>W83/'2024b_250702_1901'!M83</f>
        <v>-0.47006789664466325</v>
      </c>
    </row>
    <row r="84" spans="1:24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147</v>
      </c>
      <c r="K84" t="s">
        <v>23</v>
      </c>
      <c r="L84">
        <v>936</v>
      </c>
      <c r="M84" s="4">
        <v>31.757223199999999</v>
      </c>
      <c r="N84" s="4">
        <v>223.8320399694345</v>
      </c>
      <c r="O84" s="4">
        <v>-1.2168507254283569</v>
      </c>
      <c r="P84" s="1" t="str">
        <f>HYPERLINK(".\sm_car_250703_0822\sm_car_250703_0822_083_Ca220TrN_MaWOT_DrSt_ode23t.png","figure")</f>
        <v>figure</v>
      </c>
      <c r="Q84" t="s">
        <v>15</v>
      </c>
      <c r="U84">
        <f>L84-'2024b_250702_1901'!L84</f>
        <v>13</v>
      </c>
      <c r="V84" s="7">
        <f>U84/'2024b_250702_1901'!L84</f>
        <v>1.4084507042253521E-2</v>
      </c>
      <c r="W84" s="4">
        <f>M84-'2024b_250702_1901'!M84</f>
        <v>-4.6655185000000046</v>
      </c>
      <c r="X84" s="7">
        <f>W84/'2024b_250702_1901'!M84</f>
        <v>-0.12809355590054342</v>
      </c>
    </row>
    <row r="85" spans="1:24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147</v>
      </c>
      <c r="K85" t="s">
        <v>23</v>
      </c>
      <c r="L85">
        <v>1094</v>
      </c>
      <c r="M85" s="4">
        <v>39.9084431</v>
      </c>
      <c r="N85" s="4">
        <v>69.469190001980436</v>
      </c>
      <c r="O85" s="4">
        <v>-1.5044803264200546</v>
      </c>
      <c r="P85" s="1" t="str">
        <f>HYPERLINK(".\sm_car_250703_0822\sm_car_250703_0822_084_Ca220TrN_MaLSS_DrSt_ode23t.png","figure")</f>
        <v>figure</v>
      </c>
      <c r="Q85" t="s">
        <v>15</v>
      </c>
      <c r="U85">
        <f>L85-'2024b_250702_1901'!L85</f>
        <v>11</v>
      </c>
      <c r="V85" s="7">
        <f>U85/'2024b_250702_1901'!L85</f>
        <v>1.0156971375807941E-2</v>
      </c>
      <c r="W85" s="4">
        <f>M85-'2024b_250702_1901'!M85</f>
        <v>-6.9756763000000035</v>
      </c>
      <c r="X85" s="7">
        <f>W85/'2024b_250702_1901'!M85</f>
        <v>-0.1487854819344224</v>
      </c>
    </row>
    <row r="86" spans="1:24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147</v>
      </c>
      <c r="K86" t="s">
        <v>23</v>
      </c>
      <c r="L86">
        <v>478</v>
      </c>
      <c r="M86" s="4">
        <v>7.4580045999999998</v>
      </c>
      <c r="N86" s="4">
        <v>293.18104045316539</v>
      </c>
      <c r="O86" s="4">
        <v>-5.0217424197798602E-5</v>
      </c>
      <c r="P86" s="1" t="str">
        <f>HYPERLINK(".\sm_car_250703_0822\sm_car_250703_0822_085_Ca223TrN_MaWOT_DrSt_ode23t.png","figure")</f>
        <v>figure</v>
      </c>
      <c r="Q86" t="s">
        <v>15</v>
      </c>
      <c r="U86">
        <f>L86-'2024b_250702_1901'!L86</f>
        <v>0</v>
      </c>
      <c r="V86" s="7">
        <f>U86/'2024b_250702_1901'!L86</f>
        <v>0</v>
      </c>
      <c r="W86" s="4">
        <f>M86-'2024b_250702_1901'!M86</f>
        <v>-0.27415090000000042</v>
      </c>
      <c r="X86" s="7">
        <f>W86/'2024b_250702_1901'!M86</f>
        <v>-3.5455947568566154E-2</v>
      </c>
    </row>
    <row r="87" spans="1:24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147</v>
      </c>
      <c r="K87" t="s">
        <v>23</v>
      </c>
      <c r="L87">
        <v>657</v>
      </c>
      <c r="M87" s="4">
        <v>7.5179533999999997</v>
      </c>
      <c r="N87" s="4">
        <v>103.53168559694267</v>
      </c>
      <c r="O87" s="4">
        <v>-0.15025280106145003</v>
      </c>
      <c r="P87" s="1" t="str">
        <f>HYPERLINK(".\sm_car_250703_0822\sm_car_250703_0822_086_Ca223TrN_MaLSS_DrSt_ode23t.png","figure")</f>
        <v>figure</v>
      </c>
      <c r="Q87" t="s">
        <v>15</v>
      </c>
      <c r="U87">
        <f>L87-'2024b_250702_1901'!L87</f>
        <v>0</v>
      </c>
      <c r="V87" s="7">
        <f>U87/'2024b_250702_1901'!L87</f>
        <v>0</v>
      </c>
      <c r="W87" s="4">
        <f>M87-'2024b_250702_1901'!M87</f>
        <v>-0.49597810000000031</v>
      </c>
      <c r="X87" s="7">
        <f>W87/'2024b_250702_1901'!M87</f>
        <v>-6.1889485828522529E-2</v>
      </c>
    </row>
    <row r="88" spans="1:24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147</v>
      </c>
      <c r="K88" t="s">
        <v>23</v>
      </c>
      <c r="L88">
        <v>769</v>
      </c>
      <c r="M88" s="4">
        <v>25.159221500000001</v>
      </c>
      <c r="N88" s="4">
        <v>407.02641109402765</v>
      </c>
      <c r="O88" s="4">
        <v>-13.282824836516962</v>
      </c>
      <c r="P88" s="1" t="str">
        <f>HYPERLINK(".\sm_car_250703_0822\sm_car_250703_0822_087_Ca227TrN_MaWOT_DrSt_ode23t.png","figure")</f>
        <v>figure</v>
      </c>
      <c r="Q88" t="s">
        <v>15</v>
      </c>
      <c r="U88">
        <f>L88-'2024b_250702_1901'!L88</f>
        <v>-16</v>
      </c>
      <c r="V88" s="7">
        <f>U88/'2024b_250702_1901'!L88</f>
        <v>-2.038216560509554E-2</v>
      </c>
      <c r="W88" s="4">
        <f>M88-'2024b_250702_1901'!M88</f>
        <v>-3.8139748999999981</v>
      </c>
      <c r="X88" s="7">
        <f>W88/'2024b_250702_1901'!M88</f>
        <v>-0.13163804391289041</v>
      </c>
    </row>
    <row r="89" spans="1:24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147</v>
      </c>
      <c r="K89" t="s">
        <v>23</v>
      </c>
      <c r="L89">
        <v>732</v>
      </c>
      <c r="M89" s="4">
        <v>15.896400099999999</v>
      </c>
      <c r="N89" s="4">
        <v>155.21286200107158</v>
      </c>
      <c r="O89" s="4">
        <v>-2.9015760311406207</v>
      </c>
      <c r="P89" s="1" t="str">
        <f>HYPERLINK(".\sm_car_250703_0822\sm_car_250703_0822_088_Ca227TrN_MaLSS_DrSt_ode23t.png","figure")</f>
        <v>figure</v>
      </c>
      <c r="Q89" t="s">
        <v>15</v>
      </c>
      <c r="U89">
        <f>L89-'2024b_250702_1901'!L89</f>
        <v>24</v>
      </c>
      <c r="V89" s="7">
        <f>U89/'2024b_250702_1901'!L89</f>
        <v>3.3898305084745763E-2</v>
      </c>
      <c r="W89" s="4">
        <f>M89-'2024b_250702_1901'!M89</f>
        <v>-4.2805905000000006</v>
      </c>
      <c r="X89" s="7">
        <f>W89/'2024b_250702_1901'!M89</f>
        <v>-0.21215207881397341</v>
      </c>
    </row>
    <row r="90" spans="1:24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147</v>
      </c>
      <c r="K90" t="s">
        <v>23</v>
      </c>
      <c r="L90">
        <v>392</v>
      </c>
      <c r="M90" s="4">
        <v>10.930888100000001</v>
      </c>
      <c r="N90" s="4">
        <v>231.32026979623757</v>
      </c>
      <c r="O90" s="4">
        <v>-3.1637463932753908E-3</v>
      </c>
      <c r="P90" s="1" t="str">
        <f>HYPERLINK(".\sm_car_250703_0822\sm_car_250703_0822_089_Ca008TrN_MaWOT_DrSt_ode23t_1.png","figure")</f>
        <v>figure</v>
      </c>
      <c r="Q90" t="s">
        <v>15</v>
      </c>
      <c r="U90">
        <f>L90-'2024b_250702_1901'!L90</f>
        <v>0</v>
      </c>
      <c r="V90" s="7">
        <f>U90/'2024b_250702_1901'!L90</f>
        <v>0</v>
      </c>
      <c r="W90" s="4">
        <f>M90-'2024b_250702_1901'!M90</f>
        <v>-3.317522799999999</v>
      </c>
      <c r="X90" s="7">
        <f>W90/'2024b_250702_1901'!M90</f>
        <v>-0.23283458227611889</v>
      </c>
    </row>
    <row r="91" spans="1:24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147</v>
      </c>
      <c r="K91" t="s">
        <v>23</v>
      </c>
      <c r="L91">
        <v>554</v>
      </c>
      <c r="M91" s="4">
        <v>13.266253300000001</v>
      </c>
      <c r="N91" s="4">
        <v>71.25645309365089</v>
      </c>
      <c r="O91" s="4">
        <v>-0.53857442471685768</v>
      </c>
      <c r="P91" s="1" t="str">
        <f>HYPERLINK(".\sm_car_250703_0822\sm_car_250703_0822_090_Ca008TrN_MaLSS_DrSt_ode23t_1.png","figure")</f>
        <v>figure</v>
      </c>
      <c r="Q91" t="s">
        <v>15</v>
      </c>
      <c r="U91">
        <f>L91-'2024b_250702_1901'!L91</f>
        <v>0</v>
      </c>
      <c r="V91" s="7">
        <f>U91/'2024b_250702_1901'!L91</f>
        <v>0</v>
      </c>
      <c r="W91" s="4">
        <f>M91-'2024b_250702_1901'!M91</f>
        <v>-3.1491451000000001</v>
      </c>
      <c r="X91" s="7">
        <f>W91/'2024b_250702_1901'!M91</f>
        <v>-0.19184091809797318</v>
      </c>
    </row>
    <row r="92" spans="1:24" x14ac:dyDescent="0.25">
      <c r="A92">
        <v>91</v>
      </c>
      <c r="B92">
        <v>13</v>
      </c>
      <c r="C92" t="s">
        <v>16</v>
      </c>
      <c r="D92" t="s">
        <v>17</v>
      </c>
      <c r="E92" t="s">
        <v>49</v>
      </c>
      <c r="F92" t="s">
        <v>28</v>
      </c>
      <c r="G92" t="s">
        <v>25</v>
      </c>
      <c r="H92" t="s">
        <v>21</v>
      </c>
      <c r="I92" t="s">
        <v>22</v>
      </c>
      <c r="J92" t="s">
        <v>147</v>
      </c>
      <c r="K92" t="s">
        <v>23</v>
      </c>
      <c r="L92">
        <v>841</v>
      </c>
      <c r="M92" s="4">
        <v>12.8418046</v>
      </c>
      <c r="N92" s="4">
        <v>230.33211272602077</v>
      </c>
      <c r="O92" s="4">
        <v>-1.1930399518881092E-2</v>
      </c>
      <c r="P92" s="1" t="str">
        <f>HYPERLINK(".\sm_car_250703_0822\sm_car_250703_0822_091_Ca013TrN_MaWOT_DrSt_ode23t_1.png","figure")</f>
        <v>figure</v>
      </c>
      <c r="Q92" t="s">
        <v>15</v>
      </c>
      <c r="U92">
        <f>L92-'2024b_250702_1901'!L92</f>
        <v>0</v>
      </c>
      <c r="V92" s="7">
        <f>U92/'2024b_250702_1901'!L92</f>
        <v>0</v>
      </c>
      <c r="W92" s="4">
        <f>M92-'2024b_250702_1901'!M92</f>
        <v>-1.5942725000000006</v>
      </c>
      <c r="X92" s="7">
        <f>W92/'2024b_250702_1901'!M92</f>
        <v>-0.11043668504652145</v>
      </c>
    </row>
    <row r="93" spans="1:24" x14ac:dyDescent="0.25">
      <c r="A93">
        <v>92</v>
      </c>
      <c r="B93">
        <v>13</v>
      </c>
      <c r="C93" t="s">
        <v>16</v>
      </c>
      <c r="D93" t="s">
        <v>17</v>
      </c>
      <c r="E93" t="s">
        <v>49</v>
      </c>
      <c r="F93" t="s">
        <v>28</v>
      </c>
      <c r="G93" t="s">
        <v>25</v>
      </c>
      <c r="H93" t="s">
        <v>21</v>
      </c>
      <c r="I93" t="s">
        <v>24</v>
      </c>
      <c r="J93" t="s">
        <v>147</v>
      </c>
      <c r="K93" t="s">
        <v>23</v>
      </c>
      <c r="L93">
        <v>968</v>
      </c>
      <c r="M93" s="4">
        <v>14.734171699999999</v>
      </c>
      <c r="N93" s="4">
        <v>70.957925563013319</v>
      </c>
      <c r="O93" s="4">
        <v>-0.53721908173535382</v>
      </c>
      <c r="P93" s="1" t="str">
        <f>HYPERLINK(".\sm_car_250703_0822\sm_car_250703_0822_092_Ca013TrN_MaLSS_DrSt_ode23t_1.png","figure")</f>
        <v>figure</v>
      </c>
      <c r="Q93" t="s">
        <v>15</v>
      </c>
      <c r="U93">
        <f>L93-'2024b_250702_1901'!L93</f>
        <v>0</v>
      </c>
      <c r="V93" s="7">
        <f>U93/'2024b_250702_1901'!L93</f>
        <v>0</v>
      </c>
      <c r="W93" s="4">
        <f>M93-'2024b_250702_1901'!M93</f>
        <v>-0.87343370000000142</v>
      </c>
      <c r="X93" s="7">
        <f>W93/'2024b_250702_1901'!M93</f>
        <v>-5.5962056805972389E-2</v>
      </c>
    </row>
    <row r="94" spans="1:24" x14ac:dyDescent="0.25">
      <c r="A94">
        <v>93</v>
      </c>
      <c r="B94">
        <v>120</v>
      </c>
      <c r="C94" t="s">
        <v>16</v>
      </c>
      <c r="D94" t="s">
        <v>35</v>
      </c>
      <c r="E94" t="s">
        <v>49</v>
      </c>
      <c r="F94" t="s">
        <v>19</v>
      </c>
      <c r="G94" t="s">
        <v>20</v>
      </c>
      <c r="H94" t="s">
        <v>21</v>
      </c>
      <c r="I94" t="s">
        <v>22</v>
      </c>
      <c r="J94" t="s">
        <v>147</v>
      </c>
      <c r="K94" t="s">
        <v>23</v>
      </c>
      <c r="L94">
        <v>409</v>
      </c>
      <c r="M94" s="4">
        <v>3.4367823</v>
      </c>
      <c r="N94" s="4">
        <v>242.69176861264364</v>
      </c>
      <c r="O94" s="4">
        <v>0.23531217076053165</v>
      </c>
      <c r="P94" s="1" t="str">
        <f>HYPERLINK(".\sm_car_250703_0822\sm_car_250703_0822_093_Ca120TrN_MaWOT_DrSt_ode23t_1.png","figure")</f>
        <v>figure</v>
      </c>
      <c r="Q94" t="s">
        <v>15</v>
      </c>
      <c r="U94">
        <f>L94-'2024b_250702_1901'!L94</f>
        <v>0</v>
      </c>
      <c r="V94" s="7">
        <f>U94/'2024b_250702_1901'!L94</f>
        <v>0</v>
      </c>
      <c r="W94" s="4">
        <f>M94-'2024b_250702_1901'!M94</f>
        <v>-0.4248753999999999</v>
      </c>
      <c r="X94" s="7">
        <f>W94/'2024b_250702_1901'!M94</f>
        <v>-0.11002409664637026</v>
      </c>
    </row>
    <row r="95" spans="1:24" x14ac:dyDescent="0.25">
      <c r="A95">
        <v>94</v>
      </c>
      <c r="B95">
        <v>120</v>
      </c>
      <c r="C95" t="s">
        <v>16</v>
      </c>
      <c r="D95" t="s">
        <v>35</v>
      </c>
      <c r="E95" t="s">
        <v>49</v>
      </c>
      <c r="F95" t="s">
        <v>19</v>
      </c>
      <c r="G95" t="s">
        <v>20</v>
      </c>
      <c r="H95" t="s">
        <v>21</v>
      </c>
      <c r="I95" t="s">
        <v>24</v>
      </c>
      <c r="J95" t="s">
        <v>147</v>
      </c>
      <c r="K95" t="s">
        <v>23</v>
      </c>
      <c r="L95">
        <v>532</v>
      </c>
      <c r="M95" s="4">
        <v>4.4825157000000004</v>
      </c>
      <c r="N95" s="4">
        <v>74.671499220145861</v>
      </c>
      <c r="O95" s="4">
        <v>-0.3387734755925863</v>
      </c>
      <c r="P95" s="1" t="str">
        <f>HYPERLINK(".\sm_car_250703_0822\sm_car_250703_0822_094_Ca120TrN_MaLSS_DrSt_ode23t_1.png","figure")</f>
        <v>figure</v>
      </c>
      <c r="Q95" t="s">
        <v>15</v>
      </c>
      <c r="U95">
        <f>L95-'2024b_250702_1901'!L95</f>
        <v>0</v>
      </c>
      <c r="V95" s="7">
        <f>U95/'2024b_250702_1901'!L95</f>
        <v>0</v>
      </c>
      <c r="W95" s="4">
        <f>M95-'2024b_250702_1901'!M95</f>
        <v>2.0575700000000197E-2</v>
      </c>
      <c r="X95" s="7">
        <f>W95/'2024b_250702_1901'!M95</f>
        <v>4.6113798034039446E-3</v>
      </c>
    </row>
    <row r="96" spans="1:24" x14ac:dyDescent="0.25">
      <c r="A96">
        <v>95</v>
      </c>
      <c r="B96">
        <v>126</v>
      </c>
      <c r="C96" t="s">
        <v>16</v>
      </c>
      <c r="D96" t="s">
        <v>35</v>
      </c>
      <c r="E96" t="s">
        <v>49</v>
      </c>
      <c r="F96" t="s">
        <v>28</v>
      </c>
      <c r="G96" t="s">
        <v>26</v>
      </c>
      <c r="H96" t="s">
        <v>21</v>
      </c>
      <c r="I96" t="s">
        <v>22</v>
      </c>
      <c r="J96" t="s">
        <v>147</v>
      </c>
      <c r="K96" t="s">
        <v>23</v>
      </c>
      <c r="L96">
        <v>1008</v>
      </c>
      <c r="M96" s="4">
        <v>5.732037</v>
      </c>
      <c r="N96" s="4">
        <v>241.40178054104359</v>
      </c>
      <c r="O96" s="4">
        <v>0.23232709078467367</v>
      </c>
      <c r="P96" s="1" t="str">
        <f>HYPERLINK(".\sm_car_250703_0822\sm_car_250703_0822_095_Ca126TrN_MaWOT_DrSt_ode23t_1.png","figure")</f>
        <v>figure</v>
      </c>
      <c r="Q96" t="s">
        <v>15</v>
      </c>
      <c r="U96">
        <f>L96-'2024b_250702_1901'!L96</f>
        <v>-15</v>
      </c>
      <c r="V96" s="7">
        <f>U96/'2024b_250702_1901'!L96</f>
        <v>-1.466275659824047E-2</v>
      </c>
      <c r="W96" s="4">
        <f>M96-'2024b_250702_1901'!M96</f>
        <v>-0.49273260000000008</v>
      </c>
      <c r="X96" s="7">
        <f>W96/'2024b_250702_1901'!M96</f>
        <v>-7.9156761079157062E-2</v>
      </c>
    </row>
    <row r="97" spans="1:24" x14ac:dyDescent="0.25">
      <c r="A97">
        <v>96</v>
      </c>
      <c r="B97">
        <v>126</v>
      </c>
      <c r="C97" t="s">
        <v>16</v>
      </c>
      <c r="D97" t="s">
        <v>35</v>
      </c>
      <c r="E97" t="s">
        <v>49</v>
      </c>
      <c r="F97" t="s">
        <v>28</v>
      </c>
      <c r="G97" t="s">
        <v>26</v>
      </c>
      <c r="H97" t="s">
        <v>21</v>
      </c>
      <c r="I97" t="s">
        <v>24</v>
      </c>
      <c r="J97" t="s">
        <v>147</v>
      </c>
      <c r="K97" t="s">
        <v>23</v>
      </c>
      <c r="L97">
        <v>1154</v>
      </c>
      <c r="M97" s="4">
        <v>7.2548928999999998</v>
      </c>
      <c r="N97" s="4">
        <v>74.342375711578413</v>
      </c>
      <c r="O97" s="4">
        <v>-0.33650198289833988</v>
      </c>
      <c r="P97" s="1" t="str">
        <f>HYPERLINK(".\sm_car_250703_0822\sm_car_250703_0822_096_Ca126TrN_MaLSS_DrSt_ode23t_1.png","figure")</f>
        <v>figure</v>
      </c>
      <c r="Q97" t="s">
        <v>15</v>
      </c>
      <c r="U97">
        <f>L97-'2024b_250702_1901'!L97</f>
        <v>-4</v>
      </c>
      <c r="V97" s="7">
        <f>U97/'2024b_250702_1901'!L97</f>
        <v>-3.4542314335060447E-3</v>
      </c>
      <c r="W97" s="4">
        <f>M97-'2024b_250702_1901'!M97</f>
        <v>-2.0864600000000344E-2</v>
      </c>
      <c r="X97" s="7">
        <f>W97/'2024b_250702_1901'!M97</f>
        <v>-2.8676876600134548E-3</v>
      </c>
    </row>
    <row r="98" spans="1:24" x14ac:dyDescent="0.25">
      <c r="A98">
        <v>97</v>
      </c>
      <c r="B98">
        <v>127</v>
      </c>
      <c r="C98" t="s">
        <v>16</v>
      </c>
      <c r="D98" t="s">
        <v>35</v>
      </c>
      <c r="E98" t="s">
        <v>49</v>
      </c>
      <c r="F98" t="s">
        <v>28</v>
      </c>
      <c r="G98" t="s">
        <v>27</v>
      </c>
      <c r="H98" t="s">
        <v>21</v>
      </c>
      <c r="I98" t="s">
        <v>22</v>
      </c>
      <c r="J98" t="s">
        <v>147</v>
      </c>
      <c r="K98" t="s">
        <v>23</v>
      </c>
      <c r="L98">
        <v>1059</v>
      </c>
      <c r="M98" s="4">
        <v>6.1625719999999999</v>
      </c>
      <c r="N98" s="4">
        <v>240.84102538647196</v>
      </c>
      <c r="O98" s="4">
        <v>0.23056021255259737</v>
      </c>
      <c r="P98" s="1" t="str">
        <f>HYPERLINK(".\sm_car_250703_0822\sm_car_250703_0822_097_Ca127TrN_MaWOT_DrSt_ode23t_1.png","figure")</f>
        <v>figure</v>
      </c>
      <c r="Q98" t="s">
        <v>15</v>
      </c>
      <c r="U98">
        <f>L98-'2024b_250702_1901'!L98</f>
        <v>28</v>
      </c>
      <c r="V98" s="7">
        <f>U98/'2024b_250702_1901'!L98</f>
        <v>2.7158098933074686E-2</v>
      </c>
      <c r="W98" s="4">
        <f>M98-'2024b_250702_1901'!M98</f>
        <v>-1.1956414999999998</v>
      </c>
      <c r="X98" s="7">
        <f>W98/'2024b_250702_1901'!M98</f>
        <v>-0.16249073229527791</v>
      </c>
    </row>
    <row r="99" spans="1:24" x14ac:dyDescent="0.25">
      <c r="A99">
        <v>98</v>
      </c>
      <c r="B99">
        <v>127</v>
      </c>
      <c r="C99" t="s">
        <v>16</v>
      </c>
      <c r="D99" t="s">
        <v>35</v>
      </c>
      <c r="E99" t="s">
        <v>49</v>
      </c>
      <c r="F99" t="s">
        <v>28</v>
      </c>
      <c r="G99" t="s">
        <v>27</v>
      </c>
      <c r="H99" t="s">
        <v>21</v>
      </c>
      <c r="I99" t="s">
        <v>24</v>
      </c>
      <c r="J99" t="s">
        <v>147</v>
      </c>
      <c r="K99" t="s">
        <v>23</v>
      </c>
      <c r="L99">
        <v>1174</v>
      </c>
      <c r="M99" s="4">
        <v>6.5383579999999997</v>
      </c>
      <c r="N99" s="4">
        <v>74.193192108028825</v>
      </c>
      <c r="O99" s="4">
        <v>-0.33416086050200011</v>
      </c>
      <c r="P99" s="1" t="str">
        <f>HYPERLINK(".\sm_car_250703_0822\sm_car_250703_0822_098_Ca127TrN_MaLSS_DrSt_ode23t_1.png","figure")</f>
        <v>figure</v>
      </c>
      <c r="Q99" t="s">
        <v>15</v>
      </c>
      <c r="U99">
        <f>L99-'2024b_250702_1901'!L99</f>
        <v>-2</v>
      </c>
      <c r="V99" s="7">
        <f>U99/'2024b_250702_1901'!L99</f>
        <v>-1.7006802721088435E-3</v>
      </c>
      <c r="W99" s="4">
        <f>M99-'2024b_250702_1901'!M99</f>
        <v>-0.59400770000000058</v>
      </c>
      <c r="X99" s="7">
        <f>W99/'2024b_250702_1901'!M99</f>
        <v>-8.3283404831583516E-2</v>
      </c>
    </row>
    <row r="100" spans="1:24" x14ac:dyDescent="0.25">
      <c r="A100">
        <v>99</v>
      </c>
      <c r="B100">
        <v>145</v>
      </c>
      <c r="C100" t="s">
        <v>46</v>
      </c>
      <c r="D100" t="s">
        <v>17</v>
      </c>
      <c r="E100" t="s">
        <v>50</v>
      </c>
      <c r="F100" t="s">
        <v>19</v>
      </c>
      <c r="G100" t="s">
        <v>26</v>
      </c>
      <c r="H100" t="s">
        <v>21</v>
      </c>
      <c r="I100" t="s">
        <v>22</v>
      </c>
      <c r="J100" t="s">
        <v>147</v>
      </c>
      <c r="K100" t="s">
        <v>23</v>
      </c>
      <c r="L100">
        <v>337</v>
      </c>
      <c r="M100" s="4">
        <v>14.718416899999999</v>
      </c>
      <c r="N100" s="4">
        <v>62.668374634538594</v>
      </c>
      <c r="O100" s="4">
        <v>1.9269740706760869E-2</v>
      </c>
      <c r="P100" s="1" t="str">
        <f>HYPERLINK(".\sm_car_250703_0822\sm_car_250703_0822_099_Ca145TrN_MaWOT_DrSt_ode23t_1.png","figure")</f>
        <v>figure</v>
      </c>
      <c r="Q100" t="s">
        <v>15</v>
      </c>
      <c r="U100">
        <f>L100-'2024b_250702_1901'!L100</f>
        <v>-4</v>
      </c>
      <c r="V100" s="7">
        <f>U100/'2024b_250702_1901'!L100</f>
        <v>-1.1730205278592375E-2</v>
      </c>
      <c r="W100" s="4">
        <f>M100-'2024b_250702_1901'!M100</f>
        <v>-0.91818920000000048</v>
      </c>
      <c r="X100" s="7">
        <f>W100/'2024b_250702_1901'!M100</f>
        <v>-5.8720491782420774E-2</v>
      </c>
    </row>
    <row r="101" spans="1:24" x14ac:dyDescent="0.25">
      <c r="A101">
        <v>100</v>
      </c>
      <c r="B101">
        <v>145</v>
      </c>
      <c r="C101" t="s">
        <v>46</v>
      </c>
      <c r="D101" t="s">
        <v>17</v>
      </c>
      <c r="E101" t="s">
        <v>50</v>
      </c>
      <c r="F101" t="s">
        <v>19</v>
      </c>
      <c r="G101" t="s">
        <v>26</v>
      </c>
      <c r="H101" t="s">
        <v>21</v>
      </c>
      <c r="I101" t="s">
        <v>24</v>
      </c>
      <c r="J101" t="s">
        <v>147</v>
      </c>
      <c r="K101" t="s">
        <v>23</v>
      </c>
      <c r="L101">
        <v>464</v>
      </c>
      <c r="M101" s="4">
        <v>18.9208544</v>
      </c>
      <c r="N101" s="4">
        <v>25.003718997734673</v>
      </c>
      <c r="O101" s="4">
        <v>-5.0010754753469833E-2</v>
      </c>
      <c r="P101" s="1" t="str">
        <f>HYPERLINK(".\sm_car_250703_0822\sm_car_250703_0822_100_Ca145TrN_MaLSS_DrSt_ode23t_1.png","figure")</f>
        <v>figure</v>
      </c>
      <c r="Q101" t="s">
        <v>15</v>
      </c>
      <c r="U101">
        <f>L101-'2024b_250702_1901'!L101</f>
        <v>18</v>
      </c>
      <c r="V101" s="7">
        <f>U101/'2024b_250702_1901'!L101</f>
        <v>4.0358744394618833E-2</v>
      </c>
      <c r="W101" s="4">
        <f>M101-'2024b_250702_1901'!M101</f>
        <v>-4.790313900000001</v>
      </c>
      <c r="X101" s="7">
        <f>W101/'2024b_250702_1901'!M101</f>
        <v>-0.20202774656194403</v>
      </c>
    </row>
    <row r="102" spans="1:24" x14ac:dyDescent="0.25">
      <c r="A102">
        <v>101</v>
      </c>
      <c r="B102">
        <v>184</v>
      </c>
      <c r="C102" t="s">
        <v>105</v>
      </c>
      <c r="D102" t="s">
        <v>118</v>
      </c>
      <c r="E102" t="s">
        <v>49</v>
      </c>
      <c r="F102" t="s">
        <v>19</v>
      </c>
      <c r="G102" t="s">
        <v>20</v>
      </c>
      <c r="H102" t="s">
        <v>21</v>
      </c>
      <c r="I102" t="s">
        <v>22</v>
      </c>
      <c r="J102" t="s">
        <v>147</v>
      </c>
      <c r="K102" t="s">
        <v>23</v>
      </c>
      <c r="L102">
        <v>326</v>
      </c>
      <c r="M102" s="4">
        <v>16.0309864</v>
      </c>
      <c r="N102" s="4">
        <v>294.61515789993717</v>
      </c>
      <c r="O102" s="4">
        <v>-1.6059695534002412E-4</v>
      </c>
      <c r="P102" s="1" t="str">
        <f>HYPERLINK(".\sm_car_250703_0822\sm_car_250703_0822_101_Ca184TrN_MaWOT_DrSt_ode23t_1.png","figure")</f>
        <v>figure</v>
      </c>
      <c r="Q102" t="s">
        <v>15</v>
      </c>
      <c r="U102">
        <f>L102-'2024b_250702_1901'!L102</f>
        <v>0</v>
      </c>
      <c r="V102" s="7">
        <f>U102/'2024b_250702_1901'!L102</f>
        <v>0</v>
      </c>
      <c r="W102" s="4">
        <f>M102-'2024b_250702_1901'!M102</f>
        <v>-4.0105271999999985</v>
      </c>
      <c r="X102" s="7">
        <f>W102/'2024b_250702_1901'!M102</f>
        <v>-0.20011099361277776</v>
      </c>
    </row>
    <row r="103" spans="1:24" x14ac:dyDescent="0.25">
      <c r="A103">
        <v>102</v>
      </c>
      <c r="B103">
        <v>184</v>
      </c>
      <c r="C103" t="s">
        <v>105</v>
      </c>
      <c r="D103" t="s">
        <v>118</v>
      </c>
      <c r="E103" t="s">
        <v>49</v>
      </c>
      <c r="F103" t="s">
        <v>19</v>
      </c>
      <c r="G103" t="s">
        <v>20</v>
      </c>
      <c r="H103" t="s">
        <v>21</v>
      </c>
      <c r="I103" t="s">
        <v>24</v>
      </c>
      <c r="J103" t="s">
        <v>147</v>
      </c>
      <c r="K103" t="s">
        <v>23</v>
      </c>
      <c r="L103">
        <v>447</v>
      </c>
      <c r="M103" s="4">
        <v>12.669762</v>
      </c>
      <c r="N103" s="4">
        <v>103.56618444982256</v>
      </c>
      <c r="O103" s="4">
        <v>-0.20463898282701742</v>
      </c>
      <c r="P103" s="1" t="str">
        <f>HYPERLINK(".\sm_car_250703_0822\sm_car_250703_0822_102_Ca184TrN_MaLSS_DrSt_ode23t_1.png","figure")</f>
        <v>figure</v>
      </c>
      <c r="Q103" t="s">
        <v>15</v>
      </c>
      <c r="U103">
        <f>L103-'2024b_250702_1901'!L103</f>
        <v>0</v>
      </c>
      <c r="V103" s="7">
        <f>U103/'2024b_250702_1901'!L103</f>
        <v>0</v>
      </c>
      <c r="W103" s="4">
        <f>M103-'2024b_250702_1901'!M103</f>
        <v>-1.3755702999999997</v>
      </c>
      <c r="X103" s="7">
        <f>W103/'2024b_250702_1901'!M103</f>
        <v>-9.7937896421290055E-2</v>
      </c>
    </row>
    <row r="104" spans="1:24" x14ac:dyDescent="0.25">
      <c r="A104">
        <v>103</v>
      </c>
      <c r="B104">
        <v>217</v>
      </c>
      <c r="C104" t="s">
        <v>45</v>
      </c>
      <c r="D104" t="s">
        <v>17</v>
      </c>
      <c r="E104" t="s">
        <v>107</v>
      </c>
      <c r="F104" t="s">
        <v>119</v>
      </c>
      <c r="G104" t="s">
        <v>26</v>
      </c>
      <c r="H104" t="s">
        <v>21</v>
      </c>
      <c r="I104" t="s">
        <v>22</v>
      </c>
      <c r="J104" t="s">
        <v>147</v>
      </c>
      <c r="K104" t="s">
        <v>23</v>
      </c>
      <c r="L104">
        <v>720</v>
      </c>
      <c r="M104" s="4">
        <v>37.138908299999997</v>
      </c>
      <c r="N104" s="4">
        <v>278.50711237082686</v>
      </c>
      <c r="O104" s="4">
        <v>0.73413483701691529</v>
      </c>
      <c r="P104" s="1" t="str">
        <f>HYPERLINK(".\sm_car_250703_0822\sm_car_250703_0822_103_Ca217TrN_MaWOT_DrSt_ode23t_1.png","figure")</f>
        <v>figure</v>
      </c>
      <c r="Q104" t="s">
        <v>15</v>
      </c>
      <c r="U104">
        <f>L104-'2024b_250702_1901'!L104</f>
        <v>0</v>
      </c>
      <c r="V104" s="7">
        <f>U104/'2024b_250702_1901'!L104</f>
        <v>0</v>
      </c>
      <c r="W104" s="4">
        <f>M104-'2024b_250702_1901'!M104</f>
        <v>-5.9520247000000026</v>
      </c>
      <c r="X104" s="7">
        <f>W104/'2024b_250702_1901'!M104</f>
        <v>-0.13812707884510189</v>
      </c>
    </row>
    <row r="105" spans="1:24" x14ac:dyDescent="0.25">
      <c r="A105">
        <v>104</v>
      </c>
      <c r="B105">
        <v>217</v>
      </c>
      <c r="C105" t="s">
        <v>45</v>
      </c>
      <c r="D105" t="s">
        <v>17</v>
      </c>
      <c r="E105" t="s">
        <v>107</v>
      </c>
      <c r="F105" t="s">
        <v>119</v>
      </c>
      <c r="G105" t="s">
        <v>26</v>
      </c>
      <c r="H105" t="s">
        <v>21</v>
      </c>
      <c r="I105" t="s">
        <v>24</v>
      </c>
      <c r="J105" t="s">
        <v>147</v>
      </c>
      <c r="K105" t="s">
        <v>23</v>
      </c>
      <c r="L105">
        <v>862</v>
      </c>
      <c r="M105" s="4">
        <v>37.703792999999997</v>
      </c>
      <c r="N105" s="4">
        <v>110.07155166282237</v>
      </c>
      <c r="O105" s="4">
        <v>-0.35962119689287747</v>
      </c>
      <c r="P105" s="1" t="str">
        <f>HYPERLINK(".\sm_car_250703_0822\sm_car_250703_0822_104_Ca217TrN_MaLSS_DrSt_ode23t_1.png","figure")</f>
        <v>figure</v>
      </c>
      <c r="Q105" t="s">
        <v>15</v>
      </c>
      <c r="U105">
        <f>L105-'2024b_250702_1901'!L105</f>
        <v>0</v>
      </c>
      <c r="V105" s="7">
        <f>U105/'2024b_250702_1901'!L105</f>
        <v>0</v>
      </c>
      <c r="W105" s="4">
        <f>M105-'2024b_250702_1901'!M105</f>
        <v>-10.726604700000003</v>
      </c>
      <c r="X105" s="7">
        <f>W105/'2024b_250702_1901'!M105</f>
        <v>-0.22148496005433388</v>
      </c>
    </row>
    <row r="106" spans="1:24" x14ac:dyDescent="0.25">
      <c r="A106">
        <v>105</v>
      </c>
      <c r="B106">
        <v>12</v>
      </c>
      <c r="C106" t="s">
        <v>16</v>
      </c>
      <c r="D106" t="s">
        <v>17</v>
      </c>
      <c r="E106" t="s">
        <v>49</v>
      </c>
      <c r="F106" t="s">
        <v>28</v>
      </c>
      <c r="G106" t="s">
        <v>20</v>
      </c>
      <c r="H106" t="s">
        <v>21</v>
      </c>
      <c r="I106" t="s">
        <v>53</v>
      </c>
      <c r="J106" t="s">
        <v>147</v>
      </c>
      <c r="K106" t="s">
        <v>23</v>
      </c>
      <c r="L106">
        <v>875</v>
      </c>
      <c r="M106" s="4">
        <v>11.7202675</v>
      </c>
      <c r="N106" s="4">
        <v>255.90667833016482</v>
      </c>
      <c r="O106" s="4">
        <v>3.8631121405361846E-2</v>
      </c>
      <c r="P106" s="1" t="str">
        <f>HYPERLINK(".\sm_car_250703_0822\sm_car_250703_0822_105_Ca012TrN_MaDLC_DrSt_ode23t_1.png","figure")</f>
        <v>figure</v>
      </c>
      <c r="Q106" t="s">
        <v>15</v>
      </c>
      <c r="U106">
        <f>L106-'2024b_250702_1901'!L106</f>
        <v>0</v>
      </c>
      <c r="V106" s="7">
        <f>U106/'2024b_250702_1901'!L106</f>
        <v>0</v>
      </c>
      <c r="W106" s="4">
        <f>M106-'2024b_250702_1901'!M106</f>
        <v>-1.8134607000000003</v>
      </c>
      <c r="X106" s="7">
        <f>W106/'2024b_250702_1901'!M106</f>
        <v>-0.1339956494766904</v>
      </c>
    </row>
    <row r="107" spans="1:24" x14ac:dyDescent="0.25">
      <c r="A107">
        <v>106</v>
      </c>
      <c r="B107">
        <v>12</v>
      </c>
      <c r="C107" t="s">
        <v>16</v>
      </c>
      <c r="D107" t="s">
        <v>17</v>
      </c>
      <c r="E107" t="s">
        <v>49</v>
      </c>
      <c r="F107" t="s">
        <v>28</v>
      </c>
      <c r="G107" t="s">
        <v>20</v>
      </c>
      <c r="H107" t="s">
        <v>21</v>
      </c>
      <c r="I107" t="s">
        <v>54</v>
      </c>
      <c r="J107" t="s">
        <v>147</v>
      </c>
      <c r="K107" t="s">
        <v>23</v>
      </c>
      <c r="L107">
        <v>927</v>
      </c>
      <c r="M107" s="4">
        <v>16.057979899999999</v>
      </c>
      <c r="N107" s="4">
        <v>74.803162600850996</v>
      </c>
      <c r="O107" s="4">
        <v>0.71986257203241455</v>
      </c>
      <c r="P107" s="1" t="str">
        <f>HYPERLINK(".\sm_car_250703_0822\sm_car_250703_0822_106_Ca012TrN_MaIPA_DrSt_ode23t_1.png","figure")</f>
        <v>figure</v>
      </c>
      <c r="Q107" t="s">
        <v>15</v>
      </c>
      <c r="U107">
        <f>L107-'2024b_250702_1901'!L107</f>
        <v>0</v>
      </c>
      <c r="V107" s="7">
        <f>U107/'2024b_250702_1901'!L107</f>
        <v>0</v>
      </c>
      <c r="W107" s="4">
        <f>M107-'2024b_250702_1901'!M107</f>
        <v>-1.1517994000000016</v>
      </c>
      <c r="X107" s="7">
        <f>W107/'2024b_250702_1901'!M107</f>
        <v>-6.6927029099089111E-2</v>
      </c>
    </row>
    <row r="108" spans="1:24" x14ac:dyDescent="0.25">
      <c r="A108">
        <v>107</v>
      </c>
      <c r="B108">
        <v>142</v>
      </c>
      <c r="C108" t="s">
        <v>45</v>
      </c>
      <c r="D108" t="s">
        <v>17</v>
      </c>
      <c r="E108" t="s">
        <v>49</v>
      </c>
      <c r="F108" t="s">
        <v>28</v>
      </c>
      <c r="G108" t="s">
        <v>26</v>
      </c>
      <c r="H108" t="s">
        <v>21</v>
      </c>
      <c r="I108" t="s">
        <v>53</v>
      </c>
      <c r="J108" t="s">
        <v>147</v>
      </c>
      <c r="K108" t="s">
        <v>23</v>
      </c>
      <c r="L108">
        <v>980</v>
      </c>
      <c r="M108" s="4">
        <v>15.573979</v>
      </c>
      <c r="N108" s="4">
        <v>255.87640817823979</v>
      </c>
      <c r="O108" s="4">
        <v>-5.7958379974945018E-3</v>
      </c>
      <c r="P108" s="1" t="str">
        <f>HYPERLINK(".\sm_car_250703_0822\sm_car_250703_0822_107_Ca142TrN_MaDLC_DrSt_ode23t_1.png","figure")</f>
        <v>figure</v>
      </c>
      <c r="Q108" t="s">
        <v>15</v>
      </c>
      <c r="U108">
        <f>L108-'2024b_250702_1901'!L108</f>
        <v>11</v>
      </c>
      <c r="V108" s="7">
        <f>U108/'2024b_250702_1901'!L108</f>
        <v>1.1351909184726523E-2</v>
      </c>
      <c r="W108" s="4">
        <f>M108-'2024b_250702_1901'!M108</f>
        <v>-2.709310799999999</v>
      </c>
      <c r="X108" s="7">
        <f>W108/'2024b_250702_1901'!M108</f>
        <v>-0.14818508209611156</v>
      </c>
    </row>
    <row r="109" spans="1:24" x14ac:dyDescent="0.25">
      <c r="A109">
        <v>108</v>
      </c>
      <c r="B109">
        <v>142</v>
      </c>
      <c r="C109" t="s">
        <v>45</v>
      </c>
      <c r="D109" t="s">
        <v>17</v>
      </c>
      <c r="E109" t="s">
        <v>49</v>
      </c>
      <c r="F109" t="s">
        <v>28</v>
      </c>
      <c r="G109" t="s">
        <v>26</v>
      </c>
      <c r="H109" t="s">
        <v>21</v>
      </c>
      <c r="I109" t="s">
        <v>54</v>
      </c>
      <c r="J109" t="s">
        <v>147</v>
      </c>
      <c r="K109" t="s">
        <v>23</v>
      </c>
      <c r="L109">
        <v>2215</v>
      </c>
      <c r="M109" s="4">
        <v>91.368461300000007</v>
      </c>
      <c r="N109" s="4">
        <v>83.366006897921793</v>
      </c>
      <c r="O109" s="4">
        <v>0.85019299035514317</v>
      </c>
      <c r="P109" s="1" t="str">
        <f>HYPERLINK(".\sm_car_250703_0822\sm_car_250703_0822_108_Ca142TrN_MaIPA_DrSt_ode23t_1.png","figure")</f>
        <v>figure</v>
      </c>
      <c r="Q109" t="s">
        <v>15</v>
      </c>
      <c r="U109">
        <f>L109-'2024b_250702_1901'!L109</f>
        <v>-203</v>
      </c>
      <c r="V109" s="7">
        <f>U109/'2024b_250702_1901'!L109</f>
        <v>-8.3953680727874277E-2</v>
      </c>
      <c r="W109" s="4">
        <f>M109-'2024b_250702_1901'!M109</f>
        <v>-31.967248099999992</v>
      </c>
      <c r="X109" s="7">
        <f>W109/'2024b_250702_1901'!M109</f>
        <v>-0.25918891013408313</v>
      </c>
    </row>
    <row r="110" spans="1:24" x14ac:dyDescent="0.25">
      <c r="A110">
        <v>109</v>
      </c>
      <c r="B110">
        <v>145</v>
      </c>
      <c r="C110" t="s">
        <v>46</v>
      </c>
      <c r="D110" t="s">
        <v>17</v>
      </c>
      <c r="E110" t="s">
        <v>50</v>
      </c>
      <c r="F110" t="s">
        <v>19</v>
      </c>
      <c r="G110" t="s">
        <v>26</v>
      </c>
      <c r="H110" t="s">
        <v>21</v>
      </c>
      <c r="I110" t="s">
        <v>53</v>
      </c>
      <c r="J110" t="s">
        <v>147</v>
      </c>
      <c r="K110" t="s">
        <v>23</v>
      </c>
      <c r="L110">
        <v>467</v>
      </c>
      <c r="M110" s="4">
        <v>15.7958403</v>
      </c>
      <c r="N110" s="4">
        <v>254.84011732768624</v>
      </c>
      <c r="O110" s="4">
        <v>7.048604592711083E-2</v>
      </c>
      <c r="P110" s="1" t="str">
        <f>HYPERLINK(".\sm_car_250703_0822\sm_car_250703_0822_109_Ca145TrN_MaDLC_DrSt_ode23t_1.png","figure")</f>
        <v>figure</v>
      </c>
      <c r="Q110" t="s">
        <v>15</v>
      </c>
      <c r="U110">
        <f>L110-'2024b_250702_1901'!L110</f>
        <v>4</v>
      </c>
      <c r="V110" s="7">
        <f>U110/'2024b_250702_1901'!L110</f>
        <v>8.6393088552915772E-3</v>
      </c>
      <c r="W110" s="4">
        <f>M110-'2024b_250702_1901'!M110</f>
        <v>-1.0309125000000012</v>
      </c>
      <c r="X110" s="7">
        <f>W110/'2024b_250702_1901'!M110</f>
        <v>-6.1266277115570457E-2</v>
      </c>
    </row>
    <row r="111" spans="1:24" x14ac:dyDescent="0.25">
      <c r="A111">
        <v>110</v>
      </c>
      <c r="B111">
        <v>145</v>
      </c>
      <c r="C111" t="s">
        <v>46</v>
      </c>
      <c r="D111" t="s">
        <v>17</v>
      </c>
      <c r="E111" t="s">
        <v>50</v>
      </c>
      <c r="F111" t="s">
        <v>19</v>
      </c>
      <c r="G111" t="s">
        <v>26</v>
      </c>
      <c r="H111" t="s">
        <v>21</v>
      </c>
      <c r="I111" t="s">
        <v>54</v>
      </c>
      <c r="J111" t="s">
        <v>147</v>
      </c>
      <c r="K111" t="s">
        <v>23</v>
      </c>
      <c r="L111">
        <v>315</v>
      </c>
      <c r="M111" s="4">
        <v>12.1010142</v>
      </c>
      <c r="N111" s="4">
        <v>28.088377479140988</v>
      </c>
      <c r="O111" s="4">
        <v>1.5899315388037669E-2</v>
      </c>
      <c r="P111" s="1" t="str">
        <f>HYPERLINK(".\sm_car_250703_0822\sm_car_250703_0822_110_Ca145TrN_MaIPA_DrSt_ode23t_1.png","figure")</f>
        <v>figure</v>
      </c>
      <c r="Q111" t="s">
        <v>15</v>
      </c>
      <c r="U111">
        <f>L111-'2024b_250702_1901'!L111</f>
        <v>18</v>
      </c>
      <c r="V111" s="7">
        <f>U111/'2024b_250702_1901'!L111</f>
        <v>6.0606060606060608E-2</v>
      </c>
      <c r="W111" s="4">
        <f>M111-'2024b_250702_1901'!M111</f>
        <v>-1.5060727000000007</v>
      </c>
      <c r="X111" s="7">
        <f>W111/'2024b_250702_1901'!M111</f>
        <v>-0.11068296330201291</v>
      </c>
    </row>
    <row r="112" spans="1:24" x14ac:dyDescent="0.25">
      <c r="A112">
        <v>111</v>
      </c>
      <c r="B112">
        <v>184</v>
      </c>
      <c r="C112" t="s">
        <v>105</v>
      </c>
      <c r="D112" t="s">
        <v>118</v>
      </c>
      <c r="E112" t="s">
        <v>49</v>
      </c>
      <c r="F112" t="s">
        <v>19</v>
      </c>
      <c r="G112" t="s">
        <v>20</v>
      </c>
      <c r="H112" t="s">
        <v>21</v>
      </c>
      <c r="I112" t="s">
        <v>53</v>
      </c>
      <c r="J112" t="s">
        <v>147</v>
      </c>
      <c r="K112" t="s">
        <v>23</v>
      </c>
      <c r="L112">
        <v>377</v>
      </c>
      <c r="M112" s="4">
        <v>10.7135663</v>
      </c>
      <c r="N112" s="4">
        <v>255.80093412368518</v>
      </c>
      <c r="O112" s="4">
        <v>9.0286614749057748E-3</v>
      </c>
      <c r="P112" s="1" t="str">
        <f>HYPERLINK(".\sm_car_250703_0822\sm_car_250703_0822_111_Ca184TrN_MaDLC_DrSt_ode23t_1.png","figure")</f>
        <v>figure</v>
      </c>
      <c r="Q112" t="s">
        <v>15</v>
      </c>
      <c r="U112">
        <f>L112-'2024b_250702_1901'!L112</f>
        <v>-3</v>
      </c>
      <c r="V112" s="7">
        <f>U112/'2024b_250702_1901'!L112</f>
        <v>-7.8947368421052634E-3</v>
      </c>
      <c r="W112" s="4">
        <f>M112-'2024b_250702_1901'!M112</f>
        <v>-1.1170203999999995</v>
      </c>
      <c r="X112" s="7">
        <f>W112/'2024b_250702_1901'!M112</f>
        <v>-9.4418005490801191E-2</v>
      </c>
    </row>
    <row r="113" spans="1:24" x14ac:dyDescent="0.25">
      <c r="A113">
        <v>112</v>
      </c>
      <c r="B113">
        <v>184</v>
      </c>
      <c r="C113" t="s">
        <v>105</v>
      </c>
      <c r="D113" t="s">
        <v>118</v>
      </c>
      <c r="E113" t="s">
        <v>49</v>
      </c>
      <c r="F113" t="s">
        <v>19</v>
      </c>
      <c r="G113" t="s">
        <v>20</v>
      </c>
      <c r="H113" t="s">
        <v>21</v>
      </c>
      <c r="I113" t="s">
        <v>54</v>
      </c>
      <c r="J113" t="s">
        <v>147</v>
      </c>
      <c r="K113" t="s">
        <v>23</v>
      </c>
      <c r="L113">
        <v>334</v>
      </c>
      <c r="M113" s="4">
        <v>13.4998196</v>
      </c>
      <c r="N113" s="4">
        <v>55.266445656855446</v>
      </c>
      <c r="O113" s="4">
        <v>5.657231590299276E-3</v>
      </c>
      <c r="P113" s="1" t="str">
        <f>HYPERLINK(".\sm_car_250703_0822\sm_car_250703_0822_112_Ca184TrN_MaIPA_DrSt_ode23t_1.png","figure")</f>
        <v>figure</v>
      </c>
      <c r="Q113" t="s">
        <v>15</v>
      </c>
      <c r="U113">
        <f>L113-'2024b_250702_1901'!L113</f>
        <v>0</v>
      </c>
      <c r="V113" s="7">
        <f>U113/'2024b_250702_1901'!L113</f>
        <v>0</v>
      </c>
      <c r="W113" s="4">
        <f>M113-'2024b_250702_1901'!M113</f>
        <v>-1.2917690999999998</v>
      </c>
      <c r="X113" s="7">
        <f>W113/'2024b_250702_1901'!M113</f>
        <v>-8.7331329054599782E-2</v>
      </c>
    </row>
    <row r="114" spans="1:24" x14ac:dyDescent="0.25">
      <c r="A114">
        <v>113</v>
      </c>
      <c r="B114">
        <v>204</v>
      </c>
      <c r="C114" t="s">
        <v>105</v>
      </c>
      <c r="D114" t="s">
        <v>106</v>
      </c>
      <c r="E114" t="s">
        <v>18</v>
      </c>
      <c r="F114" t="s">
        <v>19</v>
      </c>
      <c r="G114" t="s">
        <v>20</v>
      </c>
      <c r="H114" t="s">
        <v>21</v>
      </c>
      <c r="I114" t="s">
        <v>53</v>
      </c>
      <c r="J114" t="s">
        <v>147</v>
      </c>
      <c r="K114" t="s">
        <v>23</v>
      </c>
      <c r="L114">
        <v>1813</v>
      </c>
      <c r="M114" s="4">
        <v>27.365960399999999</v>
      </c>
      <c r="N114" s="4">
        <v>253.38245213875524</v>
      </c>
      <c r="O114" s="4">
        <v>2.0616504944780623E-2</v>
      </c>
      <c r="P114" s="1" t="str">
        <f>HYPERLINK(".\sm_car_250703_0822\sm_car_250703_0822_113_Ca204TrN_MaDLC_DrSt_ode23t_1.png","figure")</f>
        <v>figure</v>
      </c>
      <c r="Q114" t="s">
        <v>15</v>
      </c>
      <c r="U114">
        <f>L114-'2024b_250702_1901'!L114</f>
        <v>66</v>
      </c>
      <c r="V114" s="7">
        <f>U114/'2024b_250702_1901'!L114</f>
        <v>3.7779049799656551E-2</v>
      </c>
      <c r="W114" s="4">
        <f>M114-'2024b_250702_1901'!M114</f>
        <v>-1.3890950000000011</v>
      </c>
      <c r="X114" s="7">
        <f>W114/'2024b_250702_1901'!M114</f>
        <v>-4.8307853373149863E-2</v>
      </c>
    </row>
    <row r="115" spans="1:24" x14ac:dyDescent="0.25">
      <c r="A115">
        <v>114</v>
      </c>
      <c r="B115">
        <v>204</v>
      </c>
      <c r="C115" t="s">
        <v>105</v>
      </c>
      <c r="D115" t="s">
        <v>106</v>
      </c>
      <c r="E115" t="s">
        <v>18</v>
      </c>
      <c r="F115" t="s">
        <v>19</v>
      </c>
      <c r="G115" t="s">
        <v>20</v>
      </c>
      <c r="H115" t="s">
        <v>21</v>
      </c>
      <c r="I115" t="s">
        <v>54</v>
      </c>
      <c r="J115" t="s">
        <v>147</v>
      </c>
      <c r="K115" t="s">
        <v>23</v>
      </c>
      <c r="L115">
        <v>704</v>
      </c>
      <c r="M115" s="4">
        <v>12.8147608</v>
      </c>
      <c r="N115" s="4">
        <v>26.038369466422857</v>
      </c>
      <c r="O115" s="4">
        <v>9.6441214159081173E-3</v>
      </c>
      <c r="P115" s="1" t="str">
        <f>HYPERLINK(".\sm_car_250703_0822\sm_car_250703_0822_114_Ca204TrN_MaIPA_DrSt_ode23t_1.png","figure")</f>
        <v>figure</v>
      </c>
      <c r="Q115" t="s">
        <v>15</v>
      </c>
      <c r="U115">
        <f>L115-'2024b_250702_1901'!L115</f>
        <v>0</v>
      </c>
      <c r="V115" s="7">
        <f>U115/'2024b_250702_1901'!L115</f>
        <v>0</v>
      </c>
      <c r="W115" s="4">
        <f>M115-'2024b_250702_1901'!M115</f>
        <v>-2.6923353999999993</v>
      </c>
      <c r="X115" s="7">
        <f>W115/'2024b_250702_1901'!M115</f>
        <v>-0.17361957166422939</v>
      </c>
    </row>
    <row r="116" spans="1:24" x14ac:dyDescent="0.25">
      <c r="A116">
        <v>115</v>
      </c>
      <c r="B116">
        <v>12</v>
      </c>
      <c r="C116" t="s">
        <v>16</v>
      </c>
      <c r="D116" t="s">
        <v>17</v>
      </c>
      <c r="E116" t="s">
        <v>49</v>
      </c>
      <c r="F116" t="s">
        <v>28</v>
      </c>
      <c r="G116" t="s">
        <v>20</v>
      </c>
      <c r="H116" t="s">
        <v>21</v>
      </c>
      <c r="I116" t="s">
        <v>55</v>
      </c>
      <c r="J116" t="s">
        <v>147</v>
      </c>
      <c r="K116" t="s">
        <v>23</v>
      </c>
      <c r="L116">
        <v>2570</v>
      </c>
      <c r="M116" s="4">
        <v>24.419063999999999</v>
      </c>
      <c r="N116" s="4">
        <v>-1.8065106528627625E-2</v>
      </c>
      <c r="O116" s="4">
        <v>-0.64610988119748181</v>
      </c>
      <c r="P116" s="1" t="str">
        <f>HYPERLINK(".\sm_car_250703_0822\sm_car_250703_0822_115_Ca012TrN_MaMPK_DrSt_ode23t_1.png","figure")</f>
        <v>figure</v>
      </c>
      <c r="Q116" t="s">
        <v>15</v>
      </c>
      <c r="U116">
        <f>L116-'2024b_250702_1901'!L116</f>
        <v>2</v>
      </c>
      <c r="V116" s="7">
        <f>U116/'2024b_250702_1901'!L116</f>
        <v>7.7881619937694702E-4</v>
      </c>
      <c r="W116" s="4">
        <f>M116-'2024b_250702_1901'!M116</f>
        <v>-1.6821449000000008</v>
      </c>
      <c r="X116" s="7">
        <f>W116/'2024b_250702_1901'!M116</f>
        <v>-6.4447011111427907E-2</v>
      </c>
    </row>
    <row r="117" spans="1:24" x14ac:dyDescent="0.25">
      <c r="A117">
        <v>116</v>
      </c>
      <c r="B117">
        <v>12</v>
      </c>
      <c r="C117" t="s">
        <v>16</v>
      </c>
      <c r="D117" t="s">
        <v>17</v>
      </c>
      <c r="E117" t="s">
        <v>49</v>
      </c>
      <c r="F117" t="s">
        <v>28</v>
      </c>
      <c r="G117" t="s">
        <v>20</v>
      </c>
      <c r="H117" t="s">
        <v>21</v>
      </c>
      <c r="I117" t="s">
        <v>55</v>
      </c>
      <c r="J117" t="s">
        <v>148</v>
      </c>
      <c r="K117" t="s">
        <v>23</v>
      </c>
      <c r="L117">
        <v>2416</v>
      </c>
      <c r="M117" s="4">
        <v>26.008185399999999</v>
      </c>
      <c r="N117" s="4">
        <v>-9.175757516870206E-3</v>
      </c>
      <c r="O117" s="4">
        <v>-3.8388244837773686E-2</v>
      </c>
      <c r="P117" s="1" t="str">
        <f>HYPERLINK(".\sm_car_250703_0822\sm_car_250703_0822_116_Ca012TrN_MaMPK_DrSt_ode23t_1.png","figure")</f>
        <v>figure</v>
      </c>
      <c r="Q117" t="s">
        <v>15</v>
      </c>
      <c r="U117">
        <f>L117-'2024b_250702_1901'!L117</f>
        <v>38</v>
      </c>
      <c r="V117" s="7">
        <f>U117/'2024b_250702_1901'!L117</f>
        <v>1.59798149705635E-2</v>
      </c>
      <c r="W117" s="4">
        <f>M117-'2024b_250702_1901'!M117</f>
        <v>1.9372769999999981</v>
      </c>
      <c r="X117" s="7">
        <f>W117/'2024b_250702_1901'!M117</f>
        <v>8.0482089325718931E-2</v>
      </c>
    </row>
    <row r="118" spans="1:24" x14ac:dyDescent="0.25">
      <c r="A118">
        <v>117</v>
      </c>
      <c r="B118">
        <v>12</v>
      </c>
      <c r="C118" t="s">
        <v>16</v>
      </c>
      <c r="D118" t="s">
        <v>17</v>
      </c>
      <c r="E118" t="s">
        <v>49</v>
      </c>
      <c r="F118" t="s">
        <v>28</v>
      </c>
      <c r="G118" t="s">
        <v>20</v>
      </c>
      <c r="H118" t="s">
        <v>21</v>
      </c>
      <c r="I118" t="s">
        <v>56</v>
      </c>
      <c r="J118" t="s">
        <v>147</v>
      </c>
      <c r="K118" t="s">
        <v>23</v>
      </c>
      <c r="L118">
        <v>2413</v>
      </c>
      <c r="M118" s="4">
        <v>24.575029000000001</v>
      </c>
      <c r="N118" s="4">
        <v>0.7876050914455579</v>
      </c>
      <c r="O118" s="4">
        <v>-0.33076544810392167</v>
      </c>
      <c r="P118" s="1" t="str">
        <f>HYPERLINK(".\sm_car_250703_0822\sm_car_250703_0822_117_Ca012TrN_MaMPC_DrSt_ode23t_1.png","figure")</f>
        <v>figure</v>
      </c>
      <c r="Q118" t="s">
        <v>15</v>
      </c>
      <c r="U118">
        <f>L118-'2024b_250702_1901'!L118</f>
        <v>9</v>
      </c>
      <c r="V118" s="7">
        <f>U118/'2024b_250702_1901'!L118</f>
        <v>3.7437603993344427E-3</v>
      </c>
      <c r="W118" s="4">
        <f>M118-'2024b_250702_1901'!M118</f>
        <v>-2.1119827999999998</v>
      </c>
      <c r="X118" s="7">
        <f>W118/'2024b_250702_1901'!M118</f>
        <v>-7.913897651141294E-2</v>
      </c>
    </row>
    <row r="119" spans="1:24" x14ac:dyDescent="0.25">
      <c r="A119">
        <v>118</v>
      </c>
      <c r="B119">
        <v>12</v>
      </c>
      <c r="C119" t="s">
        <v>16</v>
      </c>
      <c r="D119" t="s">
        <v>17</v>
      </c>
      <c r="E119" t="s">
        <v>49</v>
      </c>
      <c r="F119" t="s">
        <v>28</v>
      </c>
      <c r="G119" t="s">
        <v>20</v>
      </c>
      <c r="H119" t="s">
        <v>21</v>
      </c>
      <c r="I119" t="s">
        <v>56</v>
      </c>
      <c r="J119" t="s">
        <v>148</v>
      </c>
      <c r="K119" t="s">
        <v>23</v>
      </c>
      <c r="L119">
        <v>2272</v>
      </c>
      <c r="M119" s="4">
        <v>24.409382399999998</v>
      </c>
      <c r="N119" s="4">
        <v>0.78769523042728196</v>
      </c>
      <c r="O119" s="4">
        <v>0.10588605286740421</v>
      </c>
      <c r="P119" s="1" t="str">
        <f>HYPERLINK(".\sm_car_250703_0822\sm_car_250703_0822_118_Ca012TrN_MaMPC_DrSt_ode23t_1.png","figure")</f>
        <v>figure</v>
      </c>
      <c r="Q119" t="s">
        <v>15</v>
      </c>
      <c r="U119">
        <f>L119-'2024b_250702_1901'!L119</f>
        <v>31</v>
      </c>
      <c r="V119" s="7">
        <f>U119/'2024b_250702_1901'!L119</f>
        <v>1.3833110218652387E-2</v>
      </c>
      <c r="W119" s="4">
        <f>M119-'2024b_250702_1901'!M119</f>
        <v>-1.5570978000000011</v>
      </c>
      <c r="X119" s="7">
        <f>W119/'2024b_250702_1901'!M119</f>
        <v>-5.9965686069381137E-2</v>
      </c>
    </row>
    <row r="120" spans="1:24" x14ac:dyDescent="0.25">
      <c r="A120">
        <v>119</v>
      </c>
      <c r="B120">
        <v>142</v>
      </c>
      <c r="C120" t="s">
        <v>45</v>
      </c>
      <c r="D120" t="s">
        <v>17</v>
      </c>
      <c r="E120" t="s">
        <v>49</v>
      </c>
      <c r="F120" t="s">
        <v>28</v>
      </c>
      <c r="G120" t="s">
        <v>26</v>
      </c>
      <c r="H120" t="s">
        <v>21</v>
      </c>
      <c r="I120" t="s">
        <v>55</v>
      </c>
      <c r="J120" t="s">
        <v>147</v>
      </c>
      <c r="K120" t="s">
        <v>23</v>
      </c>
      <c r="L120">
        <v>2549</v>
      </c>
      <c r="M120" s="4">
        <v>43.801442700000003</v>
      </c>
      <c r="N120" s="4">
        <v>-1.8997277000192492E-2</v>
      </c>
      <c r="O120" s="4">
        <v>-0.56284356758554777</v>
      </c>
      <c r="P120" s="1" t="str">
        <f>HYPERLINK(".\sm_car_250703_0822\sm_car_250703_0822_119_Ca142TrN_MaMPK_DrSt_ode23t_1.png","figure")</f>
        <v>figure</v>
      </c>
      <c r="Q120" t="s">
        <v>15</v>
      </c>
      <c r="U120">
        <f>L120-'2024b_250702_1901'!L120</f>
        <v>4</v>
      </c>
      <c r="V120" s="7">
        <f>U120/'2024b_250702_1901'!L120</f>
        <v>1.5717092337917485E-3</v>
      </c>
      <c r="W120" s="4">
        <f>M120-'2024b_250702_1901'!M120</f>
        <v>-8.4693751000000006</v>
      </c>
      <c r="X120" s="7">
        <f>W120/'2024b_250702_1901'!M120</f>
        <v>-0.16202874675513496</v>
      </c>
    </row>
    <row r="121" spans="1:24" x14ac:dyDescent="0.25">
      <c r="A121">
        <v>120</v>
      </c>
      <c r="B121">
        <v>142</v>
      </c>
      <c r="C121" t="s">
        <v>45</v>
      </c>
      <c r="D121" t="s">
        <v>17</v>
      </c>
      <c r="E121" t="s">
        <v>49</v>
      </c>
      <c r="F121" t="s">
        <v>28</v>
      </c>
      <c r="G121" t="s">
        <v>26</v>
      </c>
      <c r="H121" t="s">
        <v>21</v>
      </c>
      <c r="I121" t="s">
        <v>55</v>
      </c>
      <c r="J121" t="s">
        <v>148</v>
      </c>
      <c r="K121" t="s">
        <v>23</v>
      </c>
      <c r="L121">
        <v>2934</v>
      </c>
      <c r="M121" s="4">
        <v>51.610192699999999</v>
      </c>
      <c r="N121" s="4">
        <v>-5.4002334565880772E-3</v>
      </c>
      <c r="O121" s="4">
        <v>-8.1178992091338026E-2</v>
      </c>
      <c r="P121" s="1" t="str">
        <f>HYPERLINK(".\sm_car_250703_0822\sm_car_250703_0822_120_Ca142TrN_MaMPK_DrSt_ode23t_1.png","figure")</f>
        <v>figure</v>
      </c>
      <c r="Q121" t="s">
        <v>15</v>
      </c>
      <c r="U121">
        <f>L121-'2024b_250702_1901'!L121</f>
        <v>32</v>
      </c>
      <c r="V121" s="7">
        <f>U121/'2024b_250702_1901'!L121</f>
        <v>1.1026878015161957E-2</v>
      </c>
      <c r="W121" s="4">
        <f>M121-'2024b_250702_1901'!M121</f>
        <v>-0.5376125000000016</v>
      </c>
      <c r="X121" s="7">
        <f>W121/'2024b_250702_1901'!M121</f>
        <v>-1.0309398409734062E-2</v>
      </c>
    </row>
    <row r="122" spans="1:24" x14ac:dyDescent="0.25">
      <c r="A122">
        <v>121</v>
      </c>
      <c r="B122">
        <v>142</v>
      </c>
      <c r="C122" t="s">
        <v>45</v>
      </c>
      <c r="D122" t="s">
        <v>17</v>
      </c>
      <c r="E122" t="s">
        <v>49</v>
      </c>
      <c r="F122" t="s">
        <v>28</v>
      </c>
      <c r="G122" t="s">
        <v>26</v>
      </c>
      <c r="H122" t="s">
        <v>21</v>
      </c>
      <c r="I122" t="s">
        <v>56</v>
      </c>
      <c r="J122" t="s">
        <v>147</v>
      </c>
      <c r="K122" t="s">
        <v>23</v>
      </c>
      <c r="L122">
        <v>2399</v>
      </c>
      <c r="M122" s="4">
        <v>48.5895206</v>
      </c>
      <c r="N122" s="4">
        <v>0.78809498570170611</v>
      </c>
      <c r="O122" s="4">
        <v>-0.36922692937759566</v>
      </c>
      <c r="P122" s="1" t="str">
        <f>HYPERLINK(".\sm_car_250703_0822\sm_car_250703_0822_121_Ca142TrN_MaMPC_DrSt_ode23t_1.png","figure")</f>
        <v>figure</v>
      </c>
      <c r="Q122" t="s">
        <v>15</v>
      </c>
      <c r="U122">
        <f>L122-'2024b_250702_1901'!L122</f>
        <v>3</v>
      </c>
      <c r="V122" s="7">
        <f>U122/'2024b_250702_1901'!L122</f>
        <v>1.2520868113522537E-3</v>
      </c>
      <c r="W122" s="4">
        <f>M122-'2024b_250702_1901'!M122</f>
        <v>-0.85322399999999732</v>
      </c>
      <c r="X122" s="7">
        <f>W122/'2024b_250702_1901'!M122</f>
        <v>-1.7256809000040774E-2</v>
      </c>
    </row>
    <row r="123" spans="1:24" x14ac:dyDescent="0.25">
      <c r="A123">
        <v>122</v>
      </c>
      <c r="B123">
        <v>142</v>
      </c>
      <c r="C123" t="s">
        <v>45</v>
      </c>
      <c r="D123" t="s">
        <v>17</v>
      </c>
      <c r="E123" t="s">
        <v>49</v>
      </c>
      <c r="F123" t="s">
        <v>28</v>
      </c>
      <c r="G123" t="s">
        <v>26</v>
      </c>
      <c r="H123" t="s">
        <v>21</v>
      </c>
      <c r="I123" t="s">
        <v>56</v>
      </c>
      <c r="J123" t="s">
        <v>148</v>
      </c>
      <c r="K123" t="s">
        <v>23</v>
      </c>
      <c r="L123">
        <v>2768</v>
      </c>
      <c r="M123" s="4">
        <v>49.7358282</v>
      </c>
      <c r="N123" s="4">
        <v>0.78130841936198259</v>
      </c>
      <c r="O123" s="4">
        <v>1.7672025888840624E-2</v>
      </c>
      <c r="P123" s="1" t="str">
        <f>HYPERLINK(".\sm_car_250703_0822\sm_car_250703_0822_122_Ca142TrN_MaMPC_DrSt_ode23t_1.png","figure")</f>
        <v>figure</v>
      </c>
      <c r="Q123" t="s">
        <v>15</v>
      </c>
      <c r="U123">
        <f>L123-'2024b_250702_1901'!L123</f>
        <v>-15</v>
      </c>
      <c r="V123" s="7">
        <f>U123/'2024b_250702_1901'!L123</f>
        <v>-5.3898670499461015E-3</v>
      </c>
      <c r="W123" s="4">
        <f>M123-'2024b_250702_1901'!M123</f>
        <v>-14.075052999999997</v>
      </c>
      <c r="X123" s="7">
        <f>W123/'2024b_250702_1901'!M123</f>
        <v>-0.22057449662676024</v>
      </c>
    </row>
    <row r="124" spans="1:24" x14ac:dyDescent="0.25">
      <c r="A124">
        <v>123</v>
      </c>
      <c r="B124">
        <v>116</v>
      </c>
      <c r="C124" t="s">
        <v>16</v>
      </c>
      <c r="D124" t="s">
        <v>35</v>
      </c>
      <c r="E124" t="s">
        <v>18</v>
      </c>
      <c r="F124" t="s">
        <v>28</v>
      </c>
      <c r="G124" t="s">
        <v>20</v>
      </c>
      <c r="H124" t="s">
        <v>21</v>
      </c>
      <c r="I124" t="s">
        <v>55</v>
      </c>
      <c r="J124" t="s">
        <v>147</v>
      </c>
      <c r="K124" t="s">
        <v>23</v>
      </c>
      <c r="L124">
        <v>2863</v>
      </c>
      <c r="M124" s="4">
        <v>13.960663200000001</v>
      </c>
      <c r="N124" s="4">
        <v>-1.8503653607700302E-2</v>
      </c>
      <c r="O124" s="4">
        <v>-0.54244403805252339</v>
      </c>
      <c r="P124" s="1" t="str">
        <f>HYPERLINK(".\sm_car_250703_0822\sm_car_250703_0822_123_Ca116TrN_MaMPK_DrSt_ode23t_1.png","figure")</f>
        <v>figure</v>
      </c>
      <c r="Q124" t="s">
        <v>15</v>
      </c>
      <c r="U124">
        <f>L124-'2024b_250702_1901'!L124</f>
        <v>3</v>
      </c>
      <c r="V124" s="7">
        <f>U124/'2024b_250702_1901'!L124</f>
        <v>1.048951048951049E-3</v>
      </c>
      <c r="W124" s="4">
        <f>M124-'2024b_250702_1901'!M124</f>
        <v>-0.6655186999999998</v>
      </c>
      <c r="X124" s="7">
        <f>W124/'2024b_250702_1901'!M124</f>
        <v>-4.5501874963007248E-2</v>
      </c>
    </row>
    <row r="125" spans="1:24" x14ac:dyDescent="0.25">
      <c r="A125">
        <v>124</v>
      </c>
      <c r="B125">
        <v>116</v>
      </c>
      <c r="C125" t="s">
        <v>16</v>
      </c>
      <c r="D125" t="s">
        <v>35</v>
      </c>
      <c r="E125" t="s">
        <v>18</v>
      </c>
      <c r="F125" t="s">
        <v>28</v>
      </c>
      <c r="G125" t="s">
        <v>20</v>
      </c>
      <c r="H125" t="s">
        <v>21</v>
      </c>
      <c r="I125" t="s">
        <v>55</v>
      </c>
      <c r="J125" t="s">
        <v>148</v>
      </c>
      <c r="K125" t="s">
        <v>23</v>
      </c>
      <c r="L125">
        <v>2787</v>
      </c>
      <c r="M125" s="4">
        <v>13.023575299999999</v>
      </c>
      <c r="N125" s="4">
        <v>-1.8766137226439106E-2</v>
      </c>
      <c r="O125" s="4">
        <v>-0.53554408057647962</v>
      </c>
      <c r="P125" s="1" t="str">
        <f>HYPERLINK(".\sm_car_250703_0822\sm_car_250703_0822_124_Ca116TrN_MaMPK_DrSt_ode23t_1.png","figure")</f>
        <v>figure</v>
      </c>
      <c r="Q125" t="s">
        <v>15</v>
      </c>
      <c r="U125">
        <f>L125-'2024b_250702_1901'!L125</f>
        <v>5</v>
      </c>
      <c r="V125" s="7">
        <f>U125/'2024b_250702_1901'!L125</f>
        <v>1.7972681524083393E-3</v>
      </c>
      <c r="W125" s="4">
        <f>M125-'2024b_250702_1901'!M125</f>
        <v>-0.52421660000000081</v>
      </c>
      <c r="X125" s="7">
        <f>W125/'2024b_250702_1901'!M125</f>
        <v>-3.8693877487149829E-2</v>
      </c>
    </row>
    <row r="126" spans="1:24" x14ac:dyDescent="0.25">
      <c r="A126">
        <v>125</v>
      </c>
      <c r="B126">
        <v>116</v>
      </c>
      <c r="C126" t="s">
        <v>16</v>
      </c>
      <c r="D126" t="s">
        <v>35</v>
      </c>
      <c r="E126" t="s">
        <v>18</v>
      </c>
      <c r="F126" t="s">
        <v>28</v>
      </c>
      <c r="G126" t="s">
        <v>20</v>
      </c>
      <c r="H126" t="s">
        <v>21</v>
      </c>
      <c r="I126" t="s">
        <v>56</v>
      </c>
      <c r="J126" t="s">
        <v>147</v>
      </c>
      <c r="K126" t="s">
        <v>23</v>
      </c>
      <c r="L126">
        <v>2758</v>
      </c>
      <c r="M126" s="4">
        <v>12.9815846</v>
      </c>
      <c r="N126" s="4">
        <v>0.78266298711955784</v>
      </c>
      <c r="O126" s="4">
        <v>-0.362744059229269</v>
      </c>
      <c r="P126" s="1" t="str">
        <f>HYPERLINK(".\sm_car_250703_0822\sm_car_250703_0822_125_Ca116TrN_MaMPC_DrSt_ode23t_1.png","figure")</f>
        <v>figure</v>
      </c>
      <c r="Q126" t="s">
        <v>15</v>
      </c>
      <c r="U126">
        <f>L126-'2024b_250702_1901'!L126</f>
        <v>18</v>
      </c>
      <c r="V126" s="7">
        <f>U126/'2024b_250702_1901'!L126</f>
        <v>6.5693430656934308E-3</v>
      </c>
      <c r="W126" s="4">
        <f>M126-'2024b_250702_1901'!M126</f>
        <v>-1.1744672999999999</v>
      </c>
      <c r="X126" s="7">
        <f>W126/'2024b_250702_1901'!M126</f>
        <v>-8.2965738490970067E-2</v>
      </c>
    </row>
    <row r="127" spans="1:24" x14ac:dyDescent="0.25">
      <c r="A127">
        <v>126</v>
      </c>
      <c r="B127">
        <v>116</v>
      </c>
      <c r="C127" t="s">
        <v>16</v>
      </c>
      <c r="D127" t="s">
        <v>35</v>
      </c>
      <c r="E127" t="s">
        <v>18</v>
      </c>
      <c r="F127" t="s">
        <v>28</v>
      </c>
      <c r="G127" t="s">
        <v>20</v>
      </c>
      <c r="H127" t="s">
        <v>21</v>
      </c>
      <c r="I127" t="s">
        <v>56</v>
      </c>
      <c r="J127" t="s">
        <v>148</v>
      </c>
      <c r="K127" t="s">
        <v>23</v>
      </c>
      <c r="L127">
        <v>2616</v>
      </c>
      <c r="M127" s="4">
        <v>12.1913386</v>
      </c>
      <c r="N127" s="4">
        <v>0.78683468739619222</v>
      </c>
      <c r="O127" s="4">
        <v>0.44059235704410205</v>
      </c>
      <c r="P127" s="1" t="str">
        <f>HYPERLINK(".\sm_car_250703_0822\sm_car_250703_0822_126_Ca116TrN_MaMPC_DrSt_ode23t_1.png","figure")</f>
        <v>figure</v>
      </c>
      <c r="Q127" t="s">
        <v>15</v>
      </c>
      <c r="U127">
        <f>L127-'2024b_250702_1901'!L127</f>
        <v>-22</v>
      </c>
      <c r="V127" s="7">
        <f>U127/'2024b_250702_1901'!L127</f>
        <v>-8.339651250947688E-3</v>
      </c>
      <c r="W127" s="4">
        <f>M127-'2024b_250702_1901'!M127</f>
        <v>-1.3022097000000006</v>
      </c>
      <c r="X127" s="7">
        <f>W127/'2024b_250702_1901'!M127</f>
        <v>-9.6506098399632992E-2</v>
      </c>
    </row>
    <row r="128" spans="1:24" x14ac:dyDescent="0.25">
      <c r="A128">
        <v>127</v>
      </c>
      <c r="B128">
        <v>143</v>
      </c>
      <c r="C128" t="s">
        <v>46</v>
      </c>
      <c r="D128" t="s">
        <v>17</v>
      </c>
      <c r="E128" t="s">
        <v>47</v>
      </c>
      <c r="F128" t="s">
        <v>19</v>
      </c>
      <c r="G128" t="s">
        <v>26</v>
      </c>
      <c r="H128" t="s">
        <v>21</v>
      </c>
      <c r="I128" t="s">
        <v>55</v>
      </c>
      <c r="J128" t="s">
        <v>147</v>
      </c>
      <c r="K128" t="s">
        <v>23</v>
      </c>
      <c r="L128">
        <v>2475</v>
      </c>
      <c r="M128" s="4">
        <v>50.354486899999998</v>
      </c>
      <c r="N128" s="4">
        <v>-1.6370797003657636E-2</v>
      </c>
      <c r="O128" s="4">
        <v>-0.40347137902743158</v>
      </c>
      <c r="P128" s="1" t="str">
        <f>HYPERLINK(".\sm_car_250703_0822\sm_car_250703_0822_127_Ca143TrN_MaMPK_DrSt_ode23t_1.png","figure")</f>
        <v>figure</v>
      </c>
      <c r="Q128" t="s">
        <v>15</v>
      </c>
      <c r="U128">
        <f>L128-'2024b_250702_1901'!L128</f>
        <v>37</v>
      </c>
      <c r="V128" s="7">
        <f>U128/'2024b_250702_1901'!L128</f>
        <v>1.5176374077112387E-2</v>
      </c>
      <c r="W128" s="4">
        <f>M128-'2024b_250702_1901'!M128</f>
        <v>-7.8852010000000021</v>
      </c>
      <c r="X128" s="7">
        <f>W128/'2024b_250702_1901'!M128</f>
        <v>-0.13539222623478384</v>
      </c>
    </row>
    <row r="129" spans="1:24" x14ac:dyDescent="0.25">
      <c r="A129">
        <v>128</v>
      </c>
      <c r="B129">
        <v>143</v>
      </c>
      <c r="C129" t="s">
        <v>46</v>
      </c>
      <c r="D129" t="s">
        <v>17</v>
      </c>
      <c r="E129" t="s">
        <v>47</v>
      </c>
      <c r="F129" t="s">
        <v>19</v>
      </c>
      <c r="G129" t="s">
        <v>26</v>
      </c>
      <c r="H129" t="s">
        <v>21</v>
      </c>
      <c r="I129" t="s">
        <v>55</v>
      </c>
      <c r="J129" t="s">
        <v>148</v>
      </c>
      <c r="K129" t="s">
        <v>23</v>
      </c>
      <c r="L129">
        <v>2193</v>
      </c>
      <c r="M129" s="4">
        <v>43.068778399999999</v>
      </c>
      <c r="N129" s="4">
        <v>-1.1627375714020421E-2</v>
      </c>
      <c r="O129" s="4">
        <v>-9.298396022381504E-2</v>
      </c>
      <c r="P129" s="1" t="str">
        <f>HYPERLINK(".\sm_car_250703_0822\sm_car_250703_0822_128_Ca143TrN_MaMPK_DrSt_ode23t_1.png","figure")</f>
        <v>figure</v>
      </c>
      <c r="Q129" t="s">
        <v>15</v>
      </c>
      <c r="U129">
        <f>L129-'2024b_250702_1901'!L129</f>
        <v>25</v>
      </c>
      <c r="V129" s="7">
        <f>U129/'2024b_250702_1901'!L129</f>
        <v>1.1531365313653136E-2</v>
      </c>
      <c r="W129" s="4">
        <f>M129-'2024b_250702_1901'!M129</f>
        <v>-6.7329672999999985</v>
      </c>
      <c r="X129" s="7">
        <f>W129/'2024b_250702_1901'!M129</f>
        <v>-0.13519540741721428</v>
      </c>
    </row>
    <row r="130" spans="1:24" x14ac:dyDescent="0.25">
      <c r="A130">
        <v>129</v>
      </c>
      <c r="B130">
        <v>143</v>
      </c>
      <c r="C130" t="s">
        <v>46</v>
      </c>
      <c r="D130" t="s">
        <v>17</v>
      </c>
      <c r="E130" t="s">
        <v>47</v>
      </c>
      <c r="F130" t="s">
        <v>19</v>
      </c>
      <c r="G130" t="s">
        <v>26</v>
      </c>
      <c r="H130" t="s">
        <v>21</v>
      </c>
      <c r="I130" t="s">
        <v>56</v>
      </c>
      <c r="J130" t="s">
        <v>147</v>
      </c>
      <c r="K130" t="s">
        <v>23</v>
      </c>
      <c r="L130">
        <v>2371</v>
      </c>
      <c r="M130" s="4">
        <v>50.031691000000002</v>
      </c>
      <c r="N130" s="4">
        <v>0.78883444427953364</v>
      </c>
      <c r="O130" s="4">
        <v>-0.27140681564739461</v>
      </c>
      <c r="P130" s="1" t="str">
        <f>HYPERLINK(".\sm_car_250703_0822\sm_car_250703_0822_129_Ca143TrN_MaMPC_DrSt_ode23t_1.png","figure")</f>
        <v>figure</v>
      </c>
      <c r="Q130" t="s">
        <v>15</v>
      </c>
      <c r="U130">
        <f>L130-'2024b_250702_1901'!L130</f>
        <v>26</v>
      </c>
      <c r="V130" s="7">
        <f>U130/'2024b_250702_1901'!L130</f>
        <v>1.1087420042643924E-2</v>
      </c>
      <c r="W130" s="4">
        <f>M130-'2024b_250702_1901'!M130</f>
        <v>-8.8810943999999949</v>
      </c>
      <c r="X130" s="7">
        <f>W130/'2024b_250702_1901'!M130</f>
        <v>-0.15074986422217265</v>
      </c>
    </row>
    <row r="131" spans="1:24" x14ac:dyDescent="0.25">
      <c r="A131">
        <v>130</v>
      </c>
      <c r="B131">
        <v>143</v>
      </c>
      <c r="C131" t="s">
        <v>46</v>
      </c>
      <c r="D131" t="s">
        <v>17</v>
      </c>
      <c r="E131" t="s">
        <v>47</v>
      </c>
      <c r="F131" t="s">
        <v>19</v>
      </c>
      <c r="G131" t="s">
        <v>26</v>
      </c>
      <c r="H131" t="s">
        <v>21</v>
      </c>
      <c r="I131" t="s">
        <v>56</v>
      </c>
      <c r="J131" t="s">
        <v>148</v>
      </c>
      <c r="K131" t="s">
        <v>23</v>
      </c>
      <c r="L131">
        <v>2119</v>
      </c>
      <c r="M131" s="4">
        <v>48.2154028</v>
      </c>
      <c r="N131" s="4">
        <v>0.78810043668751639</v>
      </c>
      <c r="O131" s="4">
        <v>-0.15745277719123998</v>
      </c>
      <c r="P131" s="1" t="str">
        <f>HYPERLINK(".\sm_car_250703_0822\sm_car_250703_0822_130_Ca143TrN_MaMPC_DrSt_ode23t_1.png","figure")</f>
        <v>figure</v>
      </c>
      <c r="Q131" t="s">
        <v>15</v>
      </c>
      <c r="U131">
        <f>L131-'2024b_250702_1901'!L131</f>
        <v>12</v>
      </c>
      <c r="V131" s="7">
        <f>U131/'2024b_250702_1901'!L131</f>
        <v>5.6953013763644993E-3</v>
      </c>
      <c r="W131" s="4">
        <f>M131-'2024b_250702_1901'!M131</f>
        <v>-4.8666392000000016</v>
      </c>
      <c r="X131" s="7">
        <f>W131/'2024b_250702_1901'!M131</f>
        <v>-9.1681461689058635E-2</v>
      </c>
    </row>
    <row r="132" spans="1:24" x14ac:dyDescent="0.25">
      <c r="A132">
        <v>131</v>
      </c>
      <c r="B132">
        <v>166</v>
      </c>
      <c r="C132" t="s">
        <v>45</v>
      </c>
      <c r="D132" t="s">
        <v>57</v>
      </c>
      <c r="E132" t="s">
        <v>18</v>
      </c>
      <c r="F132" t="s">
        <v>19</v>
      </c>
      <c r="G132" t="s">
        <v>26</v>
      </c>
      <c r="H132" t="s">
        <v>21</v>
      </c>
      <c r="I132" t="s">
        <v>55</v>
      </c>
      <c r="J132" t="s">
        <v>147</v>
      </c>
      <c r="K132" t="s">
        <v>23</v>
      </c>
      <c r="L132">
        <v>3171</v>
      </c>
      <c r="M132" s="4">
        <v>53.8164868</v>
      </c>
      <c r="N132" s="4">
        <v>-1.9193702207463803E-2</v>
      </c>
      <c r="O132" s="4">
        <v>-0.57255989055658452</v>
      </c>
      <c r="P132" s="1" t="str">
        <f>HYPERLINK(".\sm_car_250703_0822\sm_car_250703_0822_131_Ca166TrN_MaMPK_DrSt_ode23t_1.png","figure")</f>
        <v>figure</v>
      </c>
      <c r="Q132" t="s">
        <v>15</v>
      </c>
      <c r="U132">
        <f>L132-'2024b_250702_1901'!L132</f>
        <v>-19</v>
      </c>
      <c r="V132" s="7">
        <f>U132/'2024b_250702_1901'!L132</f>
        <v>-5.9561128526645765E-3</v>
      </c>
      <c r="W132" s="4">
        <f>M132-'2024b_250702_1901'!M132</f>
        <v>-1.4019376000000037</v>
      </c>
      <c r="X132" s="7">
        <f>W132/'2024b_250702_1901'!M132</f>
        <v>-2.5388946085176663E-2</v>
      </c>
    </row>
    <row r="133" spans="1:24" x14ac:dyDescent="0.25">
      <c r="A133">
        <v>132</v>
      </c>
      <c r="B133">
        <v>166</v>
      </c>
      <c r="C133" t="s">
        <v>45</v>
      </c>
      <c r="D133" t="s">
        <v>57</v>
      </c>
      <c r="E133" t="s">
        <v>18</v>
      </c>
      <c r="F133" t="s">
        <v>19</v>
      </c>
      <c r="G133" t="s">
        <v>26</v>
      </c>
      <c r="H133" t="s">
        <v>21</v>
      </c>
      <c r="I133" t="s">
        <v>55</v>
      </c>
      <c r="J133" t="s">
        <v>148</v>
      </c>
      <c r="K133" t="s">
        <v>23</v>
      </c>
      <c r="L133">
        <v>3728</v>
      </c>
      <c r="M133" s="4">
        <v>52.886305299999997</v>
      </c>
      <c r="N133" s="4">
        <v>-1.0858731331545107E-2</v>
      </c>
      <c r="O133" s="4">
        <v>-8.4528713929494112E-2</v>
      </c>
      <c r="P133" s="1" t="str">
        <f>HYPERLINK(".\sm_car_250703_0822\sm_car_250703_0822_132_Ca166TrN_MaMPK_DrSt_ode23t_1.png","figure")</f>
        <v>figure</v>
      </c>
      <c r="Q133" t="s">
        <v>15</v>
      </c>
      <c r="U133">
        <f>L133-'2024b_250702_1901'!L133</f>
        <v>-20</v>
      </c>
      <c r="V133" s="7">
        <f>U133/'2024b_250702_1901'!L133</f>
        <v>-5.3361792956243331E-3</v>
      </c>
      <c r="W133" s="4">
        <f>M133-'2024b_250702_1901'!M133</f>
        <v>-5.1526679000000044</v>
      </c>
      <c r="X133" s="7">
        <f>W133/'2024b_250702_1901'!M133</f>
        <v>-8.8779446222180994E-2</v>
      </c>
    </row>
    <row r="134" spans="1:24" x14ac:dyDescent="0.25">
      <c r="A134">
        <v>133</v>
      </c>
      <c r="B134">
        <v>166</v>
      </c>
      <c r="C134" t="s">
        <v>45</v>
      </c>
      <c r="D134" t="s">
        <v>57</v>
      </c>
      <c r="E134" t="s">
        <v>18</v>
      </c>
      <c r="F134" t="s">
        <v>19</v>
      </c>
      <c r="G134" t="s">
        <v>26</v>
      </c>
      <c r="H134" t="s">
        <v>21</v>
      </c>
      <c r="I134" t="s">
        <v>56</v>
      </c>
      <c r="J134" t="s">
        <v>147</v>
      </c>
      <c r="K134" t="s">
        <v>23</v>
      </c>
      <c r="L134">
        <v>3045</v>
      </c>
      <c r="M134" s="4">
        <v>50.287684499999997</v>
      </c>
      <c r="N134" s="4">
        <v>0.78778405704374777</v>
      </c>
      <c r="O134" s="4">
        <v>-0.36184618963430476</v>
      </c>
      <c r="P134" s="1" t="str">
        <f>HYPERLINK(".\sm_car_250703_0822\sm_car_250703_0822_133_Ca166TrN_MaMPC_DrSt_ode23t_1.png","figure")</f>
        <v>figure</v>
      </c>
      <c r="Q134" t="s">
        <v>15</v>
      </c>
      <c r="U134">
        <f>L134-'2024b_250702_1901'!L134</f>
        <v>-20</v>
      </c>
      <c r="V134" s="7">
        <f>U134/'2024b_250702_1901'!L134</f>
        <v>-6.5252854812398045E-3</v>
      </c>
      <c r="W134" s="4">
        <f>M134-'2024b_250702_1901'!M134</f>
        <v>-5.0625661999999991</v>
      </c>
      <c r="X134" s="7">
        <f>W134/'2024b_250702_1901'!M134</f>
        <v>-9.1464196385292962E-2</v>
      </c>
    </row>
    <row r="135" spans="1:24" x14ac:dyDescent="0.25">
      <c r="A135">
        <v>134</v>
      </c>
      <c r="B135">
        <v>166</v>
      </c>
      <c r="C135" t="s">
        <v>45</v>
      </c>
      <c r="D135" t="s">
        <v>57</v>
      </c>
      <c r="E135" t="s">
        <v>18</v>
      </c>
      <c r="F135" t="s">
        <v>19</v>
      </c>
      <c r="G135" t="s">
        <v>26</v>
      </c>
      <c r="H135" t="s">
        <v>21</v>
      </c>
      <c r="I135" t="s">
        <v>56</v>
      </c>
      <c r="J135" t="s">
        <v>148</v>
      </c>
      <c r="K135" t="s">
        <v>23</v>
      </c>
      <c r="L135">
        <v>3478</v>
      </c>
      <c r="M135" s="4">
        <v>53.859815599999997</v>
      </c>
      <c r="N135" s="4">
        <v>0.78688540929735495</v>
      </c>
      <c r="O135" s="4">
        <v>2.5864477968591957E-2</v>
      </c>
      <c r="P135" s="1" t="str">
        <f>HYPERLINK(".\sm_car_250703_0822\sm_car_250703_0822_134_Ca166TrN_MaMPC_DrSt_ode23t_1.png","figure")</f>
        <v>figure</v>
      </c>
      <c r="Q135" t="s">
        <v>15</v>
      </c>
      <c r="U135">
        <f>L135-'2024b_250702_1901'!L135</f>
        <v>-12</v>
      </c>
      <c r="V135" s="7">
        <f>U135/'2024b_250702_1901'!L135</f>
        <v>-3.4383954154727794E-3</v>
      </c>
      <c r="W135" s="4">
        <f>M135-'2024b_250702_1901'!M135</f>
        <v>-6.558512400000005</v>
      </c>
      <c r="X135" s="7">
        <f>W135/'2024b_250702_1901'!M135</f>
        <v>-0.10855170305275585</v>
      </c>
    </row>
    <row r="136" spans="1:24" x14ac:dyDescent="0.25">
      <c r="A136">
        <v>135</v>
      </c>
      <c r="B136">
        <v>169</v>
      </c>
      <c r="C136" t="s">
        <v>45</v>
      </c>
      <c r="D136" t="s">
        <v>58</v>
      </c>
      <c r="E136" t="s">
        <v>49</v>
      </c>
      <c r="F136" t="s">
        <v>19</v>
      </c>
      <c r="G136" t="s">
        <v>26</v>
      </c>
      <c r="H136" t="s">
        <v>21</v>
      </c>
      <c r="I136" t="s">
        <v>55</v>
      </c>
      <c r="J136" t="s">
        <v>147</v>
      </c>
      <c r="K136" t="s">
        <v>23</v>
      </c>
      <c r="L136">
        <v>3319</v>
      </c>
      <c r="M136" s="4">
        <v>47.315116500000002</v>
      </c>
      <c r="N136" s="4">
        <v>2.8788982537150343E-2</v>
      </c>
      <c r="O136" s="4">
        <v>-0.5747108838532291</v>
      </c>
      <c r="P136" s="1" t="str">
        <f>HYPERLINK(".\sm_car_250703_0822\sm_car_250703_0822_135_Ca169TrN_MaMPK_DrSt_ode23t_1.png","figure")</f>
        <v>figure</v>
      </c>
      <c r="Q136" t="s">
        <v>15</v>
      </c>
      <c r="U136">
        <f>L136-'2024b_250702_1901'!L136</f>
        <v>-10</v>
      </c>
      <c r="V136" s="7">
        <f>U136/'2024b_250702_1901'!L136</f>
        <v>-3.0039050765995794E-3</v>
      </c>
      <c r="W136" s="4">
        <f>M136-'2024b_250702_1901'!M136</f>
        <v>-5.3289108999999968</v>
      </c>
      <c r="X136" s="7">
        <f>W136/'2024b_250702_1901'!M136</f>
        <v>-0.10122536521588386</v>
      </c>
    </row>
    <row r="137" spans="1:24" x14ac:dyDescent="0.25">
      <c r="A137">
        <v>136</v>
      </c>
      <c r="B137">
        <v>169</v>
      </c>
      <c r="C137" t="s">
        <v>45</v>
      </c>
      <c r="D137" t="s">
        <v>58</v>
      </c>
      <c r="E137" t="s">
        <v>49</v>
      </c>
      <c r="F137" t="s">
        <v>19</v>
      </c>
      <c r="G137" t="s">
        <v>26</v>
      </c>
      <c r="H137" t="s">
        <v>21</v>
      </c>
      <c r="I137" t="s">
        <v>55</v>
      </c>
      <c r="J137" t="s">
        <v>148</v>
      </c>
      <c r="K137" t="s">
        <v>23</v>
      </c>
      <c r="L137">
        <v>3907</v>
      </c>
      <c r="M137" s="4">
        <v>52.5006834</v>
      </c>
      <c r="N137" s="4">
        <v>-8.6959445357137344E-3</v>
      </c>
      <c r="O137" s="4">
        <v>-8.3840919803383804E-2</v>
      </c>
      <c r="P137" s="1" t="str">
        <f>HYPERLINK(".\sm_car_250703_0822\sm_car_250703_0822_136_Ca169TrN_MaMPK_DrSt_ode23t_1.png","figure")</f>
        <v>figure</v>
      </c>
      <c r="Q137" t="s">
        <v>15</v>
      </c>
      <c r="U137">
        <f>L137-'2024b_250702_1901'!L137</f>
        <v>-28</v>
      </c>
      <c r="V137" s="7">
        <f>U137/'2024b_250702_1901'!L137</f>
        <v>-7.1156289707750954E-3</v>
      </c>
      <c r="W137" s="4">
        <f>M137-'2024b_250702_1901'!M137</f>
        <v>-7.3079669999999979</v>
      </c>
      <c r="X137" s="7">
        <f>W137/'2024b_250702_1901'!M137</f>
        <v>-0.12218913068802499</v>
      </c>
    </row>
    <row r="138" spans="1:24" x14ac:dyDescent="0.25">
      <c r="A138">
        <v>137</v>
      </c>
      <c r="B138">
        <v>169</v>
      </c>
      <c r="C138" t="s">
        <v>45</v>
      </c>
      <c r="D138" t="s">
        <v>58</v>
      </c>
      <c r="E138" t="s">
        <v>49</v>
      </c>
      <c r="F138" t="s">
        <v>19</v>
      </c>
      <c r="G138" t="s">
        <v>26</v>
      </c>
      <c r="H138" t="s">
        <v>21</v>
      </c>
      <c r="I138" t="s">
        <v>56</v>
      </c>
      <c r="J138" t="s">
        <v>147</v>
      </c>
      <c r="K138" t="s">
        <v>23</v>
      </c>
      <c r="L138">
        <v>3044</v>
      </c>
      <c r="M138" s="4">
        <v>42.3936761</v>
      </c>
      <c r="N138" s="4">
        <v>0.78784054466394871</v>
      </c>
      <c r="O138" s="4">
        <v>-0.35993546846503494</v>
      </c>
      <c r="P138" s="1" t="str">
        <f>HYPERLINK(".\sm_car_250703_0822\sm_car_250703_0822_137_Ca169TrN_MaMPC_DrSt_ode23t_1.png","figure")</f>
        <v>figure</v>
      </c>
      <c r="Q138" t="s">
        <v>15</v>
      </c>
      <c r="U138">
        <f>L138-'2024b_250702_1901'!L138</f>
        <v>4</v>
      </c>
      <c r="V138" s="7">
        <f>U138/'2024b_250702_1901'!L138</f>
        <v>1.3157894736842105E-3</v>
      </c>
      <c r="W138" s="4">
        <f>M138-'2024b_250702_1901'!M138</f>
        <v>-7.4347512000000009</v>
      </c>
      <c r="X138" s="7">
        <f>W138/'2024b_250702_1901'!M138</f>
        <v>-0.14920702102913855</v>
      </c>
    </row>
    <row r="139" spans="1:24" x14ac:dyDescent="0.25">
      <c r="A139">
        <v>138</v>
      </c>
      <c r="B139">
        <v>169</v>
      </c>
      <c r="C139" t="s">
        <v>45</v>
      </c>
      <c r="D139" t="s">
        <v>58</v>
      </c>
      <c r="E139" t="s">
        <v>49</v>
      </c>
      <c r="F139" t="s">
        <v>19</v>
      </c>
      <c r="G139" t="s">
        <v>26</v>
      </c>
      <c r="H139" t="s">
        <v>21</v>
      </c>
      <c r="I139" t="s">
        <v>56</v>
      </c>
      <c r="J139" t="s">
        <v>148</v>
      </c>
      <c r="K139" t="s">
        <v>23</v>
      </c>
      <c r="L139">
        <v>3470</v>
      </c>
      <c r="M139" s="4">
        <v>48.635241800000003</v>
      </c>
      <c r="N139" s="4">
        <v>0.78764402499511377</v>
      </c>
      <c r="O139" s="4">
        <v>2.8169629141867672E-2</v>
      </c>
      <c r="P139" s="1" t="str">
        <f>HYPERLINK(".\sm_car_250703_0822\sm_car_250703_0822_138_Ca169TrN_MaMPC_DrSt_ode23t_1.png","figure")</f>
        <v>figure</v>
      </c>
      <c r="Q139" t="s">
        <v>15</v>
      </c>
      <c r="U139">
        <f>L139-'2024b_250702_1901'!L139</f>
        <v>-2</v>
      </c>
      <c r="V139" s="7">
        <f>U139/'2024b_250702_1901'!L139</f>
        <v>-5.76036866359447E-4</v>
      </c>
      <c r="W139" s="4">
        <f>M139-'2024b_250702_1901'!M139</f>
        <v>-0.78401170000000064</v>
      </c>
      <c r="X139" s="7">
        <f>W139/'2024b_250702_1901'!M139</f>
        <v>-1.5864499045903244E-2</v>
      </c>
    </row>
    <row r="140" spans="1:24" x14ac:dyDescent="0.25">
      <c r="A140">
        <v>139</v>
      </c>
      <c r="B140">
        <v>184</v>
      </c>
      <c r="C140" t="s">
        <v>105</v>
      </c>
      <c r="D140" t="s">
        <v>118</v>
      </c>
      <c r="E140" t="s">
        <v>49</v>
      </c>
      <c r="F140" t="s">
        <v>19</v>
      </c>
      <c r="G140" t="s">
        <v>20</v>
      </c>
      <c r="H140" t="s">
        <v>21</v>
      </c>
      <c r="I140" t="s">
        <v>55</v>
      </c>
      <c r="J140" t="s">
        <v>147</v>
      </c>
      <c r="K140" t="s">
        <v>23</v>
      </c>
      <c r="L140">
        <v>2244</v>
      </c>
      <c r="M140" s="4">
        <v>52.4350618</v>
      </c>
      <c r="N140" s="4">
        <v>-2.15160806825892E-2</v>
      </c>
      <c r="O140" s="4">
        <v>-0.74272292338217349</v>
      </c>
      <c r="P140" s="1" t="str">
        <f>HYPERLINK(".\sm_car_250703_0822\sm_car_250703_0822_139_Ca184TrN_MaMPK_DrSt_ode23t_1.png","figure")</f>
        <v>figure</v>
      </c>
      <c r="Q140" t="s">
        <v>15</v>
      </c>
      <c r="U140">
        <f>L140-'2024b_250702_1901'!L140</f>
        <v>0</v>
      </c>
      <c r="V140" s="7">
        <f>U140/'2024b_250702_1901'!L140</f>
        <v>0</v>
      </c>
      <c r="W140" s="4">
        <f>M140-'2024b_250702_1901'!M140</f>
        <v>-8.6845339999999993</v>
      </c>
      <c r="X140" s="7">
        <f>W140/'2024b_250702_1901'!M140</f>
        <v>-0.14209082842134893</v>
      </c>
    </row>
    <row r="141" spans="1:24" x14ac:dyDescent="0.25">
      <c r="A141">
        <v>140</v>
      </c>
      <c r="B141">
        <v>184</v>
      </c>
      <c r="C141" t="s">
        <v>105</v>
      </c>
      <c r="D141" t="s">
        <v>118</v>
      </c>
      <c r="E141" t="s">
        <v>49</v>
      </c>
      <c r="F141" t="s">
        <v>19</v>
      </c>
      <c r="G141" t="s">
        <v>20</v>
      </c>
      <c r="H141" t="s">
        <v>21</v>
      </c>
      <c r="I141" t="s">
        <v>55</v>
      </c>
      <c r="J141" t="s">
        <v>148</v>
      </c>
      <c r="K141" t="s">
        <v>23</v>
      </c>
      <c r="L141">
        <v>2322</v>
      </c>
      <c r="M141" s="4">
        <v>51.720300999999999</v>
      </c>
      <c r="N141" s="4">
        <v>-1.0173008793871799E-2</v>
      </c>
      <c r="O141" s="4">
        <v>-3.0285300399963352E-2</v>
      </c>
      <c r="P141" s="1" t="str">
        <f>HYPERLINK(".\sm_car_250703_0822\sm_car_250703_0822_140_Ca184TrN_MaMPK_DrSt_ode23t_1.png","figure")</f>
        <v>figure</v>
      </c>
      <c r="Q141" t="s">
        <v>15</v>
      </c>
      <c r="U141">
        <f>L141-'2024b_250702_1901'!L141</f>
        <v>-18</v>
      </c>
      <c r="V141" s="7">
        <f>U141/'2024b_250702_1901'!L141</f>
        <v>-7.6923076923076927E-3</v>
      </c>
      <c r="W141" s="4">
        <f>M141-'2024b_250702_1901'!M141</f>
        <v>-7.0132029000000031</v>
      </c>
      <c r="X141" s="7">
        <f>W141/'2024b_250702_1901'!M141</f>
        <v>-0.11940719409386374</v>
      </c>
    </row>
    <row r="142" spans="1:24" x14ac:dyDescent="0.25">
      <c r="A142">
        <v>141</v>
      </c>
      <c r="B142">
        <v>184</v>
      </c>
      <c r="C142" t="s">
        <v>105</v>
      </c>
      <c r="D142" t="s">
        <v>118</v>
      </c>
      <c r="E142" t="s">
        <v>49</v>
      </c>
      <c r="F142" t="s">
        <v>19</v>
      </c>
      <c r="G142" t="s">
        <v>20</v>
      </c>
      <c r="H142" t="s">
        <v>21</v>
      </c>
      <c r="I142" t="s">
        <v>56</v>
      </c>
      <c r="J142" t="s">
        <v>147</v>
      </c>
      <c r="K142" t="s">
        <v>23</v>
      </c>
      <c r="L142">
        <v>2057</v>
      </c>
      <c r="M142" s="4">
        <v>46.8346947</v>
      </c>
      <c r="N142" s="4">
        <v>0.77981194842415924</v>
      </c>
      <c r="O142" s="4">
        <v>-0.33789081162236911</v>
      </c>
      <c r="P142" s="1" t="str">
        <f>HYPERLINK(".\sm_car_250703_0822\sm_car_250703_0822_141_Ca184TrN_MaMPC_DrSt_ode23t_1.png","figure")</f>
        <v>figure</v>
      </c>
      <c r="Q142" t="s">
        <v>15</v>
      </c>
      <c r="U142">
        <f>L142-'2024b_250702_1901'!L142</f>
        <v>-13</v>
      </c>
      <c r="V142" s="7">
        <f>U142/'2024b_250702_1901'!L142</f>
        <v>-6.2801932367149756E-3</v>
      </c>
      <c r="W142" s="4">
        <f>M142-'2024b_250702_1901'!M142</f>
        <v>-9.6034172999999967</v>
      </c>
      <c r="X142" s="7">
        <f>W142/'2024b_250702_1901'!M142</f>
        <v>-0.17015837276767865</v>
      </c>
    </row>
    <row r="143" spans="1:24" x14ac:dyDescent="0.25">
      <c r="A143">
        <v>142</v>
      </c>
      <c r="B143">
        <v>184</v>
      </c>
      <c r="C143" t="s">
        <v>105</v>
      </c>
      <c r="D143" t="s">
        <v>118</v>
      </c>
      <c r="E143" t="s">
        <v>49</v>
      </c>
      <c r="F143" t="s">
        <v>19</v>
      </c>
      <c r="G143" t="s">
        <v>20</v>
      </c>
      <c r="H143" t="s">
        <v>21</v>
      </c>
      <c r="I143" t="s">
        <v>56</v>
      </c>
      <c r="J143" t="s">
        <v>148</v>
      </c>
      <c r="K143" t="s">
        <v>23</v>
      </c>
      <c r="L143">
        <v>2041</v>
      </c>
      <c r="M143" s="4">
        <v>51.775408499999998</v>
      </c>
      <c r="N143" s="4">
        <v>0.78858553107123619</v>
      </c>
      <c r="O143" s="4">
        <v>-8.2476946683818178E-2</v>
      </c>
      <c r="P143" s="1" t="str">
        <f>HYPERLINK(".\sm_car_250703_0822\sm_car_250703_0822_142_Ca184TrN_MaMPC_DrSt_ode23t_1.png","figure")</f>
        <v>figure</v>
      </c>
      <c r="Q143" t="s">
        <v>15</v>
      </c>
      <c r="U143">
        <f>L143-'2024b_250702_1901'!L143</f>
        <v>16</v>
      </c>
      <c r="V143" s="7">
        <f>U143/'2024b_250702_1901'!L143</f>
        <v>7.9012345679012348E-3</v>
      </c>
      <c r="W143" s="4">
        <f>M143-'2024b_250702_1901'!M143</f>
        <v>-3.871823599999999</v>
      </c>
      <c r="X143" s="7">
        <f>W143/'2024b_250702_1901'!M143</f>
        <v>-6.9578008714650863E-2</v>
      </c>
    </row>
    <row r="144" spans="1:24" x14ac:dyDescent="0.25">
      <c r="A144">
        <v>143</v>
      </c>
      <c r="B144">
        <v>195</v>
      </c>
      <c r="C144" t="s">
        <v>45</v>
      </c>
      <c r="D144" t="s">
        <v>58</v>
      </c>
      <c r="E144" t="s">
        <v>107</v>
      </c>
      <c r="F144" t="s">
        <v>19</v>
      </c>
      <c r="G144" t="s">
        <v>26</v>
      </c>
      <c r="H144" t="s">
        <v>21</v>
      </c>
      <c r="I144" t="s">
        <v>55</v>
      </c>
      <c r="J144" t="s">
        <v>147</v>
      </c>
      <c r="K144" t="s">
        <v>23</v>
      </c>
      <c r="L144">
        <v>3306</v>
      </c>
      <c r="M144" s="4">
        <v>47.692393000000003</v>
      </c>
      <c r="N144" s="4">
        <v>-1.3025099598813733E-2</v>
      </c>
      <c r="O144" s="4">
        <v>-0.5737042669073692</v>
      </c>
      <c r="P144" s="1" t="str">
        <f>HYPERLINK(".\sm_car_250703_0822\sm_car_250703_0822_143_Ca195TrN_MaMPK_DrSt_ode23t_1.png","figure")</f>
        <v>figure</v>
      </c>
      <c r="Q144" t="s">
        <v>15</v>
      </c>
      <c r="U144">
        <f>L144-'2024b_250702_1901'!L144</f>
        <v>-21</v>
      </c>
      <c r="V144" s="7">
        <f>U144/'2024b_250702_1901'!L144</f>
        <v>-6.3119927862939585E-3</v>
      </c>
      <c r="W144" s="4">
        <f>M144-'2024b_250702_1901'!M144</f>
        <v>-11.427032399999995</v>
      </c>
      <c r="X144" s="7">
        <f>W144/'2024b_250702_1901'!M144</f>
        <v>-0.19328727102276599</v>
      </c>
    </row>
    <row r="145" spans="1:24" x14ac:dyDescent="0.25">
      <c r="A145">
        <v>144</v>
      </c>
      <c r="B145">
        <v>195</v>
      </c>
      <c r="C145" t="s">
        <v>45</v>
      </c>
      <c r="D145" t="s">
        <v>58</v>
      </c>
      <c r="E145" t="s">
        <v>107</v>
      </c>
      <c r="F145" t="s">
        <v>19</v>
      </c>
      <c r="G145" t="s">
        <v>26</v>
      </c>
      <c r="H145" t="s">
        <v>21</v>
      </c>
      <c r="I145" t="s">
        <v>55</v>
      </c>
      <c r="J145" t="s">
        <v>148</v>
      </c>
      <c r="K145" t="s">
        <v>23</v>
      </c>
      <c r="L145">
        <v>3912</v>
      </c>
      <c r="M145" s="4">
        <v>51.316502399999997</v>
      </c>
      <c r="N145" s="4">
        <v>-9.2825513625076489E-3</v>
      </c>
      <c r="O145" s="4">
        <v>-8.3820852294374276E-2</v>
      </c>
      <c r="P145" s="1" t="str">
        <f>HYPERLINK(".\sm_car_250703_0822\sm_car_250703_0822_144_Ca195TrN_MaMPK_DrSt_ode23t_1.png","figure")</f>
        <v>figure</v>
      </c>
      <c r="Q145" t="s">
        <v>15</v>
      </c>
      <c r="U145">
        <f>L145-'2024b_250702_1901'!L145</f>
        <v>8</v>
      </c>
      <c r="V145" s="7">
        <f>U145/'2024b_250702_1901'!L145</f>
        <v>2.0491803278688526E-3</v>
      </c>
      <c r="W145" s="4">
        <f>M145-'2024b_250702_1901'!M145</f>
        <v>-3.7405899000000034</v>
      </c>
      <c r="X145" s="7">
        <f>W145/'2024b_250702_1901'!M145</f>
        <v>-6.794020068509872E-2</v>
      </c>
    </row>
    <row r="146" spans="1:24" x14ac:dyDescent="0.25">
      <c r="A146">
        <v>145</v>
      </c>
      <c r="B146">
        <v>195</v>
      </c>
      <c r="C146" t="s">
        <v>45</v>
      </c>
      <c r="D146" t="s">
        <v>58</v>
      </c>
      <c r="E146" t="s">
        <v>107</v>
      </c>
      <c r="F146" t="s">
        <v>19</v>
      </c>
      <c r="G146" t="s">
        <v>26</v>
      </c>
      <c r="H146" t="s">
        <v>21</v>
      </c>
      <c r="I146" t="s">
        <v>56</v>
      </c>
      <c r="J146" t="s">
        <v>147</v>
      </c>
      <c r="K146" t="s">
        <v>23</v>
      </c>
      <c r="L146">
        <v>3053</v>
      </c>
      <c r="M146" s="4">
        <v>43.619862900000001</v>
      </c>
      <c r="N146" s="4">
        <v>0.78945384575506417</v>
      </c>
      <c r="O146" s="4">
        <v>-0.35994608030017444</v>
      </c>
      <c r="P146" s="1" t="str">
        <f>HYPERLINK(".\sm_car_250703_0822\sm_car_250703_0822_145_Ca195TrN_MaMPC_DrSt_ode23t_1.png","figure")</f>
        <v>figure</v>
      </c>
      <c r="Q146" t="s">
        <v>15</v>
      </c>
      <c r="U146">
        <f>L146-'2024b_250702_1901'!L146</f>
        <v>41</v>
      </c>
      <c r="V146" s="7">
        <f>U146/'2024b_250702_1901'!L146</f>
        <v>1.3612217795484728E-2</v>
      </c>
      <c r="W146" s="4">
        <f>M146-'2024b_250702_1901'!M146</f>
        <v>-2.0603058000000019</v>
      </c>
      <c r="X146" s="7">
        <f>W146/'2024b_250702_1901'!M146</f>
        <v>-4.5102850068940346E-2</v>
      </c>
    </row>
    <row r="147" spans="1:24" x14ac:dyDescent="0.25">
      <c r="A147">
        <v>146</v>
      </c>
      <c r="B147">
        <v>195</v>
      </c>
      <c r="C147" t="s">
        <v>45</v>
      </c>
      <c r="D147" t="s">
        <v>58</v>
      </c>
      <c r="E147" t="s">
        <v>107</v>
      </c>
      <c r="F147" t="s">
        <v>19</v>
      </c>
      <c r="G147" t="s">
        <v>26</v>
      </c>
      <c r="H147" t="s">
        <v>21</v>
      </c>
      <c r="I147" t="s">
        <v>56</v>
      </c>
      <c r="J147" t="s">
        <v>148</v>
      </c>
      <c r="K147" t="s">
        <v>23</v>
      </c>
      <c r="L147">
        <v>3411</v>
      </c>
      <c r="M147" s="4">
        <v>42.257347600000003</v>
      </c>
      <c r="N147" s="4">
        <v>0.77859566118590706</v>
      </c>
      <c r="O147" s="4">
        <v>2.8335798021717568E-2</v>
      </c>
      <c r="P147" s="1" t="str">
        <f>HYPERLINK(".\sm_car_250703_0822\sm_car_250703_0822_146_Ca195TrN_MaMPC_DrSt_ode23t_1.png","figure")</f>
        <v>figure</v>
      </c>
      <c r="Q147" t="s">
        <v>15</v>
      </c>
      <c r="U147">
        <f>L147-'2024b_250702_1901'!L147</f>
        <v>-87</v>
      </c>
      <c r="V147" s="7">
        <f>U147/'2024b_250702_1901'!L147</f>
        <v>-2.4871355060034305E-2</v>
      </c>
      <c r="W147" s="4">
        <f>M147-'2024b_250702_1901'!M147</f>
        <v>-6.2599032999999977</v>
      </c>
      <c r="X147" s="7">
        <f>W147/'2024b_250702_1901'!M147</f>
        <v>-0.12902427866126268</v>
      </c>
    </row>
    <row r="148" spans="1:24" x14ac:dyDescent="0.25">
      <c r="A148">
        <v>147</v>
      </c>
      <c r="B148">
        <v>198</v>
      </c>
      <c r="C148" t="s">
        <v>105</v>
      </c>
      <c r="D148" t="s">
        <v>118</v>
      </c>
      <c r="E148" t="s">
        <v>107</v>
      </c>
      <c r="F148" t="s">
        <v>19</v>
      </c>
      <c r="G148" t="s">
        <v>20</v>
      </c>
      <c r="H148" t="s">
        <v>21</v>
      </c>
      <c r="I148" t="s">
        <v>55</v>
      </c>
      <c r="J148" t="s">
        <v>147</v>
      </c>
      <c r="K148" t="s">
        <v>23</v>
      </c>
      <c r="L148">
        <v>2294</v>
      </c>
      <c r="M148" s="4">
        <v>29.8318294</v>
      </c>
      <c r="N148" s="4">
        <v>-2.1472931416713012E-2</v>
      </c>
      <c r="O148" s="4">
        <v>-0.74282450437028313</v>
      </c>
      <c r="P148" s="1" t="str">
        <f>HYPERLINK(".\sm_car_250703_0822\sm_car_250703_0822_147_Ca198TrN_MaMPK_DrSt_ode23t_1.png","figure")</f>
        <v>figure</v>
      </c>
      <c r="Q148" t="s">
        <v>15</v>
      </c>
      <c r="U148">
        <f>L148-'2024b_250702_1901'!L148</f>
        <v>-14</v>
      </c>
      <c r="V148" s="7">
        <f>U148/'2024b_250702_1901'!L148</f>
        <v>-6.0658578856152513E-3</v>
      </c>
      <c r="W148" s="4">
        <f>M148-'2024b_250702_1901'!M148</f>
        <v>-4.6698684000000021</v>
      </c>
      <c r="X148" s="7">
        <f>W148/'2024b_250702_1901'!M148</f>
        <v>-0.13535184346783077</v>
      </c>
    </row>
    <row r="149" spans="1:24" x14ac:dyDescent="0.25">
      <c r="A149">
        <v>148</v>
      </c>
      <c r="B149">
        <v>198</v>
      </c>
      <c r="C149" t="s">
        <v>105</v>
      </c>
      <c r="D149" t="s">
        <v>118</v>
      </c>
      <c r="E149" t="s">
        <v>107</v>
      </c>
      <c r="F149" t="s">
        <v>19</v>
      </c>
      <c r="G149" t="s">
        <v>20</v>
      </c>
      <c r="H149" t="s">
        <v>21</v>
      </c>
      <c r="I149" t="s">
        <v>55</v>
      </c>
      <c r="J149" t="s">
        <v>148</v>
      </c>
      <c r="K149" t="s">
        <v>23</v>
      </c>
      <c r="L149">
        <v>2576</v>
      </c>
      <c r="M149" s="4">
        <v>34.843484400000001</v>
      </c>
      <c r="N149" s="4">
        <v>-1.0057309108252629E-2</v>
      </c>
      <c r="O149" s="4">
        <v>-3.0445920725512974E-2</v>
      </c>
      <c r="P149" s="1" t="str">
        <f>HYPERLINK(".\sm_car_250703_0822\sm_car_250703_0822_148_Ca198TrN_MaMPK_DrSt_ode23t_1.png","figure")</f>
        <v>figure</v>
      </c>
      <c r="Q149" t="s">
        <v>15</v>
      </c>
      <c r="U149">
        <f>L149-'2024b_250702_1901'!L149</f>
        <v>-30</v>
      </c>
      <c r="V149" s="7">
        <f>U149/'2024b_250702_1901'!L149</f>
        <v>-1.1511895625479662E-2</v>
      </c>
      <c r="W149" s="4">
        <f>M149-'2024b_250702_1901'!M149</f>
        <v>-1.7845044999999971</v>
      </c>
      <c r="X149" s="7">
        <f>W149/'2024b_250702_1901'!M149</f>
        <v>-4.8719696428650962E-2</v>
      </c>
    </row>
    <row r="150" spans="1:24" x14ac:dyDescent="0.25">
      <c r="A150">
        <v>149</v>
      </c>
      <c r="B150">
        <v>198</v>
      </c>
      <c r="C150" t="s">
        <v>105</v>
      </c>
      <c r="D150" t="s">
        <v>118</v>
      </c>
      <c r="E150" t="s">
        <v>107</v>
      </c>
      <c r="F150" t="s">
        <v>19</v>
      </c>
      <c r="G150" t="s">
        <v>20</v>
      </c>
      <c r="H150" t="s">
        <v>21</v>
      </c>
      <c r="I150" t="s">
        <v>56</v>
      </c>
      <c r="J150" t="s">
        <v>147</v>
      </c>
      <c r="K150" t="s">
        <v>23</v>
      </c>
      <c r="L150">
        <v>2081</v>
      </c>
      <c r="M150" s="4">
        <v>30.736113599999999</v>
      </c>
      <c r="N150" s="4">
        <v>0.78783543250601795</v>
      </c>
      <c r="O150" s="4">
        <v>-0.33815857804994387</v>
      </c>
      <c r="P150" s="1" t="str">
        <f>HYPERLINK(".\sm_car_250703_0822\sm_car_250703_0822_149_Ca198TrN_MaMPC_DrSt_ode23t_1.png","figure")</f>
        <v>figure</v>
      </c>
      <c r="Q150" t="s">
        <v>15</v>
      </c>
      <c r="U150">
        <f>L150-'2024b_250702_1901'!L150</f>
        <v>-11</v>
      </c>
      <c r="V150" s="7">
        <f>U150/'2024b_250702_1901'!L150</f>
        <v>-5.2581261950286808E-3</v>
      </c>
      <c r="W150" s="4">
        <f>M150-'2024b_250702_1901'!M150</f>
        <v>-7.3655939000000039</v>
      </c>
      <c r="X150" s="7">
        <f>W150/'2024b_250702_1901'!M150</f>
        <v>-0.19331401092720066</v>
      </c>
    </row>
    <row r="151" spans="1:24" x14ac:dyDescent="0.25">
      <c r="A151">
        <v>150</v>
      </c>
      <c r="B151">
        <v>198</v>
      </c>
      <c r="C151" t="s">
        <v>105</v>
      </c>
      <c r="D151" t="s">
        <v>118</v>
      </c>
      <c r="E151" t="s">
        <v>107</v>
      </c>
      <c r="F151" t="s">
        <v>19</v>
      </c>
      <c r="G151" t="s">
        <v>20</v>
      </c>
      <c r="H151" t="s">
        <v>21</v>
      </c>
      <c r="I151" t="s">
        <v>56</v>
      </c>
      <c r="J151" t="s">
        <v>148</v>
      </c>
      <c r="K151" t="s">
        <v>23</v>
      </c>
      <c r="L151">
        <v>2169</v>
      </c>
      <c r="M151" s="4">
        <v>32.330542299999998</v>
      </c>
      <c r="N151" s="4">
        <v>0.78831563924370585</v>
      </c>
      <c r="O151" s="4">
        <v>-8.2224682817545691E-2</v>
      </c>
      <c r="P151" s="1" t="str">
        <f>HYPERLINK(".\sm_car_250703_0822\sm_car_250703_0822_150_Ca198TrN_MaMPC_DrSt_ode23t_1.png","figure")</f>
        <v>figure</v>
      </c>
      <c r="Q151" t="s">
        <v>15</v>
      </c>
      <c r="U151">
        <f>L151-'2024b_250702_1901'!L151</f>
        <v>84</v>
      </c>
      <c r="V151" s="7">
        <f>U151/'2024b_250702_1901'!L151</f>
        <v>4.0287769784172658E-2</v>
      </c>
      <c r="W151" s="4">
        <f>M151-'2024b_250702_1901'!M151</f>
        <v>-11.257807700000001</v>
      </c>
      <c r="X151" s="7">
        <f>W151/'2024b_250702_1901'!M151</f>
        <v>-0.25827561034083651</v>
      </c>
    </row>
    <row r="152" spans="1:24" x14ac:dyDescent="0.25">
      <c r="A152">
        <v>151</v>
      </c>
      <c r="B152">
        <v>151</v>
      </c>
      <c r="C152" t="s">
        <v>16</v>
      </c>
      <c r="D152" t="s">
        <v>17</v>
      </c>
      <c r="E152" t="s">
        <v>18</v>
      </c>
      <c r="F152" t="s">
        <v>19</v>
      </c>
      <c r="G152" t="s">
        <v>59</v>
      </c>
      <c r="H152" t="s">
        <v>21</v>
      </c>
      <c r="I152" t="s">
        <v>24</v>
      </c>
      <c r="J152" t="s">
        <v>147</v>
      </c>
      <c r="K152" t="s">
        <v>23</v>
      </c>
      <c r="L152">
        <v>529</v>
      </c>
      <c r="M152" s="4">
        <v>13.207419399999999</v>
      </c>
      <c r="N152" s="4">
        <v>72.554090590542131</v>
      </c>
      <c r="O152" s="4">
        <v>-0.80518481738752845</v>
      </c>
      <c r="P152" s="1" t="str">
        <f>HYPERLINK(".\sm_car_250703_0822\sm_car_250703_0822_151_Ca151TrN_MaLSS_DrSt_ode23t_1.png","figure")</f>
        <v>figure</v>
      </c>
      <c r="Q152" t="s">
        <v>15</v>
      </c>
      <c r="U152">
        <f>L152-'2024b_250702_1901'!L152</f>
        <v>0</v>
      </c>
      <c r="V152" s="7">
        <f>U152/'2024b_250702_1901'!L152</f>
        <v>0</v>
      </c>
      <c r="W152" s="4">
        <f>M152-'2024b_250702_1901'!M152</f>
        <v>-3.6340000000000003</v>
      </c>
      <c r="X152" s="7">
        <f>W152/'2024b_250702_1901'!M152</f>
        <v>-0.21577753713561698</v>
      </c>
    </row>
    <row r="153" spans="1:24" x14ac:dyDescent="0.25">
      <c r="A153">
        <v>152</v>
      </c>
      <c r="B153">
        <v>152</v>
      </c>
      <c r="C153" t="s">
        <v>16</v>
      </c>
      <c r="D153" t="s">
        <v>17</v>
      </c>
      <c r="E153" t="s">
        <v>18</v>
      </c>
      <c r="F153" t="s">
        <v>19</v>
      </c>
      <c r="G153" t="s">
        <v>60</v>
      </c>
      <c r="H153" t="s">
        <v>21</v>
      </c>
      <c r="I153" t="s">
        <v>24</v>
      </c>
      <c r="J153" t="s">
        <v>147</v>
      </c>
      <c r="K153" t="s">
        <v>23</v>
      </c>
      <c r="L153">
        <v>517</v>
      </c>
      <c r="M153" s="4">
        <v>12.483696500000001</v>
      </c>
      <c r="N153" s="4">
        <v>70.952833038055104</v>
      </c>
      <c r="O153" s="4">
        <v>-0.52903653743769019</v>
      </c>
      <c r="P153" s="1" t="str">
        <f>HYPERLINK(".\sm_car_250703_0822\sm_car_250703_0822_152_Ca152TrN_MaLSS_DrSt_ode23t_1.png","figure")</f>
        <v>figure</v>
      </c>
      <c r="Q153" t="s">
        <v>15</v>
      </c>
      <c r="U153">
        <f>L153-'2024b_250702_1901'!L153</f>
        <v>0</v>
      </c>
      <c r="V153" s="7">
        <f>U153/'2024b_250702_1901'!L153</f>
        <v>0</v>
      </c>
      <c r="W153" s="4">
        <f>M153-'2024b_250702_1901'!M153</f>
        <v>-4.1334237999999992</v>
      </c>
      <c r="X153" s="7">
        <f>W153/'2024b_250702_1901'!M153</f>
        <v>-0.24874489233853589</v>
      </c>
    </row>
    <row r="154" spans="1:24" x14ac:dyDescent="0.25">
      <c r="A154">
        <v>153</v>
      </c>
      <c r="B154">
        <v>153</v>
      </c>
      <c r="C154" t="s">
        <v>16</v>
      </c>
      <c r="D154" t="s">
        <v>17</v>
      </c>
      <c r="E154" t="s">
        <v>18</v>
      </c>
      <c r="F154" t="s">
        <v>19</v>
      </c>
      <c r="G154" t="s">
        <v>61</v>
      </c>
      <c r="H154" t="s">
        <v>21</v>
      </c>
      <c r="I154" t="s">
        <v>24</v>
      </c>
      <c r="J154" t="s">
        <v>147</v>
      </c>
      <c r="K154" t="s">
        <v>23</v>
      </c>
      <c r="L154">
        <v>555</v>
      </c>
      <c r="M154" s="4">
        <v>14.6133711</v>
      </c>
      <c r="N154" s="4">
        <v>70.796480422649736</v>
      </c>
      <c r="O154" s="4">
        <v>-0.86691273049275863</v>
      </c>
      <c r="P154" s="1" t="str">
        <f>HYPERLINK(".\sm_car_250703_0822\sm_car_250703_0822_153_Ca153TrN_MaLSS_DrSt_ode23t_1.png","figure")</f>
        <v>figure</v>
      </c>
      <c r="Q154" t="s">
        <v>15</v>
      </c>
      <c r="U154">
        <f>L154-'2024b_250702_1901'!L154</f>
        <v>0</v>
      </c>
      <c r="V154" s="7">
        <f>U154/'2024b_250702_1901'!L154</f>
        <v>0</v>
      </c>
      <c r="W154" s="4">
        <f>M154-'2024b_250702_1901'!M154</f>
        <v>-2.7748183999999991</v>
      </c>
      <c r="X154" s="7">
        <f>W154/'2024b_250702_1901'!M154</f>
        <v>-0.15958063949096019</v>
      </c>
    </row>
    <row r="155" spans="1:24" x14ac:dyDescent="0.25">
      <c r="A155">
        <v>154</v>
      </c>
      <c r="B155">
        <v>154</v>
      </c>
      <c r="C155" t="s">
        <v>16</v>
      </c>
      <c r="D155" t="s">
        <v>17</v>
      </c>
      <c r="E155" t="s">
        <v>18</v>
      </c>
      <c r="F155" t="s">
        <v>19</v>
      </c>
      <c r="G155" t="s">
        <v>108</v>
      </c>
      <c r="H155" t="s">
        <v>21</v>
      </c>
      <c r="I155" t="s">
        <v>24</v>
      </c>
      <c r="J155" t="s">
        <v>147</v>
      </c>
      <c r="K155" t="s">
        <v>23</v>
      </c>
      <c r="L155">
        <v>488</v>
      </c>
      <c r="M155" s="4">
        <v>15.317461</v>
      </c>
      <c r="N155" s="4">
        <v>71.009925649273356</v>
      </c>
      <c r="O155" s="4">
        <v>-0.36020031129645458</v>
      </c>
      <c r="P155" s="1" t="str">
        <f>HYPERLINK(".\sm_car_250703_0822\sm_car_250703_0822_154_Ca154TrN_MaLSS_DrSt_ode23t_1.png","figure")</f>
        <v>figure</v>
      </c>
      <c r="Q155" t="s">
        <v>15</v>
      </c>
      <c r="U155">
        <f>L155-'2024b_250702_1901'!L155</f>
        <v>0</v>
      </c>
      <c r="V155" s="7">
        <f>U155/'2024b_250702_1901'!L155</f>
        <v>0</v>
      </c>
      <c r="W155" s="4">
        <f>M155-'2024b_250702_1901'!M155</f>
        <v>-3.4785604999999986</v>
      </c>
      <c r="X155" s="7">
        <f>W155/'2024b_250702_1901'!M155</f>
        <v>-0.18506897856017024</v>
      </c>
    </row>
    <row r="156" spans="1:24" x14ac:dyDescent="0.25">
      <c r="A156">
        <v>155</v>
      </c>
      <c r="B156">
        <v>155</v>
      </c>
      <c r="C156" t="s">
        <v>16</v>
      </c>
      <c r="D156" t="s">
        <v>17</v>
      </c>
      <c r="E156" t="s">
        <v>18</v>
      </c>
      <c r="F156" t="s">
        <v>19</v>
      </c>
      <c r="G156" t="s">
        <v>62</v>
      </c>
      <c r="H156" t="s">
        <v>21</v>
      </c>
      <c r="I156" t="s">
        <v>24</v>
      </c>
      <c r="J156" t="s">
        <v>147</v>
      </c>
      <c r="K156" t="s">
        <v>23</v>
      </c>
      <c r="L156">
        <v>548</v>
      </c>
      <c r="M156" s="4">
        <v>18.973265699999999</v>
      </c>
      <c r="N156" s="4">
        <v>70.832587842907159</v>
      </c>
      <c r="O156" s="4">
        <v>-0.84465248680263127</v>
      </c>
      <c r="P156" s="1" t="str">
        <f>HYPERLINK(".\sm_car_250703_0822\sm_car_250703_0822_155_Ca155TrN_MaLSS_DrSt_ode23t_1.png","figure")</f>
        <v>figure</v>
      </c>
      <c r="Q156" t="s">
        <v>15</v>
      </c>
      <c r="U156">
        <f>L156-'2024b_250702_1901'!L156</f>
        <v>0</v>
      </c>
      <c r="V156" s="7">
        <f>U156/'2024b_250702_1901'!L156</f>
        <v>0</v>
      </c>
      <c r="W156" s="4">
        <f>M156-'2024b_250702_1901'!M156</f>
        <v>-5.8553340000000027</v>
      </c>
      <c r="X156" s="7">
        <f>W156/'2024b_250702_1901'!M156</f>
        <v>-0.23583021478251157</v>
      </c>
    </row>
    <row r="157" spans="1:24" x14ac:dyDescent="0.25">
      <c r="A157">
        <v>156</v>
      </c>
      <c r="B157">
        <v>4</v>
      </c>
      <c r="C157" t="s">
        <v>16</v>
      </c>
      <c r="D157" t="s">
        <v>17</v>
      </c>
      <c r="E157" t="s">
        <v>18</v>
      </c>
      <c r="F157" t="s">
        <v>28</v>
      </c>
      <c r="G157" t="s">
        <v>20</v>
      </c>
      <c r="H157" t="s">
        <v>21</v>
      </c>
      <c r="I157" t="s">
        <v>22</v>
      </c>
      <c r="J157" t="s">
        <v>147</v>
      </c>
      <c r="K157" t="s">
        <v>63</v>
      </c>
      <c r="L157">
        <v>3247</v>
      </c>
      <c r="M157" s="4">
        <v>9.0832262999999998</v>
      </c>
      <c r="N157" s="4">
        <v>231.38224683871496</v>
      </c>
      <c r="O157" s="4">
        <v>2.2339937171260366E-3</v>
      </c>
      <c r="P157" s="1" t="str">
        <f>HYPERLINK(".\sm_car_250703_0822\sm_car_250703_0822_156_Ca004TrN_MaWOT_DrSt_ode3_1.png","figure")</f>
        <v>figure</v>
      </c>
      <c r="Q157" t="s">
        <v>15</v>
      </c>
      <c r="U157">
        <f>L157-'2024b_250702_1901'!L157</f>
        <v>0</v>
      </c>
      <c r="V157" s="7">
        <f>U157/'2024b_250702_1901'!L157</f>
        <v>0</v>
      </c>
      <c r="W157" s="4">
        <f>M157-'2024b_250702_1901'!M157</f>
        <v>-0.8673327000000004</v>
      </c>
      <c r="X157" s="7">
        <f>W157/'2024b_250702_1901'!M157</f>
        <v>-8.7164218613245789E-2</v>
      </c>
    </row>
    <row r="158" spans="1:24" x14ac:dyDescent="0.25">
      <c r="A158">
        <v>157</v>
      </c>
      <c r="B158">
        <v>4</v>
      </c>
      <c r="C158" t="s">
        <v>16</v>
      </c>
      <c r="D158" t="s">
        <v>17</v>
      </c>
      <c r="E158" t="s">
        <v>18</v>
      </c>
      <c r="F158" t="s">
        <v>28</v>
      </c>
      <c r="G158" t="s">
        <v>20</v>
      </c>
      <c r="H158" t="s">
        <v>21</v>
      </c>
      <c r="I158" t="s">
        <v>24</v>
      </c>
      <c r="J158" t="s">
        <v>147</v>
      </c>
      <c r="K158" t="s">
        <v>63</v>
      </c>
      <c r="L158">
        <v>2564</v>
      </c>
      <c r="M158" s="4">
        <v>7.5480476999999997</v>
      </c>
      <c r="N158" s="4">
        <v>71.251895399548502</v>
      </c>
      <c r="O158" s="4">
        <v>-0.54030571140992245</v>
      </c>
      <c r="P158" s="1" t="str">
        <f>HYPERLINK(".\sm_car_250703_0822\sm_car_250703_0822_157_Ca004TrN_MaLSS_DrSt_ode3_1.png","figure")</f>
        <v>figure</v>
      </c>
      <c r="Q158" t="s">
        <v>15</v>
      </c>
      <c r="U158">
        <f>L158-'2024b_250702_1901'!L158</f>
        <v>0</v>
      </c>
      <c r="V158" s="7">
        <f>U158/'2024b_250702_1901'!L158</f>
        <v>0</v>
      </c>
      <c r="W158" s="4">
        <f>M158-'2024b_250702_1901'!M158</f>
        <v>-0.53707050000000045</v>
      </c>
      <c r="X158" s="7">
        <f>W158/'2024b_250702_1901'!M158</f>
        <v>-6.6427043701105123E-2</v>
      </c>
    </row>
    <row r="159" spans="1:24" x14ac:dyDescent="0.25">
      <c r="A159">
        <v>158</v>
      </c>
      <c r="B159">
        <v>4</v>
      </c>
      <c r="C159" t="s">
        <v>16</v>
      </c>
      <c r="D159" t="s">
        <v>17</v>
      </c>
      <c r="E159" t="s">
        <v>18</v>
      </c>
      <c r="F159" t="s">
        <v>28</v>
      </c>
      <c r="G159" t="s">
        <v>20</v>
      </c>
      <c r="H159" t="s">
        <v>21</v>
      </c>
      <c r="I159" t="s">
        <v>64</v>
      </c>
      <c r="J159" t="s">
        <v>147</v>
      </c>
      <c r="K159" t="s">
        <v>63</v>
      </c>
      <c r="L159">
        <v>2562</v>
      </c>
      <c r="M159" s="4">
        <v>7.3850173999999997</v>
      </c>
      <c r="N159" s="4">
        <v>63.784285151621532</v>
      </c>
      <c r="O159" s="4">
        <v>-25.042725609682812</v>
      </c>
      <c r="P159" s="1" t="str">
        <f>HYPERLINK(".\sm_car_250703_0822\sm_car_250703_0822_158_Ca004TrN_MaTUR_DrSt_ode3_1.png","figure")</f>
        <v>figure</v>
      </c>
      <c r="Q159" t="s">
        <v>15</v>
      </c>
      <c r="U159">
        <f>L159-'2024b_250702_1901'!L159</f>
        <v>0</v>
      </c>
      <c r="V159" s="7">
        <f>U159/'2024b_250702_1901'!L159</f>
        <v>0</v>
      </c>
      <c r="W159" s="4">
        <f>M159-'2024b_250702_1901'!M159</f>
        <v>-0.62348490000000023</v>
      </c>
      <c r="X159" s="7">
        <f>W159/'2024b_250702_1901'!M159</f>
        <v>-7.785287144139301E-2</v>
      </c>
    </row>
    <row r="160" spans="1:24" x14ac:dyDescent="0.25">
      <c r="A160">
        <v>159</v>
      </c>
      <c r="B160">
        <v>116</v>
      </c>
      <c r="C160" t="s">
        <v>16</v>
      </c>
      <c r="D160" t="s">
        <v>35</v>
      </c>
      <c r="E160" t="s">
        <v>18</v>
      </c>
      <c r="F160" t="s">
        <v>28</v>
      </c>
      <c r="G160" t="s">
        <v>20</v>
      </c>
      <c r="H160" t="s">
        <v>21</v>
      </c>
      <c r="I160" t="s">
        <v>22</v>
      </c>
      <c r="J160" t="s">
        <v>147</v>
      </c>
      <c r="K160" t="s">
        <v>63</v>
      </c>
      <c r="L160">
        <v>3244</v>
      </c>
      <c r="M160" s="4">
        <v>4.1089549999999999</v>
      </c>
      <c r="N160" s="4">
        <v>242.69607452341987</v>
      </c>
      <c r="O160" s="4">
        <v>0.23635446031101723</v>
      </c>
      <c r="P160" s="1" t="str">
        <f>HYPERLINK(".\sm_car_250703_0822\sm_car_250703_0822_159_Ca116TrN_MaWOT_DrSt_ode3_1.png","figure")</f>
        <v>figure</v>
      </c>
      <c r="Q160" t="s">
        <v>15</v>
      </c>
      <c r="U160">
        <f>L160-'2024b_250702_1901'!L160</f>
        <v>0</v>
      </c>
      <c r="V160" s="7">
        <f>U160/'2024b_250702_1901'!L160</f>
        <v>0</v>
      </c>
      <c r="W160" s="4">
        <f>M160-'2024b_250702_1901'!M160</f>
        <v>-1.0623075000000002</v>
      </c>
      <c r="X160" s="7">
        <f>W160/'2024b_250702_1901'!M160</f>
        <v>-0.20542517422002851</v>
      </c>
    </row>
    <row r="161" spans="1:24" x14ac:dyDescent="0.25">
      <c r="A161">
        <v>160</v>
      </c>
      <c r="B161">
        <v>116</v>
      </c>
      <c r="C161" t="s">
        <v>16</v>
      </c>
      <c r="D161" t="s">
        <v>35</v>
      </c>
      <c r="E161" t="s">
        <v>18</v>
      </c>
      <c r="F161" t="s">
        <v>28</v>
      </c>
      <c r="G161" t="s">
        <v>20</v>
      </c>
      <c r="H161" t="s">
        <v>21</v>
      </c>
      <c r="I161" t="s">
        <v>24</v>
      </c>
      <c r="J161" t="s">
        <v>147</v>
      </c>
      <c r="K161" t="s">
        <v>63</v>
      </c>
      <c r="L161">
        <v>2564</v>
      </c>
      <c r="M161" s="4">
        <v>3.7976538</v>
      </c>
      <c r="N161" s="4">
        <v>74.657190781644118</v>
      </c>
      <c r="O161" s="4">
        <v>-0.34075824439014252</v>
      </c>
      <c r="P161" s="1" t="str">
        <f>HYPERLINK(".\sm_car_250703_0822\sm_car_250703_0822_160_Ca116TrN_MaLSS_DrSt_ode3_1.png","figure")</f>
        <v>figure</v>
      </c>
      <c r="Q161" t="s">
        <v>15</v>
      </c>
      <c r="U161">
        <f>L161-'2024b_250702_1901'!L161</f>
        <v>0</v>
      </c>
      <c r="V161" s="7">
        <f>U161/'2024b_250702_1901'!L161</f>
        <v>0</v>
      </c>
      <c r="W161" s="4">
        <f>M161-'2024b_250702_1901'!M161</f>
        <v>-0.10177380000000014</v>
      </c>
      <c r="X161" s="7">
        <f>W161/'2024b_250702_1901'!M161</f>
        <v>-2.6099676783331003E-2</v>
      </c>
    </row>
    <row r="162" spans="1:24" x14ac:dyDescent="0.25">
      <c r="A162">
        <v>161</v>
      </c>
      <c r="B162">
        <v>116</v>
      </c>
      <c r="C162" t="s">
        <v>16</v>
      </c>
      <c r="D162" t="s">
        <v>35</v>
      </c>
      <c r="E162" t="s">
        <v>18</v>
      </c>
      <c r="F162" t="s">
        <v>28</v>
      </c>
      <c r="G162" t="s">
        <v>20</v>
      </c>
      <c r="H162" t="s">
        <v>21</v>
      </c>
      <c r="I162" t="s">
        <v>64</v>
      </c>
      <c r="J162" t="s">
        <v>147</v>
      </c>
      <c r="K162" t="s">
        <v>63</v>
      </c>
      <c r="L162">
        <v>2563</v>
      </c>
      <c r="M162" s="4">
        <v>3.4747599</v>
      </c>
      <c r="N162" s="4">
        <v>71.322015477791922</v>
      </c>
      <c r="O162" s="4">
        <v>-17.59032913116118</v>
      </c>
      <c r="P162" s="1" t="str">
        <f>HYPERLINK(".\sm_car_250703_0822\sm_car_250703_0822_161_Ca116TrN_MaTUR_DrSt_ode3_1.png","figure")</f>
        <v>figure</v>
      </c>
      <c r="Q162" t="s">
        <v>15</v>
      </c>
      <c r="U162">
        <f>L162-'2024b_250702_1901'!L162</f>
        <v>0</v>
      </c>
      <c r="V162" s="7">
        <f>U162/'2024b_250702_1901'!L162</f>
        <v>0</v>
      </c>
      <c r="W162" s="4">
        <f>M162-'2024b_250702_1901'!M162</f>
        <v>-0.58611559999999985</v>
      </c>
      <c r="X162" s="7">
        <f>W162/'2024b_250702_1901'!M162</f>
        <v>-0.14433232439654944</v>
      </c>
    </row>
    <row r="163" spans="1:24" x14ac:dyDescent="0.25">
      <c r="A163">
        <v>162</v>
      </c>
      <c r="B163">
        <v>124</v>
      </c>
      <c r="C163" t="s">
        <v>16</v>
      </c>
      <c r="D163" t="s">
        <v>35</v>
      </c>
      <c r="E163" t="s">
        <v>49</v>
      </c>
      <c r="F163" t="s">
        <v>28</v>
      </c>
      <c r="G163" t="s">
        <v>20</v>
      </c>
      <c r="H163" t="s">
        <v>21</v>
      </c>
      <c r="I163" t="s">
        <v>22</v>
      </c>
      <c r="J163" t="s">
        <v>147</v>
      </c>
      <c r="K163" t="s">
        <v>63</v>
      </c>
      <c r="L163">
        <v>3244</v>
      </c>
      <c r="M163" s="4">
        <v>2.4492886</v>
      </c>
      <c r="N163" s="4">
        <v>242.87242715534205</v>
      </c>
      <c r="O163" s="4">
        <v>0.23615864655911284</v>
      </c>
      <c r="P163" s="1" t="str">
        <f>HYPERLINK(".\sm_car_250703_0822\sm_car_250703_0822_162_Ca124TrN_MaWOT_DrSt_ode3_1.png","figure")</f>
        <v>figure</v>
      </c>
      <c r="Q163" t="s">
        <v>15</v>
      </c>
      <c r="U163">
        <f>L163-'2024b_250702_1901'!L163</f>
        <v>0</v>
      </c>
      <c r="V163" s="7">
        <f>U163/'2024b_250702_1901'!L163</f>
        <v>0</v>
      </c>
      <c r="W163" s="4">
        <f>M163-'2024b_250702_1901'!M163</f>
        <v>-0.31121080000000001</v>
      </c>
      <c r="X163" s="7">
        <f>W163/'2024b_250702_1901'!M163</f>
        <v>-0.11273713734551075</v>
      </c>
    </row>
    <row r="164" spans="1:24" x14ac:dyDescent="0.25">
      <c r="A164">
        <v>163</v>
      </c>
      <c r="B164">
        <v>124</v>
      </c>
      <c r="C164" t="s">
        <v>16</v>
      </c>
      <c r="D164" t="s">
        <v>35</v>
      </c>
      <c r="E164" t="s">
        <v>49</v>
      </c>
      <c r="F164" t="s">
        <v>28</v>
      </c>
      <c r="G164" t="s">
        <v>20</v>
      </c>
      <c r="H164" t="s">
        <v>21</v>
      </c>
      <c r="I164" t="s">
        <v>24</v>
      </c>
      <c r="J164" t="s">
        <v>147</v>
      </c>
      <c r="K164" t="s">
        <v>63</v>
      </c>
      <c r="L164">
        <v>2565</v>
      </c>
      <c r="M164" s="4">
        <v>1.8913770000000001</v>
      </c>
      <c r="N164" s="4">
        <v>74.796106047599508</v>
      </c>
      <c r="O164" s="4">
        <v>-0.34233746651595287</v>
      </c>
      <c r="P164" s="1" t="str">
        <f>HYPERLINK(".\sm_car_250703_0822\sm_car_250703_0822_163_Ca124TrN_MaLSS_DrSt_ode3_1.png","figure")</f>
        <v>figure</v>
      </c>
      <c r="Q164" t="s">
        <v>15</v>
      </c>
      <c r="U164">
        <f>L164-'2024b_250702_1901'!L164</f>
        <v>0</v>
      </c>
      <c r="V164" s="7">
        <f>U164/'2024b_250702_1901'!L164</f>
        <v>0</v>
      </c>
      <c r="W164" s="4">
        <f>M164-'2024b_250702_1901'!M164</f>
        <v>-0.35748679999999999</v>
      </c>
      <c r="X164" s="7">
        <f>W164/'2024b_250702_1901'!M164</f>
        <v>-0.15896329515375718</v>
      </c>
    </row>
    <row r="165" spans="1:24" x14ac:dyDescent="0.25">
      <c r="A165">
        <v>164</v>
      </c>
      <c r="B165">
        <v>124</v>
      </c>
      <c r="C165" t="s">
        <v>16</v>
      </c>
      <c r="D165" t="s">
        <v>35</v>
      </c>
      <c r="E165" t="s">
        <v>49</v>
      </c>
      <c r="F165" t="s">
        <v>28</v>
      </c>
      <c r="G165" t="s">
        <v>20</v>
      </c>
      <c r="H165" t="s">
        <v>21</v>
      </c>
      <c r="I165" t="s">
        <v>64</v>
      </c>
      <c r="J165" t="s">
        <v>147</v>
      </c>
      <c r="K165" t="s">
        <v>63</v>
      </c>
      <c r="L165">
        <v>2564</v>
      </c>
      <c r="M165" s="4">
        <v>1.8673329999999999</v>
      </c>
      <c r="N165" s="4">
        <v>71.447408139703924</v>
      </c>
      <c r="O165" s="4">
        <v>-17.636376353758362</v>
      </c>
      <c r="P165" s="1" t="str">
        <f>HYPERLINK(".\sm_car_250703_0822\sm_car_250703_0822_164_Ca124TrN_MaTUR_DrSt_ode3_1.png","figure")</f>
        <v>figure</v>
      </c>
      <c r="Q165" t="s">
        <v>15</v>
      </c>
      <c r="U165">
        <f>L165-'2024b_250702_1901'!L165</f>
        <v>0</v>
      </c>
      <c r="V165" s="7">
        <f>U165/'2024b_250702_1901'!L165</f>
        <v>0</v>
      </c>
      <c r="W165" s="4">
        <f>M165-'2024b_250702_1901'!M165</f>
        <v>-0.51184140000000022</v>
      </c>
      <c r="X165" s="7">
        <f>W165/'2024b_250702_1901'!M165</f>
        <v>-0.21513403977446974</v>
      </c>
    </row>
    <row r="166" spans="1:24" x14ac:dyDescent="0.25">
      <c r="A166">
        <v>165</v>
      </c>
      <c r="B166">
        <v>141</v>
      </c>
      <c r="C166" t="s">
        <v>45</v>
      </c>
      <c r="D166" t="s">
        <v>17</v>
      </c>
      <c r="E166" t="s">
        <v>18</v>
      </c>
      <c r="F166" t="s">
        <v>28</v>
      </c>
      <c r="G166" t="s">
        <v>26</v>
      </c>
      <c r="H166" t="s">
        <v>21</v>
      </c>
      <c r="I166" t="s">
        <v>22</v>
      </c>
      <c r="J166" t="s">
        <v>147</v>
      </c>
      <c r="K166" t="s">
        <v>63</v>
      </c>
      <c r="L166">
        <v>3837</v>
      </c>
      <c r="M166" s="4">
        <v>12.3009694</v>
      </c>
      <c r="N166" s="4">
        <v>405.26699926711569</v>
      </c>
      <c r="O166" s="4">
        <v>1.5961569011224264</v>
      </c>
      <c r="P166" s="1" t="str">
        <f>HYPERLINK(".\sm_car_250703_0822\sm_car_250703_0822_165_Ca141TrN_MaWOT_DrSt_ode3_1.png","figure")</f>
        <v>figure</v>
      </c>
      <c r="Q166" t="s">
        <v>15</v>
      </c>
      <c r="U166">
        <f>L166-'2024b_250702_1901'!L166</f>
        <v>0</v>
      </c>
      <c r="V166" s="7">
        <f>U166/'2024b_250702_1901'!L166</f>
        <v>0</v>
      </c>
      <c r="W166" s="4">
        <f>M166-'2024b_250702_1901'!M166</f>
        <v>-1.4243907</v>
      </c>
      <c r="X166" s="7">
        <f>W166/'2024b_250702_1901'!M166</f>
        <v>-0.10377802036683904</v>
      </c>
    </row>
    <row r="167" spans="1:24" x14ac:dyDescent="0.25">
      <c r="A167">
        <v>166</v>
      </c>
      <c r="B167">
        <v>141</v>
      </c>
      <c r="C167" t="s">
        <v>45</v>
      </c>
      <c r="D167" t="s">
        <v>17</v>
      </c>
      <c r="E167" t="s">
        <v>18</v>
      </c>
      <c r="F167" t="s">
        <v>28</v>
      </c>
      <c r="G167" t="s">
        <v>26</v>
      </c>
      <c r="H167" t="s">
        <v>21</v>
      </c>
      <c r="I167" t="s">
        <v>24</v>
      </c>
      <c r="J167" t="s">
        <v>147</v>
      </c>
      <c r="K167" t="s">
        <v>63</v>
      </c>
      <c r="L167">
        <v>3192</v>
      </c>
      <c r="M167" s="4">
        <v>10.572187</v>
      </c>
      <c r="N167" s="4">
        <v>154.45726063782425</v>
      </c>
      <c r="O167" s="4">
        <v>-0.58045901058984573</v>
      </c>
      <c r="P167" s="1" t="str">
        <f>HYPERLINK(".\sm_car_250703_0822\sm_car_250703_0822_166_Ca141TrN_MaLSS_DrSt_ode3_1.png","figure")</f>
        <v>figure</v>
      </c>
      <c r="Q167" t="s">
        <v>15</v>
      </c>
      <c r="U167">
        <f>L167-'2024b_250702_1901'!L167</f>
        <v>0</v>
      </c>
      <c r="V167" s="7">
        <f>U167/'2024b_250702_1901'!L167</f>
        <v>0</v>
      </c>
      <c r="W167" s="4">
        <f>M167-'2024b_250702_1901'!M167</f>
        <v>-1.475946200000001</v>
      </c>
      <c r="X167" s="7">
        <f>W167/'2024b_250702_1901'!M167</f>
        <v>-0.12250414030947142</v>
      </c>
    </row>
    <row r="168" spans="1:24" x14ac:dyDescent="0.25">
      <c r="A168">
        <v>167</v>
      </c>
      <c r="B168">
        <v>141</v>
      </c>
      <c r="C168" t="s">
        <v>45</v>
      </c>
      <c r="D168" t="s">
        <v>17</v>
      </c>
      <c r="E168" t="s">
        <v>18</v>
      </c>
      <c r="F168" t="s">
        <v>28</v>
      </c>
      <c r="G168" t="s">
        <v>26</v>
      </c>
      <c r="H168" t="s">
        <v>21</v>
      </c>
      <c r="I168" t="s">
        <v>64</v>
      </c>
      <c r="J168" t="s">
        <v>147</v>
      </c>
      <c r="K168" t="s">
        <v>63</v>
      </c>
      <c r="L168">
        <v>3160</v>
      </c>
      <c r="M168" s="4">
        <v>10.5124713</v>
      </c>
      <c r="N168" s="4">
        <v>98.352619066296825</v>
      </c>
      <c r="O168" s="4">
        <v>-87.51063161317019</v>
      </c>
      <c r="P168" s="1" t="str">
        <f>HYPERLINK(".\sm_car_250703_0822\sm_car_250703_0822_167_Ca141TrN_MaTUR_DrSt_ode3_1.png","figure")</f>
        <v>figure</v>
      </c>
      <c r="Q168" t="s">
        <v>15</v>
      </c>
      <c r="U168">
        <f>L168-'2024b_250702_1901'!L168</f>
        <v>0</v>
      </c>
      <c r="V168" s="7">
        <f>U168/'2024b_250702_1901'!L168</f>
        <v>0</v>
      </c>
      <c r="W168" s="4">
        <f>M168-'2024b_250702_1901'!M168</f>
        <v>-1.4505140000000001</v>
      </c>
      <c r="X168" s="7">
        <f>W168/'2024b_250702_1901'!M168</f>
        <v>-0.12125016988861469</v>
      </c>
    </row>
    <row r="169" spans="1:24" x14ac:dyDescent="0.25">
      <c r="A169">
        <v>168</v>
      </c>
      <c r="B169">
        <v>145</v>
      </c>
      <c r="C169" t="s">
        <v>46</v>
      </c>
      <c r="D169" t="s">
        <v>17</v>
      </c>
      <c r="E169" t="s">
        <v>50</v>
      </c>
      <c r="F169" t="s">
        <v>19</v>
      </c>
      <c r="G169" t="s">
        <v>26</v>
      </c>
      <c r="H169" t="s">
        <v>21</v>
      </c>
      <c r="I169" t="s">
        <v>22</v>
      </c>
      <c r="J169" t="s">
        <v>147</v>
      </c>
      <c r="K169" t="s">
        <v>63</v>
      </c>
      <c r="L169">
        <v>2645</v>
      </c>
      <c r="M169" s="4">
        <v>7.6116614</v>
      </c>
      <c r="N169" s="4">
        <v>62.986821637333719</v>
      </c>
      <c r="O169" s="4">
        <v>3.4728343510618383E-2</v>
      </c>
      <c r="P169" s="1" t="str">
        <f>HYPERLINK(".\sm_car_250703_0822\sm_car_250703_0822_168_Ca145TrN_MaWOT_DrSt_ode3_1.png","figure")</f>
        <v>figure</v>
      </c>
      <c r="Q169" t="s">
        <v>15</v>
      </c>
      <c r="U169">
        <f>L169-'2024b_250702_1901'!L169</f>
        <v>0</v>
      </c>
      <c r="V169" s="7">
        <f>U169/'2024b_250702_1901'!L169</f>
        <v>0</v>
      </c>
      <c r="W169" s="4">
        <f>M169-'2024b_250702_1901'!M169</f>
        <v>-0.64302100000000006</v>
      </c>
      <c r="X169" s="7">
        <f>W169/'2024b_250702_1901'!M169</f>
        <v>-7.7897727476468392E-2</v>
      </c>
    </row>
    <row r="170" spans="1:24" x14ac:dyDescent="0.25">
      <c r="A170">
        <v>169</v>
      </c>
      <c r="B170">
        <v>145</v>
      </c>
      <c r="C170" t="s">
        <v>46</v>
      </c>
      <c r="D170" t="s">
        <v>17</v>
      </c>
      <c r="E170" t="s">
        <v>50</v>
      </c>
      <c r="F170" t="s">
        <v>19</v>
      </c>
      <c r="G170" t="s">
        <v>26</v>
      </c>
      <c r="H170" t="s">
        <v>21</v>
      </c>
      <c r="I170" t="s">
        <v>24</v>
      </c>
      <c r="J170" t="s">
        <v>147</v>
      </c>
      <c r="K170" t="s">
        <v>63</v>
      </c>
      <c r="L170">
        <v>2385</v>
      </c>
      <c r="M170" s="4">
        <v>7.0584214999999997</v>
      </c>
      <c r="N170" s="4">
        <v>25.351601817833707</v>
      </c>
      <c r="O170" s="4">
        <v>-4.1368589281911311E-2</v>
      </c>
      <c r="P170" s="1" t="str">
        <f>HYPERLINK(".\sm_car_250703_0822\sm_car_250703_0822_169_Ca145TrN_MaLSS_DrSt_ode3_1.png","figure")</f>
        <v>figure</v>
      </c>
      <c r="Q170" t="s">
        <v>15</v>
      </c>
      <c r="U170">
        <f>L170-'2024b_250702_1901'!L170</f>
        <v>0</v>
      </c>
      <c r="V170" s="7">
        <f>U170/'2024b_250702_1901'!L170</f>
        <v>0</v>
      </c>
      <c r="W170" s="4">
        <f>M170-'2024b_250702_1901'!M170</f>
        <v>-0.37463570000000068</v>
      </c>
      <c r="X170" s="7">
        <f>W170/'2024b_250702_1901'!M170</f>
        <v>-5.0401293831022945E-2</v>
      </c>
    </row>
    <row r="171" spans="1:24" x14ac:dyDescent="0.25">
      <c r="A171">
        <v>170</v>
      </c>
      <c r="B171">
        <v>145</v>
      </c>
      <c r="C171" t="s">
        <v>46</v>
      </c>
      <c r="D171" t="s">
        <v>17</v>
      </c>
      <c r="E171" t="s">
        <v>50</v>
      </c>
      <c r="F171" t="s">
        <v>19</v>
      </c>
      <c r="G171" t="s">
        <v>26</v>
      </c>
      <c r="H171" t="s">
        <v>21</v>
      </c>
      <c r="I171" t="s">
        <v>64</v>
      </c>
      <c r="J171" t="s">
        <v>147</v>
      </c>
      <c r="K171" t="s">
        <v>63</v>
      </c>
      <c r="L171">
        <v>2381</v>
      </c>
      <c r="M171" s="4">
        <v>6.9181178000000001</v>
      </c>
      <c r="N171" s="4">
        <v>25.137842847097982</v>
      </c>
      <c r="O171" s="4">
        <v>-2.6089117989709583</v>
      </c>
      <c r="P171" s="1" t="str">
        <f>HYPERLINK(".\sm_car_250703_0822\sm_car_250703_0822_170_Ca145TrN_MaTUR_DrSt_ode3_1.png","figure")</f>
        <v>figure</v>
      </c>
      <c r="Q171" t="s">
        <v>15</v>
      </c>
      <c r="U171">
        <f>L171-'2024b_250702_1901'!L171</f>
        <v>0</v>
      </c>
      <c r="V171" s="7">
        <f>U171/'2024b_250702_1901'!L171</f>
        <v>0</v>
      </c>
      <c r="W171" s="4">
        <f>M171-'2024b_250702_1901'!M171</f>
        <v>-0.26882029999999979</v>
      </c>
      <c r="X171" s="7">
        <f>W171/'2024b_250702_1901'!M171</f>
        <v>-3.7404009365267776E-2</v>
      </c>
    </row>
    <row r="172" spans="1:24" x14ac:dyDescent="0.25">
      <c r="A172">
        <v>171</v>
      </c>
      <c r="B172">
        <v>199</v>
      </c>
      <c r="C172" t="s">
        <v>46</v>
      </c>
      <c r="D172" t="s">
        <v>17</v>
      </c>
      <c r="E172" t="s">
        <v>109</v>
      </c>
      <c r="F172" t="s">
        <v>19</v>
      </c>
      <c r="G172" t="s">
        <v>26</v>
      </c>
      <c r="H172" t="s">
        <v>21</v>
      </c>
      <c r="I172" t="s">
        <v>22</v>
      </c>
      <c r="J172" t="s">
        <v>147</v>
      </c>
      <c r="K172" t="s">
        <v>63</v>
      </c>
      <c r="L172">
        <v>2648</v>
      </c>
      <c r="M172" s="4">
        <v>8.3322190999999997</v>
      </c>
      <c r="N172" s="4">
        <v>63.667541250749579</v>
      </c>
      <c r="O172" s="4">
        <v>0.10014861088493218</v>
      </c>
      <c r="P172" s="1" t="str">
        <f>HYPERLINK(".\sm_car_250703_0822\sm_car_250703_0822_171_Ca199TrN_MaWOT_DrSt_ode3_1.png","figure")</f>
        <v>figure</v>
      </c>
      <c r="Q172" t="s">
        <v>15</v>
      </c>
      <c r="U172">
        <f>L172-'2024b_250702_1901'!L172</f>
        <v>0</v>
      </c>
      <c r="V172" s="7">
        <f>U172/'2024b_250702_1901'!L172</f>
        <v>0</v>
      </c>
      <c r="W172" s="4">
        <f>M172-'2024b_250702_1901'!M172</f>
        <v>-1.0311631000000006</v>
      </c>
      <c r="X172" s="7">
        <f>W172/'2024b_250702_1901'!M172</f>
        <v>-0.11012720382171311</v>
      </c>
    </row>
    <row r="173" spans="1:24" x14ac:dyDescent="0.25">
      <c r="A173">
        <v>172</v>
      </c>
      <c r="B173">
        <v>199</v>
      </c>
      <c r="C173" t="s">
        <v>46</v>
      </c>
      <c r="D173" t="s">
        <v>17</v>
      </c>
      <c r="E173" t="s">
        <v>109</v>
      </c>
      <c r="F173" t="s">
        <v>19</v>
      </c>
      <c r="G173" t="s">
        <v>26</v>
      </c>
      <c r="H173" t="s">
        <v>21</v>
      </c>
      <c r="I173" t="s">
        <v>24</v>
      </c>
      <c r="J173" t="s">
        <v>147</v>
      </c>
      <c r="K173" t="s">
        <v>63</v>
      </c>
      <c r="L173">
        <v>2387</v>
      </c>
      <c r="M173" s="4">
        <v>7.6240085000000004</v>
      </c>
      <c r="N173" s="4">
        <v>25.965300865011024</v>
      </c>
      <c r="O173" s="4">
        <v>-2.8433107238327707E-2</v>
      </c>
      <c r="P173" s="1" t="str">
        <f>HYPERLINK(".\sm_car_250703_0822\sm_car_250703_0822_172_Ca199TrN_MaLSS_DrSt_ode3_1.png","figure")</f>
        <v>figure</v>
      </c>
      <c r="Q173" t="s">
        <v>15</v>
      </c>
      <c r="U173">
        <f>L173-'2024b_250702_1901'!L173</f>
        <v>0</v>
      </c>
      <c r="V173" s="7">
        <f>U173/'2024b_250702_1901'!L173</f>
        <v>0</v>
      </c>
      <c r="W173" s="4">
        <f>M173-'2024b_250702_1901'!M173</f>
        <v>-0.71318989999999971</v>
      </c>
      <c r="X173" s="7">
        <f>W173/'2024b_250702_1901'!M173</f>
        <v>-8.5543112420114614E-2</v>
      </c>
    </row>
    <row r="174" spans="1:24" x14ac:dyDescent="0.25">
      <c r="A174">
        <v>173</v>
      </c>
      <c r="B174">
        <v>199</v>
      </c>
      <c r="C174" t="s">
        <v>46</v>
      </c>
      <c r="D174" t="s">
        <v>17</v>
      </c>
      <c r="E174" t="s">
        <v>109</v>
      </c>
      <c r="F174" t="s">
        <v>19</v>
      </c>
      <c r="G174" t="s">
        <v>26</v>
      </c>
      <c r="H174" t="s">
        <v>21</v>
      </c>
      <c r="I174" t="s">
        <v>64</v>
      </c>
      <c r="J174" t="s">
        <v>147</v>
      </c>
      <c r="K174" t="s">
        <v>63</v>
      </c>
      <c r="L174">
        <v>2381</v>
      </c>
      <c r="M174" s="4">
        <v>7.5075434999999997</v>
      </c>
      <c r="N174" s="4">
        <v>25.753072775503231</v>
      </c>
      <c r="O174" s="4">
        <v>-2.6780294853401752</v>
      </c>
      <c r="P174" s="1" t="str">
        <f>HYPERLINK(".\sm_car_250703_0822\sm_car_250703_0822_173_Ca199TrN_MaTUR_DrSt_ode3_1.png","figure")</f>
        <v>figure</v>
      </c>
      <c r="Q174" t="s">
        <v>15</v>
      </c>
      <c r="U174">
        <f>L174-'2024b_250702_1901'!L174</f>
        <v>0</v>
      </c>
      <c r="V174" s="7">
        <f>U174/'2024b_250702_1901'!L174</f>
        <v>0</v>
      </c>
      <c r="W174" s="4">
        <f>M174-'2024b_250702_1901'!M174</f>
        <v>-1.2113304999999999</v>
      </c>
      <c r="X174" s="7">
        <f>W174/'2024b_250702_1901'!M174</f>
        <v>-0.13893198823609562</v>
      </c>
    </row>
    <row r="175" spans="1:24" x14ac:dyDescent="0.25">
      <c r="A175">
        <v>174</v>
      </c>
      <c r="B175">
        <v>139</v>
      </c>
      <c r="C175" t="s">
        <v>45</v>
      </c>
      <c r="D175" t="s">
        <v>17</v>
      </c>
      <c r="E175" t="s">
        <v>18</v>
      </c>
      <c r="F175" t="s">
        <v>19</v>
      </c>
      <c r="G175" t="s">
        <v>26</v>
      </c>
      <c r="H175" t="s">
        <v>21</v>
      </c>
      <c r="I175" t="s">
        <v>53</v>
      </c>
      <c r="J175" t="s">
        <v>147</v>
      </c>
      <c r="K175" t="s">
        <v>23</v>
      </c>
      <c r="L175">
        <v>519</v>
      </c>
      <c r="M175" s="4">
        <v>11.8622108</v>
      </c>
      <c r="N175" s="4">
        <v>254.40987918364874</v>
      </c>
      <c r="O175" s="4">
        <v>-7.4809694986939235E-3</v>
      </c>
      <c r="P175" s="1" t="str">
        <f>HYPERLINK(".\sm_car_250703_0822\sm_car_250703_0822_174_Ca139TrN_MaDLC_DrSt_ode23t_1.png","figure")</f>
        <v>figure</v>
      </c>
      <c r="Q175" t="s">
        <v>15</v>
      </c>
      <c r="U175">
        <f>L175-'2024b_250702_1901'!L175</f>
        <v>10</v>
      </c>
      <c r="V175" s="7">
        <f>U175/'2024b_250702_1901'!L175</f>
        <v>1.9646365422396856E-2</v>
      </c>
      <c r="W175" s="4">
        <f>M175-'2024b_250702_1901'!M175</f>
        <v>-0.676126</v>
      </c>
      <c r="X175" s="7">
        <f>W175/'2024b_250702_1901'!M175</f>
        <v>-5.3924695977220841E-2</v>
      </c>
    </row>
    <row r="176" spans="1:24" x14ac:dyDescent="0.25">
      <c r="A176">
        <v>175</v>
      </c>
      <c r="B176">
        <v>139</v>
      </c>
      <c r="C176" t="s">
        <v>45</v>
      </c>
      <c r="D176" t="s">
        <v>17</v>
      </c>
      <c r="E176" t="s">
        <v>18</v>
      </c>
      <c r="F176" t="s">
        <v>19</v>
      </c>
      <c r="G176" t="s">
        <v>26</v>
      </c>
      <c r="H176" t="s">
        <v>65</v>
      </c>
      <c r="I176" t="s">
        <v>53</v>
      </c>
      <c r="J176" t="s">
        <v>147</v>
      </c>
      <c r="K176" t="s">
        <v>23</v>
      </c>
      <c r="L176">
        <v>892</v>
      </c>
      <c r="M176" s="4">
        <v>34.800693099999997</v>
      </c>
      <c r="N176" s="4">
        <v>253.4108477266314</v>
      </c>
      <c r="O176" s="4">
        <v>0.16347761344892842</v>
      </c>
      <c r="P176" s="1" t="str">
        <f>HYPERLINK(".\sm_car_250703_0822\sm_car_250703_0822_175_Ca139TrE_MaDLC_DrSt_ode23t_1.png","figure")</f>
        <v>figure</v>
      </c>
      <c r="Q176" t="s">
        <v>15</v>
      </c>
      <c r="U176">
        <f>L176-'2024b_250702_1901'!L176</f>
        <v>50</v>
      </c>
      <c r="V176" s="7">
        <f>U176/'2024b_250702_1901'!L176</f>
        <v>5.9382422802850353E-2</v>
      </c>
      <c r="W176" s="4">
        <f>M176-'2024b_250702_1901'!M176</f>
        <v>-64.347234500000013</v>
      </c>
      <c r="X176" s="7">
        <f>W176/'2024b_250702_1901'!M176</f>
        <v>-0.64900231459805124</v>
      </c>
    </row>
    <row r="177" spans="1:24" x14ac:dyDescent="0.25">
      <c r="A177">
        <v>176</v>
      </c>
      <c r="B177">
        <v>139</v>
      </c>
      <c r="C177" t="s">
        <v>45</v>
      </c>
      <c r="D177" t="s">
        <v>17</v>
      </c>
      <c r="E177" t="s">
        <v>18</v>
      </c>
      <c r="F177" t="s">
        <v>19</v>
      </c>
      <c r="G177" t="s">
        <v>26</v>
      </c>
      <c r="H177" t="s">
        <v>66</v>
      </c>
      <c r="I177" t="s">
        <v>53</v>
      </c>
      <c r="J177" t="s">
        <v>147</v>
      </c>
      <c r="K177" t="s">
        <v>23</v>
      </c>
      <c r="L177">
        <v>1026</v>
      </c>
      <c r="M177" s="4">
        <v>43.070568799999997</v>
      </c>
      <c r="N177" s="4">
        <v>253.2917764958666</v>
      </c>
      <c r="O177" s="4">
        <v>-8.1491912213991213E-3</v>
      </c>
      <c r="P177" s="1" t="str">
        <f>HYPERLINK(".\sm_car_250703_0822\sm_car_250703_0822_176_Ca139TrT_MaDLC_DrSt_ode23t_1.png","figure")</f>
        <v>figure</v>
      </c>
      <c r="Q177" t="s">
        <v>15</v>
      </c>
      <c r="U177">
        <f>L177-'2024b_250702_1901'!L177</f>
        <v>27</v>
      </c>
      <c r="V177" s="7">
        <f>U177/'2024b_250702_1901'!L177</f>
        <v>2.7027027027027029E-2</v>
      </c>
      <c r="W177" s="4">
        <f>M177-'2024b_250702_1901'!M177</f>
        <v>-87.801545000000004</v>
      </c>
      <c r="X177" s="7">
        <f>W177/'2024b_250702_1901'!M177</f>
        <v>-0.67089575044366712</v>
      </c>
    </row>
    <row r="178" spans="1:24" x14ac:dyDescent="0.25">
      <c r="A178">
        <v>177</v>
      </c>
      <c r="B178">
        <v>139</v>
      </c>
      <c r="C178" t="s">
        <v>45</v>
      </c>
      <c r="D178" t="s">
        <v>17</v>
      </c>
      <c r="E178" t="s">
        <v>18</v>
      </c>
      <c r="F178" t="s">
        <v>19</v>
      </c>
      <c r="G178" t="s">
        <v>26</v>
      </c>
      <c r="H178" t="s">
        <v>65</v>
      </c>
      <c r="I178" t="s">
        <v>53</v>
      </c>
      <c r="J178" t="s">
        <v>147</v>
      </c>
      <c r="K178" t="s">
        <v>23</v>
      </c>
      <c r="L178">
        <v>909</v>
      </c>
      <c r="M178" s="4">
        <v>24.830465</v>
      </c>
      <c r="N178" s="4">
        <v>253.18719603911467</v>
      </c>
      <c r="O178" s="4">
        <v>0.18051784328789644</v>
      </c>
      <c r="P178" s="1" t="str">
        <f>HYPERLINK(".\sm_car_250703_0822\sm_car_250703_0822_177_Ca139TrE_MaDLC_DrSt_ode23t_1.png","figure")</f>
        <v>figure</v>
      </c>
      <c r="Q178" t="s">
        <v>15</v>
      </c>
      <c r="U178">
        <f>L178-'2024b_250702_1901'!L178</f>
        <v>-39</v>
      </c>
      <c r="V178" s="7">
        <f>U178/'2024b_250702_1901'!L178</f>
        <v>-4.1139240506329111E-2</v>
      </c>
      <c r="W178" s="4">
        <f>M178-'2024b_250702_1901'!M178</f>
        <v>-3.8586317000000001</v>
      </c>
      <c r="X178" s="7">
        <f>W178/'2024b_250702_1901'!M178</f>
        <v>-0.13449819422163961</v>
      </c>
    </row>
    <row r="179" spans="1:24" x14ac:dyDescent="0.25">
      <c r="A179">
        <v>178</v>
      </c>
      <c r="B179">
        <v>2</v>
      </c>
      <c r="C179" t="s">
        <v>16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147</v>
      </c>
      <c r="K179" t="s">
        <v>23</v>
      </c>
      <c r="L179">
        <v>528</v>
      </c>
      <c r="M179" s="4">
        <v>9.9198436999999995</v>
      </c>
      <c r="N179" s="4">
        <v>253.84576339482641</v>
      </c>
      <c r="O179" s="4">
        <v>4.5266562516099285E-2</v>
      </c>
      <c r="P179" s="1" t="str">
        <f>HYPERLINK(".\sm_car_250703_0822\sm_car_250703_0822_178_Ca002TrN_MaDLC_DrSt_ode23t_1.png","figure")</f>
        <v>figure</v>
      </c>
      <c r="Q179" t="s">
        <v>15</v>
      </c>
      <c r="U179">
        <f>L179-'2024b_250702_1901'!L179</f>
        <v>-3</v>
      </c>
      <c r="V179" s="7">
        <f>U179/'2024b_250702_1901'!L179</f>
        <v>-5.6497175141242938E-3</v>
      </c>
      <c r="W179" s="4">
        <f>M179-'2024b_250702_1901'!M179</f>
        <v>-20.077974300000001</v>
      </c>
      <c r="X179" s="7">
        <f>W179/'2024b_250702_1901'!M179</f>
        <v>-0.66931449147401323</v>
      </c>
    </row>
    <row r="180" spans="1:24" x14ac:dyDescent="0.25">
      <c r="A180">
        <v>179</v>
      </c>
      <c r="B180">
        <v>2</v>
      </c>
      <c r="C180" t="s">
        <v>16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147</v>
      </c>
      <c r="K180" t="s">
        <v>23</v>
      </c>
      <c r="L180">
        <v>569</v>
      </c>
      <c r="M180" s="4">
        <v>18.159211500000001</v>
      </c>
      <c r="N180" s="4">
        <v>254.96862552803555</v>
      </c>
      <c r="O180" s="4">
        <v>4.1677786451689514E-2</v>
      </c>
      <c r="P180" s="1" t="str">
        <f>HYPERLINK(".\sm_car_250703_0822\sm_car_250703_0822_179_Ca002TrE_MaDLC_DrSt_ode23t_1.png","figure")</f>
        <v>figure</v>
      </c>
      <c r="Q180" t="s">
        <v>15</v>
      </c>
      <c r="U180">
        <f>L180-'2024b_250702_1901'!L180</f>
        <v>-7</v>
      </c>
      <c r="V180" s="7">
        <f>U180/'2024b_250702_1901'!L180</f>
        <v>-1.2152777777777778E-2</v>
      </c>
      <c r="W180" s="4">
        <f>M180-'2024b_250702_1901'!M180</f>
        <v>-44.575539599999999</v>
      </c>
      <c r="X180" s="7">
        <f>W180/'2024b_250702_1901'!M180</f>
        <v>-0.71053983347994831</v>
      </c>
    </row>
    <row r="181" spans="1:24" x14ac:dyDescent="0.25">
      <c r="A181">
        <v>180</v>
      </c>
      <c r="B181">
        <v>2</v>
      </c>
      <c r="C181" t="s">
        <v>16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147</v>
      </c>
      <c r="K181" t="s">
        <v>23</v>
      </c>
      <c r="L181">
        <v>954</v>
      </c>
      <c r="M181" s="4">
        <v>34.020385300000001</v>
      </c>
      <c r="N181" s="4">
        <v>254.7675551742376</v>
      </c>
      <c r="O181" s="4">
        <v>4.1864912179423008E-2</v>
      </c>
      <c r="P181" s="1" t="str">
        <f>HYPERLINK(".\sm_car_250703_0822\sm_car_250703_0822_180_Ca002TrT_MaDLC_DrSt_ode23t_1.png","figure")</f>
        <v>figure</v>
      </c>
      <c r="Q181" t="s">
        <v>15</v>
      </c>
      <c r="U181">
        <f>L181-'2024b_250702_1901'!L181</f>
        <v>19</v>
      </c>
      <c r="V181" s="7">
        <f>U181/'2024b_250702_1901'!L181</f>
        <v>2.0320855614973262E-2</v>
      </c>
      <c r="W181" s="4">
        <f>M181-'2024b_250702_1901'!M181</f>
        <v>-67.213276699999994</v>
      </c>
      <c r="X181" s="7">
        <f>W181/'2024b_250702_1901'!M181</f>
        <v>-0.6639419672480088</v>
      </c>
    </row>
    <row r="182" spans="1:24" x14ac:dyDescent="0.25">
      <c r="A182">
        <v>181</v>
      </c>
      <c r="B182">
        <v>2</v>
      </c>
      <c r="C182" t="s">
        <v>16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147</v>
      </c>
      <c r="K182" t="s">
        <v>23</v>
      </c>
      <c r="L182">
        <v>567</v>
      </c>
      <c r="M182" s="4">
        <v>13.804974400000001</v>
      </c>
      <c r="N182" s="4">
        <v>254.39954455861488</v>
      </c>
      <c r="O182" s="4">
        <v>4.372734348211349E-2</v>
      </c>
      <c r="P182" s="1" t="str">
        <f>HYPERLINK(".\sm_car_250703_0822\sm_car_250703_0822_181_Ca002TrE_MaDLC_DrSt_ode23t_1.png","figure")</f>
        <v>figure</v>
      </c>
      <c r="Q182" t="s">
        <v>15</v>
      </c>
      <c r="U182">
        <f>L182-'2024b_250702_1901'!L182</f>
        <v>-4</v>
      </c>
      <c r="V182" s="7">
        <f>U182/'2024b_250702_1901'!L182</f>
        <v>-7.0052539404553416E-3</v>
      </c>
      <c r="W182" s="4">
        <f>M182-'2024b_250702_1901'!M182</f>
        <v>-15.189875899999999</v>
      </c>
      <c r="X182" s="7">
        <f>W182/'2024b_250702_1901'!M182</f>
        <v>-0.52388185290958367</v>
      </c>
    </row>
    <row r="183" spans="1:24" x14ac:dyDescent="0.25">
      <c r="A183">
        <v>182</v>
      </c>
      <c r="B183">
        <v>145</v>
      </c>
      <c r="C183" t="s">
        <v>46</v>
      </c>
      <c r="D183" t="s">
        <v>17</v>
      </c>
      <c r="E183" t="s">
        <v>50</v>
      </c>
      <c r="F183" t="s">
        <v>19</v>
      </c>
      <c r="G183" t="s">
        <v>26</v>
      </c>
      <c r="H183" t="s">
        <v>21</v>
      </c>
      <c r="I183" t="s">
        <v>53</v>
      </c>
      <c r="J183" t="s">
        <v>147</v>
      </c>
      <c r="K183" t="s">
        <v>23</v>
      </c>
      <c r="L183">
        <v>454</v>
      </c>
      <c r="M183" s="4">
        <v>15.595351300000001</v>
      </c>
      <c r="N183" s="4">
        <v>255.25921620148904</v>
      </c>
      <c r="O183" s="4">
        <v>6.8568839494880685E-2</v>
      </c>
      <c r="P183" s="1" t="str">
        <f>HYPERLINK(".\sm_car_250703_0822\sm_car_250703_0822_182_Ca145TrN_MaDLC_DrSt_ode23t_1.png","figure")</f>
        <v>figure</v>
      </c>
      <c r="Q183" t="s">
        <v>15</v>
      </c>
      <c r="U183">
        <f>L183-'2024b_250702_1901'!L183</f>
        <v>-2</v>
      </c>
      <c r="V183" s="7">
        <f>U183/'2024b_250702_1901'!L183</f>
        <v>-4.3859649122807015E-3</v>
      </c>
      <c r="W183" s="4">
        <f>M183-'2024b_250702_1901'!M183</f>
        <v>-37.379996599999998</v>
      </c>
      <c r="X183" s="7">
        <f>W183/'2024b_250702_1901'!M183</f>
        <v>-0.70561115843091982</v>
      </c>
    </row>
    <row r="184" spans="1:24" x14ac:dyDescent="0.25">
      <c r="A184">
        <v>183</v>
      </c>
      <c r="B184">
        <v>145</v>
      </c>
      <c r="C184" t="s">
        <v>46</v>
      </c>
      <c r="D184" t="s">
        <v>17</v>
      </c>
      <c r="E184" t="s">
        <v>50</v>
      </c>
      <c r="F184" t="s">
        <v>19</v>
      </c>
      <c r="G184" t="s">
        <v>26</v>
      </c>
      <c r="H184" t="s">
        <v>65</v>
      </c>
      <c r="I184" t="s">
        <v>53</v>
      </c>
      <c r="J184" t="s">
        <v>147</v>
      </c>
      <c r="K184" t="s">
        <v>23</v>
      </c>
      <c r="L184">
        <v>573</v>
      </c>
      <c r="M184" s="4">
        <v>32.099024800000002</v>
      </c>
      <c r="N184" s="4">
        <v>256.3137943001006</v>
      </c>
      <c r="O184" s="4">
        <v>6.4756767353018496E-2</v>
      </c>
      <c r="P184" s="1" t="str">
        <f>HYPERLINK(".\sm_car_250703_0822\sm_car_250703_0822_183_Ca145TrE_MaDLC_DrSt_ode23t_1.png","figure")</f>
        <v>figure</v>
      </c>
      <c r="Q184" t="s">
        <v>15</v>
      </c>
      <c r="U184">
        <f>L184-'2024b_250702_1901'!L184</f>
        <v>1</v>
      </c>
      <c r="V184" s="7">
        <f>U184/'2024b_250702_1901'!L184</f>
        <v>1.7482517482517483E-3</v>
      </c>
      <c r="W184" s="4">
        <f>M184-'2024b_250702_1901'!M184</f>
        <v>-46.464025099999994</v>
      </c>
      <c r="X184" s="7">
        <f>W184/'2024b_250702_1901'!M184</f>
        <v>-0.59142338744667289</v>
      </c>
    </row>
    <row r="185" spans="1:24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66</v>
      </c>
      <c r="I185" t="s">
        <v>53</v>
      </c>
      <c r="J185" t="s">
        <v>147</v>
      </c>
      <c r="K185" t="s">
        <v>23</v>
      </c>
      <c r="L185">
        <v>797</v>
      </c>
      <c r="M185" s="4">
        <v>49.765182600000003</v>
      </c>
      <c r="N185" s="4">
        <v>256.2864845869081</v>
      </c>
      <c r="O185" s="4">
        <v>6.4411622985361738E-2</v>
      </c>
      <c r="P185" s="1" t="str">
        <f>HYPERLINK(".\sm_car_250703_0822\sm_car_250703_0822_184_Ca145TrT_MaDLC_DrSt_ode23t_1.png","figure")</f>
        <v>figure</v>
      </c>
      <c r="Q185" t="s">
        <v>15</v>
      </c>
      <c r="U185">
        <f>L185-'2024b_250702_1901'!L185</f>
        <v>5</v>
      </c>
      <c r="V185" s="7">
        <f>U185/'2024b_250702_1901'!L185</f>
        <v>6.313131313131313E-3</v>
      </c>
      <c r="W185" s="4">
        <f>M185-'2024b_250702_1901'!M185</f>
        <v>-13.436863199999998</v>
      </c>
      <c r="X185" s="7">
        <f>W185/'2024b_250702_1901'!M185</f>
        <v>-0.21260171296543692</v>
      </c>
    </row>
    <row r="186" spans="1:24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65</v>
      </c>
      <c r="I186" t="s">
        <v>53</v>
      </c>
      <c r="J186" t="s">
        <v>147</v>
      </c>
      <c r="K186" t="s">
        <v>23</v>
      </c>
      <c r="L186">
        <v>573</v>
      </c>
      <c r="M186" s="4">
        <v>27.695567199999999</v>
      </c>
      <c r="N186" s="4">
        <v>253.54508754481714</v>
      </c>
      <c r="O186" s="4">
        <v>7.7322298359277397E-2</v>
      </c>
      <c r="P186" s="1" t="str">
        <f>HYPERLINK(".\sm_car_250703_0822\sm_car_250703_0822_185_Ca145TrE_MaDLC_DrSt_ode23t_1.png","figure")</f>
        <v>figure</v>
      </c>
      <c r="Q186" t="s">
        <v>15</v>
      </c>
      <c r="U186">
        <f>L186-'2024b_250702_1901'!L186</f>
        <v>-6</v>
      </c>
      <c r="V186" s="7">
        <f>U186/'2024b_250702_1901'!L186</f>
        <v>-1.0362694300518135E-2</v>
      </c>
      <c r="W186" s="4">
        <f>M186-'2024b_250702_1901'!M186</f>
        <v>-51.279695099999998</v>
      </c>
      <c r="X186" s="7">
        <f>W186/'2024b_250702_1901'!M186</f>
        <v>-0.64931338759225621</v>
      </c>
    </row>
    <row r="187" spans="1:24" x14ac:dyDescent="0.25">
      <c r="A187">
        <v>186</v>
      </c>
      <c r="B187">
        <v>199</v>
      </c>
      <c r="C187" t="s">
        <v>46</v>
      </c>
      <c r="D187" t="s">
        <v>17</v>
      </c>
      <c r="E187" t="s">
        <v>109</v>
      </c>
      <c r="F187" t="s">
        <v>19</v>
      </c>
      <c r="G187" t="s">
        <v>26</v>
      </c>
      <c r="H187" t="s">
        <v>21</v>
      </c>
      <c r="I187" t="s">
        <v>53</v>
      </c>
      <c r="J187" t="s">
        <v>147</v>
      </c>
      <c r="K187" t="s">
        <v>23</v>
      </c>
      <c r="L187">
        <v>458</v>
      </c>
      <c r="M187" s="4">
        <v>7.1707584000000004</v>
      </c>
      <c r="N187" s="4">
        <v>253.28795790663918</v>
      </c>
      <c r="O187" s="4">
        <v>7.7923979464459947E-2</v>
      </c>
      <c r="P187" s="1" t="str">
        <f>HYPERLINK(".\sm_car_250703_0822\sm_car_250703_0822_186_Ca199TrN_MaDLC_DrSt_ode23t_1.png","figure")</f>
        <v>figure</v>
      </c>
      <c r="Q187" t="s">
        <v>15</v>
      </c>
      <c r="U187">
        <f>L187-'2024b_250702_1901'!L187</f>
        <v>-7</v>
      </c>
      <c r="V187" s="7">
        <f>U187/'2024b_250702_1901'!L187</f>
        <v>-1.5053763440860216E-2</v>
      </c>
      <c r="W187" s="4">
        <f>M187-'2024b_250702_1901'!M187</f>
        <v>-15.608390199999999</v>
      </c>
      <c r="X187" s="7">
        <f>W187/'2024b_250702_1901'!M187</f>
        <v>-0.68520516170652657</v>
      </c>
    </row>
    <row r="188" spans="1:24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65</v>
      </c>
      <c r="I188" t="s">
        <v>53</v>
      </c>
      <c r="J188" t="s">
        <v>147</v>
      </c>
      <c r="K188" t="s">
        <v>23</v>
      </c>
      <c r="L188">
        <v>573</v>
      </c>
      <c r="M188" s="4">
        <v>17.1930829</v>
      </c>
      <c r="N188" s="4">
        <v>253.54895564243384</v>
      </c>
      <c r="O188" s="4">
        <v>7.7254833803456435E-2</v>
      </c>
      <c r="P188" s="1" t="str">
        <f>HYPERLINK(".\sm_car_250703_0822\sm_car_250703_0822_187_Ca199TrE_MaDLC_DrSt_ode23t_1.png","figure")</f>
        <v>figure</v>
      </c>
      <c r="Q188" t="s">
        <v>15</v>
      </c>
      <c r="U188">
        <f>L188-'2024b_250702_1901'!L188</f>
        <v>-4</v>
      </c>
      <c r="V188" s="7">
        <f>U188/'2024b_250702_1901'!L188</f>
        <v>-6.9324090121317154E-3</v>
      </c>
      <c r="W188" s="4">
        <f>M188-'2024b_250702_1901'!M188</f>
        <v>-42.478905900000001</v>
      </c>
      <c r="X188" s="7">
        <f>W188/'2024b_250702_1901'!M188</f>
        <v>-0.71187347286806035</v>
      </c>
    </row>
    <row r="189" spans="1:24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66</v>
      </c>
      <c r="I189" t="s">
        <v>53</v>
      </c>
      <c r="J189" t="s">
        <v>147</v>
      </c>
      <c r="K189" t="s">
        <v>23</v>
      </c>
      <c r="L189">
        <v>848</v>
      </c>
      <c r="M189" s="4">
        <v>25.512969999999999</v>
      </c>
      <c r="N189" s="4">
        <v>257.11221017433132</v>
      </c>
      <c r="O189" s="4">
        <v>6.1124322321425062E-2</v>
      </c>
      <c r="P189" s="1" t="str">
        <f>HYPERLINK(".\sm_car_250703_0822\sm_car_250703_0822_188_Ca199TrT_MaDLC_DrSt_ode23t_1.png","figure")</f>
        <v>figure</v>
      </c>
      <c r="Q189" t="s">
        <v>15</v>
      </c>
      <c r="U189">
        <f>L189-'2024b_250702_1901'!L189</f>
        <v>37</v>
      </c>
      <c r="V189" s="7">
        <f>U189/'2024b_250702_1901'!L189</f>
        <v>4.562268803945746E-2</v>
      </c>
      <c r="W189" s="4">
        <f>M189-'2024b_250702_1901'!M189</f>
        <v>-46.919410900000003</v>
      </c>
      <c r="X189" s="7">
        <f>W189/'2024b_250702_1901'!M189</f>
        <v>-0.64776844716421578</v>
      </c>
    </row>
    <row r="190" spans="1:24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65</v>
      </c>
      <c r="I190" t="s">
        <v>53</v>
      </c>
      <c r="J190" t="s">
        <v>147</v>
      </c>
      <c r="K190" t="s">
        <v>23</v>
      </c>
      <c r="L190">
        <v>582</v>
      </c>
      <c r="M190" s="4">
        <v>13.319755199999999</v>
      </c>
      <c r="N190" s="4">
        <v>254.32723679238768</v>
      </c>
      <c r="O190" s="4">
        <v>7.3507801221759372E-2</v>
      </c>
      <c r="P190" s="1" t="str">
        <f>HYPERLINK(".\sm_car_250703_0822\sm_car_250703_0822_189_Ca199TrE_MaDLC_DrSt_ode23t_1.png","figure")</f>
        <v>figure</v>
      </c>
      <c r="Q190" t="s">
        <v>15</v>
      </c>
      <c r="U190">
        <f>L190-'2024b_250702_1901'!L190</f>
        <v>8</v>
      </c>
      <c r="V190" s="7">
        <f>U190/'2024b_250702_1901'!L190</f>
        <v>1.3937282229965157E-2</v>
      </c>
      <c r="W190" s="4">
        <f>M190-'2024b_250702_1901'!M190</f>
        <v>-0.50966160000000116</v>
      </c>
      <c r="X190" s="7">
        <f>W190/'2024b_250702_1901'!M190</f>
        <v>-3.685344128177561E-2</v>
      </c>
    </row>
    <row r="191" spans="1:24" x14ac:dyDescent="0.25">
      <c r="A191">
        <v>190</v>
      </c>
      <c r="B191">
        <v>189</v>
      </c>
      <c r="C191" t="s">
        <v>45</v>
      </c>
      <c r="D191" t="s">
        <v>17</v>
      </c>
      <c r="E191" t="s">
        <v>107</v>
      </c>
      <c r="F191" t="s">
        <v>19</v>
      </c>
      <c r="G191" t="s">
        <v>26</v>
      </c>
      <c r="H191" t="s">
        <v>65</v>
      </c>
      <c r="I191" t="s">
        <v>67</v>
      </c>
      <c r="J191" t="s">
        <v>147</v>
      </c>
      <c r="K191" t="s">
        <v>23</v>
      </c>
      <c r="L191">
        <v>512</v>
      </c>
      <c r="M191" s="4">
        <v>15.631440100000001</v>
      </c>
      <c r="N191" s="4">
        <v>262.01095285528919</v>
      </c>
      <c r="O191" s="4">
        <v>5.0009442989196806</v>
      </c>
      <c r="P191" s="1" t="str">
        <f>HYPERLINK(".\sm_car_250703_0822\sm_car_250703_0822_190_Ca189TrE_MaTRD_DrSt_ode23t_1.png","figure")</f>
        <v>figure</v>
      </c>
      <c r="Q191" t="s">
        <v>15</v>
      </c>
      <c r="U191">
        <f>L191-'2024b_250702_1901'!L191</f>
        <v>5</v>
      </c>
      <c r="V191" s="7">
        <f>U191/'2024b_250702_1901'!L191</f>
        <v>9.8619329388560158E-3</v>
      </c>
      <c r="W191" s="4">
        <f>M191-'2024b_250702_1901'!M191</f>
        <v>-1.1900020999999992</v>
      </c>
      <c r="X191" s="7">
        <f>W191/'2024b_250702_1901'!M191</f>
        <v>-7.0743167312966732E-2</v>
      </c>
    </row>
    <row r="192" spans="1:24" x14ac:dyDescent="0.25">
      <c r="A192">
        <v>191</v>
      </c>
      <c r="B192">
        <v>189</v>
      </c>
      <c r="C192" t="s">
        <v>45</v>
      </c>
      <c r="D192" t="s">
        <v>17</v>
      </c>
      <c r="E192" t="s">
        <v>107</v>
      </c>
      <c r="F192" t="s">
        <v>19</v>
      </c>
      <c r="G192" t="s">
        <v>26</v>
      </c>
      <c r="H192" t="s">
        <v>65</v>
      </c>
      <c r="I192" t="s">
        <v>67</v>
      </c>
      <c r="J192" t="s">
        <v>147</v>
      </c>
      <c r="K192" t="s">
        <v>23</v>
      </c>
      <c r="L192">
        <v>677</v>
      </c>
      <c r="M192" s="4">
        <v>18.1942077</v>
      </c>
      <c r="N192" s="4">
        <v>261.89490355078112</v>
      </c>
      <c r="O192" s="4">
        <v>4.8608728739796589</v>
      </c>
      <c r="P192" s="1" t="str">
        <f>HYPERLINK(".\sm_car_250703_0822\sm_car_250703_0822_191_Ca189TrU_MaTRD_DrSt_ode23t_1.png","figure")</f>
        <v>figure</v>
      </c>
      <c r="Q192" t="s">
        <v>15</v>
      </c>
      <c r="U192">
        <f>L192-'2024b_250702_1901'!L192</f>
        <v>8</v>
      </c>
      <c r="V192" s="7">
        <f>U192/'2024b_250702_1901'!L192</f>
        <v>1.195814648729447E-2</v>
      </c>
      <c r="W192" s="4">
        <f>M192-'2024b_250702_1901'!M192</f>
        <v>-0.31398739999999847</v>
      </c>
      <c r="X192" s="7">
        <f>W192/'2024b_250702_1901'!M192</f>
        <v>-1.6964776862547687E-2</v>
      </c>
    </row>
    <row r="193" spans="1:24" x14ac:dyDescent="0.25">
      <c r="A193">
        <v>192</v>
      </c>
      <c r="B193">
        <v>149</v>
      </c>
      <c r="C193" t="s">
        <v>46</v>
      </c>
      <c r="D193" t="s">
        <v>17</v>
      </c>
      <c r="E193" t="s">
        <v>68</v>
      </c>
      <c r="F193" t="s">
        <v>19</v>
      </c>
      <c r="G193" t="s">
        <v>26</v>
      </c>
      <c r="H193" t="s">
        <v>21</v>
      </c>
      <c r="I193" t="s">
        <v>69</v>
      </c>
      <c r="J193" t="s">
        <v>147</v>
      </c>
      <c r="K193" t="s">
        <v>23</v>
      </c>
      <c r="L193">
        <v>671</v>
      </c>
      <c r="M193" s="4">
        <v>9.8426235000000002</v>
      </c>
      <c r="N193" s="4">
        <v>-5.9517572795328988E-3</v>
      </c>
      <c r="O193" s="4">
        <v>-5.2871457174116787E-4</v>
      </c>
      <c r="P193" s="1" t="str">
        <f>HYPERLINK(".\sm_car_250703_0822\sm_car_250703_0822_192_Ca149TrN_MaPST_DrSt_ode23t_1.png","figure")</f>
        <v>figure</v>
      </c>
      <c r="Q193" t="s">
        <v>15</v>
      </c>
      <c r="U193">
        <f>L193-'2024b_250702_1901'!L193</f>
        <v>2</v>
      </c>
      <c r="V193" s="7">
        <f>U193/'2024b_250702_1901'!L193</f>
        <v>2.9895366218236174E-3</v>
      </c>
      <c r="W193" s="4">
        <f>M193-'2024b_250702_1901'!M193</f>
        <v>-0.37909939999999942</v>
      </c>
      <c r="X193" s="7">
        <f>W193/'2024b_250702_1901'!M193</f>
        <v>-3.7087622478985359E-2</v>
      </c>
    </row>
    <row r="194" spans="1:24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21</v>
      </c>
      <c r="I194" t="s">
        <v>70</v>
      </c>
      <c r="J194" t="s">
        <v>147</v>
      </c>
      <c r="K194" t="s">
        <v>23</v>
      </c>
      <c r="L194">
        <v>1560</v>
      </c>
      <c r="M194" s="4">
        <v>39.421343299999997</v>
      </c>
      <c r="N194" s="4">
        <v>36.726996949285635</v>
      </c>
      <c r="O194" s="4">
        <v>0.22036291444431208</v>
      </c>
      <c r="P194" s="1" t="str">
        <f>HYPERLINK(".\sm_car_250703_0822\sm_car_250703_0822_193_Ca139TrN_MaSKD_DrSt_ode23t_1.png","figure")</f>
        <v>figure</v>
      </c>
      <c r="Q194" t="s">
        <v>15</v>
      </c>
      <c r="U194">
        <f>L194-'2024b_250702_1901'!L194</f>
        <v>-6</v>
      </c>
      <c r="V194" s="7">
        <f>U194/'2024b_250702_1901'!L194</f>
        <v>-3.8314176245210726E-3</v>
      </c>
      <c r="W194" s="4">
        <f>M194-'2024b_250702_1901'!M194</f>
        <v>-3.3017864000000046</v>
      </c>
      <c r="X194" s="7">
        <f>W194/'2024b_250702_1901'!M194</f>
        <v>-7.728334565339684E-2</v>
      </c>
    </row>
    <row r="195" spans="1:24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71</v>
      </c>
      <c r="J195" t="s">
        <v>147</v>
      </c>
      <c r="K195" t="s">
        <v>23</v>
      </c>
      <c r="L195">
        <v>817</v>
      </c>
      <c r="M195" s="4">
        <v>21.088921200000001</v>
      </c>
      <c r="N195" s="4">
        <v>-0.15520266194455701</v>
      </c>
      <c r="O195" s="4">
        <v>20.518249768525866</v>
      </c>
      <c r="P195" s="1" t="str">
        <f>HYPERLINK(".\sm_car_250703_0822\sm_car_250703_0822_194_Ca139TrN_MaRAD_DrSt_ode23t_1.png","figure")</f>
        <v>figure</v>
      </c>
      <c r="Q195" t="s">
        <v>15</v>
      </c>
      <c r="U195">
        <f>L195-'2024b_250702_1901'!L195</f>
        <v>-15</v>
      </c>
      <c r="V195" s="7">
        <f>U195/'2024b_250702_1901'!L195</f>
        <v>-1.8028846153846152E-2</v>
      </c>
      <c r="W195" s="4">
        <f>M195-'2024b_250702_1901'!M195</f>
        <v>1.0225441000000011</v>
      </c>
      <c r="X195" s="7">
        <f>W195/'2024b_250702_1901'!M195</f>
        <v>5.0958082513061165E-2</v>
      </c>
    </row>
    <row r="196" spans="1:24" x14ac:dyDescent="0.25">
      <c r="A196">
        <v>195</v>
      </c>
      <c r="B196">
        <v>184</v>
      </c>
      <c r="C196" t="s">
        <v>105</v>
      </c>
      <c r="D196" t="s">
        <v>118</v>
      </c>
      <c r="E196" t="s">
        <v>49</v>
      </c>
      <c r="F196" t="s">
        <v>19</v>
      </c>
      <c r="G196" t="s">
        <v>20</v>
      </c>
      <c r="H196" t="s">
        <v>21</v>
      </c>
      <c r="I196" t="s">
        <v>70</v>
      </c>
      <c r="J196" t="s">
        <v>147</v>
      </c>
      <c r="K196" t="s">
        <v>23</v>
      </c>
      <c r="L196">
        <v>1325</v>
      </c>
      <c r="M196" s="4">
        <v>50.416369500000002</v>
      </c>
      <c r="N196" s="4">
        <v>36.32144328281688</v>
      </c>
      <c r="O196" s="4">
        <v>0.16423345424359295</v>
      </c>
      <c r="P196" s="1" t="str">
        <f>HYPERLINK(".\sm_car_250703_0822\sm_car_250703_0822_195_Ca184TrN_MaSKD_DrSt_ode23t_1.png","figure")</f>
        <v>figure</v>
      </c>
      <c r="Q196" t="s">
        <v>15</v>
      </c>
      <c r="U196">
        <f>L196-'2024b_250702_1901'!L196</f>
        <v>31</v>
      </c>
      <c r="V196" s="7">
        <f>U196/'2024b_250702_1901'!L196</f>
        <v>2.3956723338485315E-2</v>
      </c>
      <c r="W196" s="4">
        <f>M196-'2024b_250702_1901'!M196</f>
        <v>-2.7344812999999988</v>
      </c>
      <c r="X196" s="7">
        <f>W196/'2024b_250702_1901'!M196</f>
        <v>-5.1447554626914811E-2</v>
      </c>
    </row>
    <row r="197" spans="1:24" x14ac:dyDescent="0.25">
      <c r="A197">
        <v>196</v>
      </c>
      <c r="B197">
        <v>184</v>
      </c>
      <c r="C197" t="s">
        <v>105</v>
      </c>
      <c r="D197" t="s">
        <v>118</v>
      </c>
      <c r="E197" t="s">
        <v>49</v>
      </c>
      <c r="F197" t="s">
        <v>19</v>
      </c>
      <c r="G197" t="s">
        <v>20</v>
      </c>
      <c r="H197" t="s">
        <v>21</v>
      </c>
      <c r="I197" t="s">
        <v>71</v>
      </c>
      <c r="J197" t="s">
        <v>147</v>
      </c>
      <c r="K197" t="s">
        <v>23</v>
      </c>
      <c r="L197">
        <v>643</v>
      </c>
      <c r="M197" s="4">
        <v>23.813084799999999</v>
      </c>
      <c r="N197" s="4">
        <v>7.4795331492723953</v>
      </c>
      <c r="O197" s="4">
        <v>10.384624960265114</v>
      </c>
      <c r="P197" s="1" t="str">
        <f>HYPERLINK(".\sm_car_250703_0822\sm_car_250703_0822_196_Ca184TrN_MaRAD_DrSt_ode23t_1.png","figure")</f>
        <v>figure</v>
      </c>
      <c r="Q197" t="s">
        <v>15</v>
      </c>
      <c r="U197">
        <f>L197-'2024b_250702_1901'!L197</f>
        <v>-8</v>
      </c>
      <c r="V197" s="7">
        <f>U197/'2024b_250702_1901'!L197</f>
        <v>-1.2288786482334869E-2</v>
      </c>
      <c r="W197" s="4">
        <f>M197-'2024b_250702_1901'!M197</f>
        <v>-1.8153813999999997</v>
      </c>
      <c r="X197" s="7">
        <f>W197/'2024b_250702_1901'!M197</f>
        <v>-7.0834570661899382E-2</v>
      </c>
    </row>
    <row r="198" spans="1:24" x14ac:dyDescent="0.25">
      <c r="A198">
        <v>197</v>
      </c>
      <c r="B198">
        <v>198</v>
      </c>
      <c r="C198" t="s">
        <v>105</v>
      </c>
      <c r="D198" t="s">
        <v>118</v>
      </c>
      <c r="E198" t="s">
        <v>107</v>
      </c>
      <c r="F198" t="s">
        <v>19</v>
      </c>
      <c r="G198" t="s">
        <v>20</v>
      </c>
      <c r="H198" t="s">
        <v>21</v>
      </c>
      <c r="I198" t="s">
        <v>70</v>
      </c>
      <c r="J198" t="s">
        <v>147</v>
      </c>
      <c r="K198" t="s">
        <v>23</v>
      </c>
      <c r="L198">
        <v>1402</v>
      </c>
      <c r="M198" s="4">
        <v>30.4088794</v>
      </c>
      <c r="N198" s="4">
        <v>36.438258051167452</v>
      </c>
      <c r="O198" s="4">
        <v>0.16023134207099382</v>
      </c>
      <c r="P198" s="1" t="str">
        <f>HYPERLINK(".\sm_car_250703_0822\sm_car_250703_0822_197_Ca198TrN_MaSKD_DrSt_ode23t_1.png","figure")</f>
        <v>figure</v>
      </c>
      <c r="Q198" t="s">
        <v>15</v>
      </c>
      <c r="U198">
        <f>L198-'2024b_250702_1901'!L198</f>
        <v>4</v>
      </c>
      <c r="V198" s="7">
        <f>U198/'2024b_250702_1901'!L198</f>
        <v>2.8612303290414878E-3</v>
      </c>
      <c r="W198" s="4">
        <f>M198-'2024b_250702_1901'!M198</f>
        <v>-3.1525932000000019</v>
      </c>
      <c r="X198" s="7">
        <f>W198/'2024b_250702_1901'!M198</f>
        <v>-9.3934888899958505E-2</v>
      </c>
    </row>
    <row r="199" spans="1:24" x14ac:dyDescent="0.25">
      <c r="A199">
        <v>198</v>
      </c>
      <c r="B199">
        <v>198</v>
      </c>
      <c r="C199" t="s">
        <v>105</v>
      </c>
      <c r="D199" t="s">
        <v>118</v>
      </c>
      <c r="E199" t="s">
        <v>107</v>
      </c>
      <c r="F199" t="s">
        <v>19</v>
      </c>
      <c r="G199" t="s">
        <v>20</v>
      </c>
      <c r="H199" t="s">
        <v>21</v>
      </c>
      <c r="I199" t="s">
        <v>71</v>
      </c>
      <c r="J199" t="s">
        <v>147</v>
      </c>
      <c r="K199" t="s">
        <v>23</v>
      </c>
      <c r="L199">
        <v>683</v>
      </c>
      <c r="M199" s="4">
        <v>14.8254489</v>
      </c>
      <c r="N199" s="4">
        <v>7.5262135725020904</v>
      </c>
      <c r="O199" s="4">
        <v>10.277720235239892</v>
      </c>
      <c r="P199" s="1" t="str">
        <f>HYPERLINK(".\sm_car_250703_0822\sm_car_250703_0822_198_Ca198TrN_MaRAD_DrSt_ode23t_1.png","figure")</f>
        <v>figure</v>
      </c>
      <c r="Q199" t="s">
        <v>15</v>
      </c>
      <c r="U199">
        <f>L199-'2024b_250702_1901'!L199</f>
        <v>-6</v>
      </c>
      <c r="V199" s="7">
        <f>U199/'2024b_250702_1901'!L199</f>
        <v>-8.708272859216255E-3</v>
      </c>
      <c r="W199" s="4">
        <f>M199-'2024b_250702_1901'!M199</f>
        <v>-2.2215225000000007</v>
      </c>
      <c r="X199" s="7">
        <f>W199/'2024b_250702_1901'!M199</f>
        <v>-0.13031772318219534</v>
      </c>
    </row>
    <row r="200" spans="1:24" x14ac:dyDescent="0.25">
      <c r="A200">
        <v>199</v>
      </c>
      <c r="B200">
        <v>189</v>
      </c>
      <c r="C200" t="s">
        <v>45</v>
      </c>
      <c r="D200" t="s">
        <v>17</v>
      </c>
      <c r="E200" t="s">
        <v>107</v>
      </c>
      <c r="F200" t="s">
        <v>19</v>
      </c>
      <c r="G200" t="s">
        <v>26</v>
      </c>
      <c r="H200" t="s">
        <v>21</v>
      </c>
      <c r="I200" t="s">
        <v>136</v>
      </c>
      <c r="J200" t="s">
        <v>147</v>
      </c>
      <c r="K200" t="s">
        <v>23</v>
      </c>
      <c r="L200">
        <v>572</v>
      </c>
      <c r="M200" s="4">
        <v>10.9729847</v>
      </c>
      <c r="N200" s="4">
        <v>133.01886143810137</v>
      </c>
      <c r="O200" s="4">
        <v>-15.317086412947925</v>
      </c>
      <c r="P200" s="1" t="str">
        <f>HYPERLINK(".\sm_car_250703_0822\sm_car_250703_0822_199_Ca189TrN_MaFSH_DrSt_ode23t_1.png","figure")</f>
        <v>figure</v>
      </c>
      <c r="Q200" t="s">
        <v>15</v>
      </c>
      <c r="U200">
        <f>L200-'2024b_250702_1901'!L200</f>
        <v>9</v>
      </c>
      <c r="V200" s="7">
        <f>U200/'2024b_250702_1901'!L200</f>
        <v>1.5985790408525755E-2</v>
      </c>
      <c r="W200" s="4">
        <f>M200-'2024b_250702_1901'!M200</f>
        <v>-0.37043470000000056</v>
      </c>
      <c r="X200" s="7">
        <f>W200/'2024b_250702_1901'!M200</f>
        <v>-3.2656352281217826E-2</v>
      </c>
    </row>
    <row r="201" spans="1:24" x14ac:dyDescent="0.25">
      <c r="A201">
        <v>200</v>
      </c>
      <c r="B201">
        <v>189</v>
      </c>
      <c r="C201" t="s">
        <v>45</v>
      </c>
      <c r="D201" t="s">
        <v>17</v>
      </c>
      <c r="E201" t="s">
        <v>107</v>
      </c>
      <c r="F201" t="s">
        <v>19</v>
      </c>
      <c r="G201" t="s">
        <v>26</v>
      </c>
      <c r="H201" t="s">
        <v>21</v>
      </c>
      <c r="I201" t="s">
        <v>137</v>
      </c>
      <c r="J201" t="s">
        <v>147</v>
      </c>
      <c r="K201" t="s">
        <v>23</v>
      </c>
      <c r="L201">
        <v>422</v>
      </c>
      <c r="M201" s="4">
        <v>7.1142883000000001</v>
      </c>
      <c r="N201" s="4">
        <v>129.56525115839867</v>
      </c>
      <c r="O201" s="4">
        <v>-8.9438133269030864</v>
      </c>
      <c r="P201" s="1" t="str">
        <f>HYPERLINK(".\sm_car_250703_0822\sm_car_250703_0822_200_Ca189TrN_MaSWD_DrSt_ode23t_1.png","figure")</f>
        <v>figure</v>
      </c>
      <c r="Q201" t="s">
        <v>15</v>
      </c>
      <c r="U201">
        <f>L201-'2024b_250702_1901'!L201</f>
        <v>-1</v>
      </c>
      <c r="V201" s="7">
        <f>U201/'2024b_250702_1901'!L201</f>
        <v>-2.3640661938534278E-3</v>
      </c>
      <c r="W201" s="4">
        <f>M201-'2024b_250702_1901'!M201</f>
        <v>-0.54060699999999962</v>
      </c>
      <c r="X201" s="7">
        <f>W201/'2024b_250702_1901'!M201</f>
        <v>-7.0622389832033311E-2</v>
      </c>
    </row>
    <row r="202" spans="1:24" x14ac:dyDescent="0.25">
      <c r="A202">
        <v>201</v>
      </c>
      <c r="B202">
        <v>189</v>
      </c>
      <c r="C202" t="s">
        <v>45</v>
      </c>
      <c r="D202" t="s">
        <v>17</v>
      </c>
      <c r="E202" t="s">
        <v>107</v>
      </c>
      <c r="F202" t="s">
        <v>19</v>
      </c>
      <c r="G202" t="s">
        <v>26</v>
      </c>
      <c r="H202" t="s">
        <v>21</v>
      </c>
      <c r="I202" t="s">
        <v>138</v>
      </c>
      <c r="J202" t="s">
        <v>147</v>
      </c>
      <c r="K202" t="s">
        <v>23</v>
      </c>
      <c r="L202">
        <v>431</v>
      </c>
      <c r="M202" s="4">
        <v>8.0924300999999996</v>
      </c>
      <c r="N202" s="4">
        <v>113.24945452911564</v>
      </c>
      <c r="O202" s="4">
        <v>18.119334002576849</v>
      </c>
      <c r="P202" s="1" t="str">
        <f>HYPERLINK(".\sm_car_250703_0822\sm_car_250703_0822_201_Ca189TrN_MaRST_DrSt_ode23t_1.png","figure")</f>
        <v>figure</v>
      </c>
      <c r="Q202" t="s">
        <v>15</v>
      </c>
      <c r="U202">
        <f>L202-'2024b_250702_1901'!L202</f>
        <v>-6</v>
      </c>
      <c r="V202" s="7">
        <f>U202/'2024b_250702_1901'!L202</f>
        <v>-1.3729977116704805E-2</v>
      </c>
      <c r="W202" s="4">
        <f>M202-'2024b_250702_1901'!M202</f>
        <v>1.6385999999998901E-2</v>
      </c>
      <c r="X202" s="7">
        <f>W202/'2024b_250702_1901'!M202</f>
        <v>2.0289636605623413E-3</v>
      </c>
    </row>
    <row r="203" spans="1:24" x14ac:dyDescent="0.25">
      <c r="A203">
        <v>202</v>
      </c>
      <c r="B203">
        <v>189</v>
      </c>
      <c r="C203" t="s">
        <v>45</v>
      </c>
      <c r="D203" t="s">
        <v>17</v>
      </c>
      <c r="E203" t="s">
        <v>107</v>
      </c>
      <c r="F203" t="s">
        <v>19</v>
      </c>
      <c r="G203" t="s">
        <v>26</v>
      </c>
      <c r="H203" t="s">
        <v>21</v>
      </c>
      <c r="I203" t="s">
        <v>139</v>
      </c>
      <c r="J203" t="s">
        <v>147</v>
      </c>
      <c r="K203" t="s">
        <v>23</v>
      </c>
      <c r="L203">
        <v>587</v>
      </c>
      <c r="M203" s="4">
        <v>19.877149299999999</v>
      </c>
      <c r="N203" s="4">
        <v>224.12395137166141</v>
      </c>
      <c r="O203" s="4">
        <v>0.10570698103352918</v>
      </c>
      <c r="P203" s="1" t="str">
        <f>HYPERLINK(".\sm_car_250703_0822\sm_car_250703_0822_202_Ca189TrN_MaSLA_DrSt_ode23t_1.png","figure")</f>
        <v>figure</v>
      </c>
      <c r="Q203" t="s">
        <v>15</v>
      </c>
      <c r="U203">
        <f>L203-'2024b_250702_1901'!L203</f>
        <v>-5</v>
      </c>
      <c r="V203" s="7">
        <f>U203/'2024b_250702_1901'!L203</f>
        <v>-8.4459459459459464E-3</v>
      </c>
      <c r="W203" s="4">
        <f>M203-'2024b_250702_1901'!M203</f>
        <v>-4.4767879999999991</v>
      </c>
      <c r="X203" s="7">
        <f>W203/'2024b_250702_1901'!M203</f>
        <v>-0.18382193995383242</v>
      </c>
    </row>
    <row r="204" spans="1:24" x14ac:dyDescent="0.25">
      <c r="A204">
        <v>203</v>
      </c>
      <c r="B204">
        <v>218</v>
      </c>
      <c r="C204" t="s">
        <v>16</v>
      </c>
      <c r="D204" t="s">
        <v>132</v>
      </c>
      <c r="E204" t="s">
        <v>107</v>
      </c>
      <c r="F204" t="s">
        <v>19</v>
      </c>
      <c r="G204" t="s">
        <v>26</v>
      </c>
      <c r="H204" t="s">
        <v>21</v>
      </c>
      <c r="I204" t="s">
        <v>136</v>
      </c>
      <c r="J204" t="s">
        <v>147</v>
      </c>
      <c r="K204" t="s">
        <v>23</v>
      </c>
      <c r="L204">
        <v>575</v>
      </c>
      <c r="M204" s="4">
        <v>8.2012541999999993</v>
      </c>
      <c r="N204" s="4">
        <v>102.06069061136603</v>
      </c>
      <c r="O204" s="4">
        <v>-21.991743345622158</v>
      </c>
      <c r="P204" s="1" t="str">
        <f>HYPERLINK(".\sm_car_250703_0822\sm_car_250703_0822_203_Ca218TrN_MaFSH_DrSt_ode23t_1.png","figure")</f>
        <v>figure</v>
      </c>
      <c r="Q204" t="s">
        <v>15</v>
      </c>
      <c r="U204">
        <f>L204-'2024b_250702_1901'!L204</f>
        <v>7</v>
      </c>
      <c r="V204" s="7">
        <f>U204/'2024b_250702_1901'!L204</f>
        <v>1.232394366197183E-2</v>
      </c>
      <c r="W204" s="4">
        <f>M204-'2024b_250702_1901'!M204</f>
        <v>-16.896492299999998</v>
      </c>
      <c r="X204" s="7">
        <f>W204/'2024b_250702_1901'!M204</f>
        <v>-0.67322746685643664</v>
      </c>
    </row>
    <row r="205" spans="1:24" x14ac:dyDescent="0.25">
      <c r="A205">
        <v>204</v>
      </c>
      <c r="B205">
        <v>218</v>
      </c>
      <c r="C205" t="s">
        <v>16</v>
      </c>
      <c r="D205" t="s">
        <v>132</v>
      </c>
      <c r="E205" t="s">
        <v>107</v>
      </c>
      <c r="F205" t="s">
        <v>19</v>
      </c>
      <c r="G205" t="s">
        <v>26</v>
      </c>
      <c r="H205" t="s">
        <v>21</v>
      </c>
      <c r="I205" t="s">
        <v>137</v>
      </c>
      <c r="J205" t="s">
        <v>147</v>
      </c>
      <c r="K205" t="s">
        <v>23</v>
      </c>
      <c r="L205">
        <v>455</v>
      </c>
      <c r="M205" s="4">
        <v>6.2668274999999998</v>
      </c>
      <c r="N205" s="4">
        <v>136.95441816291162</v>
      </c>
      <c r="O205" s="4">
        <v>-8.8252252587139761</v>
      </c>
      <c r="P205" s="1" t="str">
        <f>HYPERLINK(".\sm_car_250703_0822\sm_car_250703_0822_204_Ca218TrN_MaSWD_DrSt_ode23t_1.png","figure")</f>
        <v>figure</v>
      </c>
      <c r="Q205" t="s">
        <v>15</v>
      </c>
      <c r="U205">
        <f>L205-'2024b_250702_1901'!L205</f>
        <v>-1</v>
      </c>
      <c r="V205" s="7">
        <f>U205/'2024b_250702_1901'!L205</f>
        <v>-2.1929824561403508E-3</v>
      </c>
      <c r="W205" s="4">
        <f>M205-'2024b_250702_1901'!M205</f>
        <v>-14.6875269</v>
      </c>
      <c r="X205" s="7">
        <f>W205/'2024b_250702_1901'!M205</f>
        <v>-0.7009295833996203</v>
      </c>
    </row>
    <row r="206" spans="1:24" x14ac:dyDescent="0.25">
      <c r="A206">
        <v>205</v>
      </c>
      <c r="B206">
        <v>218</v>
      </c>
      <c r="C206" t="s">
        <v>16</v>
      </c>
      <c r="D206" t="s">
        <v>132</v>
      </c>
      <c r="E206" t="s">
        <v>107</v>
      </c>
      <c r="F206" t="s">
        <v>19</v>
      </c>
      <c r="G206" t="s">
        <v>26</v>
      </c>
      <c r="H206" t="s">
        <v>21</v>
      </c>
      <c r="I206" t="s">
        <v>138</v>
      </c>
      <c r="J206" t="s">
        <v>147</v>
      </c>
      <c r="K206" t="s">
        <v>23</v>
      </c>
      <c r="L206">
        <v>386</v>
      </c>
      <c r="M206" s="4">
        <v>5.7510003000000003</v>
      </c>
      <c r="N206" s="4">
        <v>102.58897498356045</v>
      </c>
      <c r="O206" s="4">
        <v>29.49343282163796</v>
      </c>
      <c r="P206" s="1" t="str">
        <f>HYPERLINK(".\sm_car_250703_0822\sm_car_250703_0822_205_Ca218TrN_MaRST_DrSt_ode23t_1.png","figure")</f>
        <v>figure</v>
      </c>
      <c r="Q206" t="s">
        <v>15</v>
      </c>
      <c r="U206">
        <f>L206-'2024b_250702_1901'!L206</f>
        <v>3</v>
      </c>
      <c r="V206" s="7">
        <f>U206/'2024b_250702_1901'!L206</f>
        <v>7.832898172323759E-3</v>
      </c>
      <c r="W206" s="4">
        <f>M206-'2024b_250702_1901'!M206</f>
        <v>-13.4412068</v>
      </c>
      <c r="X206" s="7">
        <f>W206/'2024b_250702_1901'!M206</f>
        <v>-0.70034711119806536</v>
      </c>
    </row>
    <row r="207" spans="1:24" x14ac:dyDescent="0.25">
      <c r="A207">
        <v>206</v>
      </c>
      <c r="B207">
        <v>218</v>
      </c>
      <c r="C207" t="s">
        <v>16</v>
      </c>
      <c r="D207" t="s">
        <v>132</v>
      </c>
      <c r="E207" t="s">
        <v>107</v>
      </c>
      <c r="F207" t="s">
        <v>19</v>
      </c>
      <c r="G207" t="s">
        <v>26</v>
      </c>
      <c r="H207" t="s">
        <v>21</v>
      </c>
      <c r="I207" t="s">
        <v>139</v>
      </c>
      <c r="J207" t="s">
        <v>147</v>
      </c>
      <c r="K207" t="s">
        <v>23</v>
      </c>
      <c r="L207">
        <v>671</v>
      </c>
      <c r="M207" s="4">
        <v>18.4297504</v>
      </c>
      <c r="N207" s="4">
        <v>222.46662687973915</v>
      </c>
      <c r="O207" s="4">
        <v>0.10602650152874847</v>
      </c>
      <c r="P207" s="1" t="str">
        <f>HYPERLINK(".\sm_car_250703_0822\sm_car_250703_0822_206_Ca218TrN_MaSLA_DrSt_ode23t_1.png","figure")</f>
        <v>figure</v>
      </c>
      <c r="Q207" t="s">
        <v>15</v>
      </c>
      <c r="U207">
        <f>L207-'2024b_250702_1901'!L207</f>
        <v>-6</v>
      </c>
      <c r="V207" s="7">
        <f>U207/'2024b_250702_1901'!L207</f>
        <v>-8.8626292466765146E-3</v>
      </c>
      <c r="W207" s="4">
        <f>M207-'2024b_250702_1901'!M207</f>
        <v>-0.5412996000000021</v>
      </c>
      <c r="X207" s="7">
        <f>W207/'2024b_250702_1901'!M207</f>
        <v>-2.8532927803152808E-2</v>
      </c>
    </row>
    <row r="208" spans="1:24" x14ac:dyDescent="0.25">
      <c r="A208">
        <v>207</v>
      </c>
      <c r="B208">
        <v>156</v>
      </c>
      <c r="C208" t="s">
        <v>45</v>
      </c>
      <c r="D208" t="s">
        <v>17</v>
      </c>
      <c r="E208" t="s">
        <v>18</v>
      </c>
      <c r="F208" t="s">
        <v>19</v>
      </c>
      <c r="G208" t="s">
        <v>38</v>
      </c>
      <c r="H208" t="s">
        <v>21</v>
      </c>
      <c r="I208" t="s">
        <v>54</v>
      </c>
      <c r="J208" t="s">
        <v>147</v>
      </c>
      <c r="K208" t="s">
        <v>23</v>
      </c>
      <c r="L208">
        <v>25807</v>
      </c>
      <c r="M208" s="4">
        <v>414.166742</v>
      </c>
      <c r="N208" s="4">
        <v>19.521027475588497</v>
      </c>
      <c r="O208" s="4">
        <v>2.784498452645833</v>
      </c>
      <c r="P208" s="1" t="str">
        <f>HYPERLINK(".\sm_car_250703_0822\sm_car_250703_0822_207_Ca156TrN_MaIPA_DrSt_ode23t.png","figure")</f>
        <v>figure</v>
      </c>
      <c r="Q208" t="s">
        <v>15</v>
      </c>
      <c r="U208">
        <f>L208-'2024b_250702_1901'!L208</f>
        <v>-173</v>
      </c>
      <c r="V208" s="7">
        <f>U208/'2024b_250702_1901'!L208</f>
        <v>-6.6589684372594304E-3</v>
      </c>
      <c r="W208" s="4">
        <f>M208-'2024b_250702_1901'!M208</f>
        <v>-50.196938299999999</v>
      </c>
      <c r="X208" s="7">
        <f>W208/'2024b_250702_1901'!M208</f>
        <v>-0.10809832988568464</v>
      </c>
    </row>
    <row r="209" spans="1:24" x14ac:dyDescent="0.25">
      <c r="A209">
        <v>208</v>
      </c>
      <c r="B209">
        <v>130</v>
      </c>
      <c r="C209" t="s">
        <v>16</v>
      </c>
      <c r="D209" t="s">
        <v>17</v>
      </c>
      <c r="E209" t="s">
        <v>18</v>
      </c>
      <c r="F209" t="s">
        <v>19</v>
      </c>
      <c r="G209" t="s">
        <v>38</v>
      </c>
      <c r="H209" t="s">
        <v>21</v>
      </c>
      <c r="I209" t="s">
        <v>54</v>
      </c>
      <c r="J209" t="s">
        <v>147</v>
      </c>
      <c r="K209" t="s">
        <v>23</v>
      </c>
      <c r="L209">
        <v>18221</v>
      </c>
      <c r="M209" s="4">
        <v>279.83983640000002</v>
      </c>
      <c r="N209" s="4">
        <v>16.365347295029466</v>
      </c>
      <c r="O209" s="4">
        <v>0.57032858363846373</v>
      </c>
      <c r="P209" s="1" t="str">
        <f>HYPERLINK(".\sm_car_250703_0822\sm_car_250703_0822_208_Ca130TrN_MaIPA_DrSt_ode23t.png","figure")</f>
        <v>figure</v>
      </c>
      <c r="Q209" t="s">
        <v>15</v>
      </c>
      <c r="U209">
        <f>L209-'2024b_250702_1901'!L209</f>
        <v>0</v>
      </c>
      <c r="V209" s="7">
        <f>U209/'2024b_250702_1901'!L209</f>
        <v>0</v>
      </c>
      <c r="W209" s="4">
        <f>M209-'2024b_250702_1901'!M209</f>
        <v>-26.378553699999998</v>
      </c>
      <c r="X209" s="7">
        <f>W209/'2024b_250702_1901'!M209</f>
        <v>-8.6142944228090615E-2</v>
      </c>
    </row>
    <row r="210" spans="1:24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73</v>
      </c>
      <c r="J210" t="s">
        <v>147</v>
      </c>
      <c r="K210" t="s">
        <v>23</v>
      </c>
      <c r="L210">
        <v>1348</v>
      </c>
      <c r="M210" s="4">
        <v>22.002143100000001</v>
      </c>
      <c r="N210" s="4">
        <v>338.55464697590639</v>
      </c>
      <c r="O210" s="4">
        <v>0.64049606512427759</v>
      </c>
      <c r="P210" s="1" t="str">
        <f>HYPERLINK(".\sm_car_250703_0822\sm_car_250703_0822_209_Ca171TrN_MaRDP_DrSt_ode23t_1.png","figure")</f>
        <v>figure</v>
      </c>
      <c r="Q210" t="s">
        <v>15</v>
      </c>
      <c r="U210">
        <f>L210-'2024b_250702_1901'!L210</f>
        <v>-3</v>
      </c>
      <c r="V210" s="7">
        <f>U210/'2024b_250702_1901'!L210</f>
        <v>-2.2205773501110288E-3</v>
      </c>
      <c r="W210" s="4">
        <f>M210-'2024b_250702_1901'!M210</f>
        <v>-7.2715986999999984</v>
      </c>
      <c r="X210" s="7">
        <f>W210/'2024b_250702_1901'!M210</f>
        <v>-0.24840004225220016</v>
      </c>
    </row>
    <row r="211" spans="1:24" x14ac:dyDescent="0.25">
      <c r="A211">
        <v>210</v>
      </c>
      <c r="B211">
        <v>172</v>
      </c>
      <c r="C211" t="s">
        <v>46</v>
      </c>
      <c r="D211" t="s">
        <v>17</v>
      </c>
      <c r="E211" t="s">
        <v>72</v>
      </c>
      <c r="F211" t="s">
        <v>19</v>
      </c>
      <c r="G211" t="s">
        <v>26</v>
      </c>
      <c r="H211" t="s">
        <v>21</v>
      </c>
      <c r="I211" t="s">
        <v>73</v>
      </c>
      <c r="J211" t="s">
        <v>147</v>
      </c>
      <c r="K211" t="s">
        <v>23</v>
      </c>
      <c r="L211">
        <v>1246</v>
      </c>
      <c r="M211" s="4">
        <v>11.6505724</v>
      </c>
      <c r="N211" s="4">
        <v>137.89560854983438</v>
      </c>
      <c r="O211" s="4">
        <v>3.8560457436474314E-2</v>
      </c>
      <c r="P211" s="1" t="str">
        <f>HYPERLINK(".\sm_car_250703_0822\sm_car_250703_0822_210_Ca172TrN_MaRDP_DrSt_ode23t_1.png","figure")</f>
        <v>figure</v>
      </c>
      <c r="Q211" t="s">
        <v>15</v>
      </c>
      <c r="U211">
        <f>L211-'2024b_250702_1901'!L211</f>
        <v>-12</v>
      </c>
      <c r="V211" s="7">
        <f>U211/'2024b_250702_1901'!L211</f>
        <v>-9.538950715421303E-3</v>
      </c>
      <c r="W211" s="4">
        <f>M211-'2024b_250702_1901'!M211</f>
        <v>-3.2826712000000011</v>
      </c>
      <c r="X211" s="7">
        <f>W211/'2024b_250702_1901'!M211</f>
        <v>-0.21982305304388131</v>
      </c>
    </row>
    <row r="212" spans="1:24" x14ac:dyDescent="0.25">
      <c r="A212">
        <v>211</v>
      </c>
      <c r="B212">
        <v>139</v>
      </c>
      <c r="C212" t="s">
        <v>45</v>
      </c>
      <c r="D212" t="s">
        <v>17</v>
      </c>
      <c r="E212" t="s">
        <v>18</v>
      </c>
      <c r="F212" t="s">
        <v>19</v>
      </c>
      <c r="G212" t="s">
        <v>26</v>
      </c>
      <c r="H212" t="s">
        <v>21</v>
      </c>
      <c r="I212" t="s">
        <v>74</v>
      </c>
      <c r="J212" t="s">
        <v>147</v>
      </c>
      <c r="K212" t="s">
        <v>23</v>
      </c>
      <c r="L212">
        <v>1482</v>
      </c>
      <c r="M212" s="4">
        <v>20.146077999999999</v>
      </c>
      <c r="N212" s="4">
        <v>364.58128246404812</v>
      </c>
      <c r="O212" s="4">
        <v>0.72813702329454455</v>
      </c>
      <c r="P212" s="1" t="str">
        <f>HYPERLINK(".\sm_car_250703_0822\sm_car_250703_0822_211_Ca139TrN_MaZPL_DrSt_ode23t_1.png","figure")</f>
        <v>figure</v>
      </c>
      <c r="Q212" t="s">
        <v>15</v>
      </c>
      <c r="U212">
        <f>L212-'2024b_250702_1901'!L212</f>
        <v>17</v>
      </c>
      <c r="V212" s="7">
        <f>U212/'2024b_250702_1901'!L212</f>
        <v>1.1604095563139932E-2</v>
      </c>
      <c r="W212" s="4">
        <f>M212-'2024b_250702_1901'!M212</f>
        <v>-3.7754967999999991</v>
      </c>
      <c r="X212" s="7">
        <f>W212/'2024b_250702_1901'!M212</f>
        <v>-0.1578281041932072</v>
      </c>
    </row>
    <row r="213" spans="1:24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74</v>
      </c>
      <c r="J213" t="s">
        <v>147</v>
      </c>
      <c r="K213" t="s">
        <v>23</v>
      </c>
      <c r="L213">
        <v>2098</v>
      </c>
      <c r="M213" s="4">
        <v>10.228128</v>
      </c>
      <c r="N213" s="4">
        <v>397.61443450499229</v>
      </c>
      <c r="O213" s="4">
        <v>0.34018526953437894</v>
      </c>
      <c r="P213" s="1" t="str">
        <f>HYPERLINK(".\sm_car_250703_0822\sm_car_250703_0822_212_Ca165TrN_MaZPL_DrSt_ode23t_1.png","figure")</f>
        <v>figure</v>
      </c>
      <c r="Q213" t="s">
        <v>15</v>
      </c>
      <c r="U213">
        <f>L213-'2024b_250702_1901'!L213</f>
        <v>-19</v>
      </c>
      <c r="V213" s="7">
        <f>U213/'2024b_250702_1901'!L213</f>
        <v>-8.9749645725082667E-3</v>
      </c>
      <c r="W213" s="4">
        <f>M213-'2024b_250702_1901'!M213</f>
        <v>-3.3918859999999995</v>
      </c>
      <c r="X213" s="7">
        <f>W213/'2024b_250702_1901'!M213</f>
        <v>-0.24903689526310324</v>
      </c>
    </row>
    <row r="214" spans="1:24" x14ac:dyDescent="0.25">
      <c r="A214">
        <v>213</v>
      </c>
      <c r="B214">
        <v>171</v>
      </c>
      <c r="C214" t="s">
        <v>45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74</v>
      </c>
      <c r="J214" t="s">
        <v>147</v>
      </c>
      <c r="K214" t="s">
        <v>23</v>
      </c>
      <c r="L214">
        <v>1438</v>
      </c>
      <c r="M214" s="4">
        <v>23.0987346</v>
      </c>
      <c r="N214" s="4">
        <v>364.15339941476225</v>
      </c>
      <c r="O214" s="4">
        <v>0.70912174259585548</v>
      </c>
      <c r="P214" s="1" t="str">
        <f>HYPERLINK(".\sm_car_250703_0822\sm_car_250703_0822_213_Ca171TrN_MaZPL_DrSt_ode23t_1.png","figure")</f>
        <v>figure</v>
      </c>
      <c r="Q214" t="s">
        <v>15</v>
      </c>
      <c r="U214">
        <f>L214-'2024b_250702_1901'!L214</f>
        <v>4</v>
      </c>
      <c r="V214" s="7">
        <f>U214/'2024b_250702_1901'!L214</f>
        <v>2.7894002789400278E-3</v>
      </c>
      <c r="W214" s="4">
        <f>M214-'2024b_250702_1901'!M214</f>
        <v>-5.4940059999999988</v>
      </c>
      <c r="X214" s="7">
        <f>W214/'2024b_250702_1901'!M214</f>
        <v>-0.19214688360443485</v>
      </c>
    </row>
    <row r="215" spans="1:24" x14ac:dyDescent="0.25">
      <c r="A215">
        <v>214</v>
      </c>
      <c r="B215">
        <v>165</v>
      </c>
      <c r="C215" t="s">
        <v>45</v>
      </c>
      <c r="D215" t="s">
        <v>35</v>
      </c>
      <c r="E215" t="s">
        <v>49</v>
      </c>
      <c r="F215" t="s">
        <v>19</v>
      </c>
      <c r="G215" t="s">
        <v>26</v>
      </c>
      <c r="H215" t="s">
        <v>21</v>
      </c>
      <c r="I215" t="s">
        <v>75</v>
      </c>
      <c r="J215" t="s">
        <v>147</v>
      </c>
      <c r="K215" t="s">
        <v>23</v>
      </c>
      <c r="L215">
        <v>505</v>
      </c>
      <c r="M215" s="4">
        <v>4.2981837000000001</v>
      </c>
      <c r="N215" s="4">
        <v>378.27771675247959</v>
      </c>
      <c r="O215" s="4">
        <v>0.32741889428764692</v>
      </c>
      <c r="P215" s="1" t="str">
        <f>HYPERLINK(".\sm_car_250703_0822\sm_car_250703_0822_214_Ca165TrN_MaCPL_DrSt_ode23t_1.png","figure")</f>
        <v>figure</v>
      </c>
      <c r="Q215" t="s">
        <v>15</v>
      </c>
      <c r="U215">
        <f>L215-'2024b_250702_1901'!L215</f>
        <v>-1</v>
      </c>
      <c r="V215" s="7">
        <f>U215/'2024b_250702_1901'!L215</f>
        <v>-1.976284584980237E-3</v>
      </c>
      <c r="W215" s="4">
        <f>M215-'2024b_250702_1901'!M215</f>
        <v>-1.6532404999999999</v>
      </c>
      <c r="X215" s="7">
        <f>W215/'2024b_250702_1901'!M215</f>
        <v>-0.27778905425696254</v>
      </c>
    </row>
    <row r="216" spans="1:24" x14ac:dyDescent="0.25">
      <c r="A216">
        <v>215</v>
      </c>
      <c r="B216">
        <v>170</v>
      </c>
      <c r="C216" t="s">
        <v>45</v>
      </c>
      <c r="D216" t="s">
        <v>35</v>
      </c>
      <c r="E216" t="s">
        <v>49</v>
      </c>
      <c r="F216" t="s">
        <v>19</v>
      </c>
      <c r="G216" t="s">
        <v>20</v>
      </c>
      <c r="H216" t="s">
        <v>21</v>
      </c>
      <c r="I216" t="s">
        <v>75</v>
      </c>
      <c r="J216" t="s">
        <v>147</v>
      </c>
      <c r="K216" t="s">
        <v>23</v>
      </c>
      <c r="L216">
        <v>466</v>
      </c>
      <c r="M216" s="4">
        <v>2.9818669</v>
      </c>
      <c r="N216" s="4">
        <v>381.42942244125965</v>
      </c>
      <c r="O216" s="4">
        <v>0.33421853248109529</v>
      </c>
      <c r="P216" s="1" t="str">
        <f>HYPERLINK(".\sm_car_250703_0822\sm_car_250703_0822_215_Ca170TrN_MaCPL_DrSt_ode23t_1.png","figure")</f>
        <v>figure</v>
      </c>
      <c r="Q216" t="s">
        <v>15</v>
      </c>
      <c r="U216">
        <f>L216-'2024b_250702_1901'!L216</f>
        <v>-5</v>
      </c>
      <c r="V216" s="7">
        <f>U216/'2024b_250702_1901'!L216</f>
        <v>-1.0615711252653927E-2</v>
      </c>
      <c r="W216" s="4">
        <f>M216-'2024b_250702_1901'!M216</f>
        <v>-1.1936194999999996</v>
      </c>
      <c r="X216" s="7">
        <f>W216/'2024b_250702_1901'!M216</f>
        <v>-0.28586358226433206</v>
      </c>
    </row>
    <row r="217" spans="1:24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76</v>
      </c>
      <c r="J217" t="s">
        <v>147</v>
      </c>
      <c r="K217" t="s">
        <v>23</v>
      </c>
      <c r="L217">
        <v>2697</v>
      </c>
      <c r="M217" s="4">
        <v>43.439672199999997</v>
      </c>
      <c r="N217" s="4">
        <v>165.08947005157299</v>
      </c>
      <c r="O217" s="4">
        <v>1.0432620450453228E-3</v>
      </c>
      <c r="P217" s="1" t="str">
        <f>HYPERLINK(".\sm_car_250703_0822\sm_car_250703_0822_216_Ca171TrN_MaRDR_DrSt_ode23t_1.png","figure")</f>
        <v>figure</v>
      </c>
      <c r="Q217" t="s">
        <v>15</v>
      </c>
      <c r="U217">
        <f>L217-'2024b_250702_1901'!L217</f>
        <v>-82</v>
      </c>
      <c r="V217" s="7">
        <f>U217/'2024b_250702_1901'!L217</f>
        <v>-2.9507016912558474E-2</v>
      </c>
      <c r="W217" s="4">
        <f>M217-'2024b_250702_1901'!M217</f>
        <v>-9.1075328000000013</v>
      </c>
      <c r="X217" s="7">
        <f>W217/'2024b_250702_1901'!M217</f>
        <v>-0.17332097492150156</v>
      </c>
    </row>
    <row r="218" spans="1:24" x14ac:dyDescent="0.25">
      <c r="A218">
        <v>217</v>
      </c>
      <c r="B218">
        <v>172</v>
      </c>
      <c r="C218" t="s">
        <v>46</v>
      </c>
      <c r="D218" t="s">
        <v>17</v>
      </c>
      <c r="E218" t="s">
        <v>72</v>
      </c>
      <c r="F218" t="s">
        <v>19</v>
      </c>
      <c r="G218" t="s">
        <v>26</v>
      </c>
      <c r="H218" t="s">
        <v>21</v>
      </c>
      <c r="I218" t="s">
        <v>76</v>
      </c>
      <c r="J218" t="s">
        <v>147</v>
      </c>
      <c r="K218" t="s">
        <v>23</v>
      </c>
      <c r="L218">
        <v>3244</v>
      </c>
      <c r="M218" s="4">
        <v>30.061967899999999</v>
      </c>
      <c r="N218" s="4">
        <v>162.2736686514088</v>
      </c>
      <c r="O218" s="4">
        <v>3.7076686566524984E-4</v>
      </c>
      <c r="P218" s="1" t="str">
        <f>HYPERLINK(".\sm_car_250703_0822\sm_car_250703_0822_217_Ca172TrN_MaRDR_DrSt_ode23t_1.png","figure")</f>
        <v>figure</v>
      </c>
      <c r="Q218" t="s">
        <v>15</v>
      </c>
      <c r="U218">
        <f>L218-'2024b_250702_1901'!L218</f>
        <v>-148</v>
      </c>
      <c r="V218" s="7">
        <f>U218/'2024b_250702_1901'!L218</f>
        <v>-4.363207547169811E-2</v>
      </c>
      <c r="W218" s="4">
        <f>M218-'2024b_250702_1901'!M218</f>
        <v>-7.6840744000000001</v>
      </c>
      <c r="X218" s="7">
        <f>W218/'2024b_250702_1901'!M218</f>
        <v>-0.20357298227263418</v>
      </c>
    </row>
    <row r="219" spans="1:24" x14ac:dyDescent="0.25">
      <c r="A219">
        <v>218</v>
      </c>
      <c r="B219">
        <v>139</v>
      </c>
      <c r="C219" t="s">
        <v>45</v>
      </c>
      <c r="D219" t="s">
        <v>17</v>
      </c>
      <c r="E219" t="s">
        <v>18</v>
      </c>
      <c r="F219" t="s">
        <v>19</v>
      </c>
      <c r="G219" t="s">
        <v>26</v>
      </c>
      <c r="H219" t="s">
        <v>21</v>
      </c>
      <c r="I219" t="s">
        <v>77</v>
      </c>
      <c r="J219" t="s">
        <v>147</v>
      </c>
      <c r="K219" t="s">
        <v>23</v>
      </c>
      <c r="L219">
        <v>2937</v>
      </c>
      <c r="M219" s="4">
        <v>32.927682900000001</v>
      </c>
      <c r="N219" s="4">
        <v>189.28064646438577</v>
      </c>
      <c r="O219" s="4">
        <v>6.9591401624937755E-4</v>
      </c>
      <c r="P219" s="1" t="str">
        <f>HYPERLINK(".\sm_car_250703_0822\sm_car_250703_0822_218_Ca139TrN_MaZRR_DrSt_ode23t_1.png","figure")</f>
        <v>figure</v>
      </c>
      <c r="Q219" t="s">
        <v>15</v>
      </c>
      <c r="U219">
        <f>L219-'2024b_250702_1901'!L219</f>
        <v>31</v>
      </c>
      <c r="V219" s="7">
        <f>U219/'2024b_250702_1901'!L219</f>
        <v>1.0667584308327599E-2</v>
      </c>
      <c r="W219" s="4">
        <f>M219-'2024b_250702_1901'!M219</f>
        <v>-7.8274815999999987</v>
      </c>
      <c r="X219" s="7">
        <f>W219/'2024b_250702_1901'!M219</f>
        <v>-0.19206109694392226</v>
      </c>
    </row>
    <row r="220" spans="1:24" x14ac:dyDescent="0.25">
      <c r="A220">
        <v>219</v>
      </c>
      <c r="B220">
        <v>165</v>
      </c>
      <c r="C220" t="s">
        <v>45</v>
      </c>
      <c r="D220" t="s">
        <v>35</v>
      </c>
      <c r="E220" t="s">
        <v>49</v>
      </c>
      <c r="F220" t="s">
        <v>19</v>
      </c>
      <c r="G220" t="s">
        <v>26</v>
      </c>
      <c r="H220" t="s">
        <v>21</v>
      </c>
      <c r="I220" t="s">
        <v>77</v>
      </c>
      <c r="J220" t="s">
        <v>147</v>
      </c>
      <c r="K220" t="s">
        <v>23</v>
      </c>
      <c r="L220">
        <v>3460</v>
      </c>
      <c r="M220" s="4">
        <v>21.3994906</v>
      </c>
      <c r="N220" s="4">
        <v>189.40958909523982</v>
      </c>
      <c r="O220" s="4">
        <v>5.3836998770073567E-5</v>
      </c>
      <c r="P220" s="1" t="str">
        <f>HYPERLINK(".\sm_car_250703_0822\sm_car_250703_0822_219_Ca165TrN_MaZRR_DrSt_ode23t_1.png","figure")</f>
        <v>figure</v>
      </c>
      <c r="Q220" t="s">
        <v>15</v>
      </c>
      <c r="U220">
        <f>L220-'2024b_250702_1901'!L220</f>
        <v>-16</v>
      </c>
      <c r="V220" s="7">
        <f>U220/'2024b_250702_1901'!L220</f>
        <v>-4.6029919447640967E-3</v>
      </c>
      <c r="W220" s="4">
        <f>M220-'2024b_250702_1901'!M220</f>
        <v>-5.3787601999999985</v>
      </c>
      <c r="X220" s="7">
        <f>W220/'2024b_250702_1901'!M220</f>
        <v>-0.20086301529448664</v>
      </c>
    </row>
    <row r="221" spans="1:24" x14ac:dyDescent="0.25">
      <c r="A221">
        <v>220</v>
      </c>
      <c r="B221">
        <v>171</v>
      </c>
      <c r="C221" t="s">
        <v>45</v>
      </c>
      <c r="D221" t="s">
        <v>17</v>
      </c>
      <c r="E221" t="s">
        <v>72</v>
      </c>
      <c r="F221" t="s">
        <v>19</v>
      </c>
      <c r="G221" t="s">
        <v>26</v>
      </c>
      <c r="H221" t="s">
        <v>21</v>
      </c>
      <c r="I221" t="s">
        <v>77</v>
      </c>
      <c r="J221" t="s">
        <v>147</v>
      </c>
      <c r="K221" t="s">
        <v>23</v>
      </c>
      <c r="L221">
        <v>2993</v>
      </c>
      <c r="M221" s="4">
        <v>48.0016441</v>
      </c>
      <c r="N221" s="4">
        <v>189.28170898031317</v>
      </c>
      <c r="O221" s="4">
        <v>7.1974609287069535E-4</v>
      </c>
      <c r="P221" s="1" t="str">
        <f>HYPERLINK(".\sm_car_250703_0822\sm_car_250703_0822_220_Ca171TrN_MaZRR_DrSt_ode23t_1.png","figure")</f>
        <v>figure</v>
      </c>
      <c r="Q221" t="s">
        <v>15</v>
      </c>
      <c r="U221">
        <f>L221-'2024b_250702_1901'!L221</f>
        <v>60</v>
      </c>
      <c r="V221" s="7">
        <f>U221/'2024b_250702_1901'!L221</f>
        <v>2.0456870098874872E-2</v>
      </c>
      <c r="W221" s="4">
        <f>M221-'2024b_250702_1901'!M221</f>
        <v>-15.964782800000002</v>
      </c>
      <c r="X221" s="7">
        <f>W221/'2024b_250702_1901'!M221</f>
        <v>-0.24958065619263159</v>
      </c>
    </row>
    <row r="222" spans="1:24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78</v>
      </c>
      <c r="J222" t="s">
        <v>147</v>
      </c>
      <c r="K222" t="s">
        <v>23</v>
      </c>
      <c r="L222">
        <v>6548</v>
      </c>
      <c r="M222" s="4">
        <v>21.997340300000001</v>
      </c>
      <c r="N222" s="4">
        <v>-5.9993524388284243</v>
      </c>
      <c r="O222" s="4">
        <v>-6.2765579688579785E-3</v>
      </c>
      <c r="P222" s="1" t="str">
        <f>HYPERLINK(".\sm_car_250703_0822\sm_car_250703_0822_221_Ca170TrN_MaCMP_DrSt_ode23t_1.png","figure")</f>
        <v>figure</v>
      </c>
      <c r="Q222" t="s">
        <v>15</v>
      </c>
      <c r="U222">
        <f>L222-'2024b_250702_1901'!L222</f>
        <v>255</v>
      </c>
      <c r="V222" s="7">
        <f>U222/'2024b_250702_1901'!L222</f>
        <v>4.0521214047354204E-2</v>
      </c>
      <c r="W222" s="4">
        <f>M222-'2024b_250702_1901'!M222</f>
        <v>-7.3418235000000003</v>
      </c>
      <c r="X222" s="7">
        <f>W222/'2024b_250702_1901'!M222</f>
        <v>-0.25023969837886106</v>
      </c>
    </row>
    <row r="223" spans="1:24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79</v>
      </c>
      <c r="J223" t="s">
        <v>147</v>
      </c>
      <c r="K223" t="s">
        <v>23</v>
      </c>
      <c r="L223">
        <v>1613</v>
      </c>
      <c r="M223" s="4">
        <v>11.417037199999999</v>
      </c>
      <c r="N223" s="4">
        <v>-5.9839962268064868</v>
      </c>
      <c r="O223" s="4">
        <v>-6.298738099400695E-3</v>
      </c>
      <c r="P223" s="1" t="str">
        <f>HYPERLINK(".\sm_car_250703_0822\sm_car_250703_0822_222_Ca170TrN_MaCMF_DrSt_ode23t_1.png","figure")</f>
        <v>figure</v>
      </c>
      <c r="Q223" t="s">
        <v>15</v>
      </c>
      <c r="U223">
        <f>L223-'2024b_250702_1901'!L223</f>
        <v>8</v>
      </c>
      <c r="V223" s="7">
        <f>U223/'2024b_250702_1901'!L223</f>
        <v>4.9844236760124613E-3</v>
      </c>
      <c r="W223" s="4">
        <f>M223-'2024b_250702_1901'!M223</f>
        <v>-1.1582161000000006</v>
      </c>
      <c r="X223" s="7">
        <f>W223/'2024b_250702_1901'!M223</f>
        <v>-9.21028047999638E-2</v>
      </c>
    </row>
    <row r="224" spans="1:24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80</v>
      </c>
      <c r="J224" t="s">
        <v>147</v>
      </c>
      <c r="K224" t="s">
        <v>23</v>
      </c>
      <c r="L224">
        <v>5404</v>
      </c>
      <c r="M224" s="4">
        <v>40.205019</v>
      </c>
      <c r="N224" s="4">
        <v>-217.79490524712884</v>
      </c>
      <c r="O224" s="4">
        <v>5.9072268033723736</v>
      </c>
      <c r="P224" s="1" t="str">
        <f>HYPERLINK(".\sm_car_250703_0822\sm_car_250703_0822_223_Ca170TrN_MaMPO_DrSt_ode23t_1.png","figure")</f>
        <v>figure</v>
      </c>
      <c r="Q224" t="s">
        <v>15</v>
      </c>
      <c r="U224">
        <f>L224-'2024b_250702_1901'!L224</f>
        <v>758</v>
      </c>
      <c r="V224" s="7">
        <f>U224/'2024b_250702_1901'!L224</f>
        <v>0.1631510977184675</v>
      </c>
      <c r="W224" s="4">
        <f>M224-'2024b_250702_1901'!M224</f>
        <v>-8.9210331999999966</v>
      </c>
      <c r="X224" s="7">
        <f>W224/'2024b_250702_1901'!M224</f>
        <v>-0.18159475065655686</v>
      </c>
    </row>
    <row r="225" spans="1:24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81</v>
      </c>
      <c r="J225" t="s">
        <v>147</v>
      </c>
      <c r="K225" t="s">
        <v>23</v>
      </c>
      <c r="L225">
        <v>1226</v>
      </c>
      <c r="M225" s="4">
        <v>19.983669500000001</v>
      </c>
      <c r="N225" s="4">
        <v>-14.234628395976912</v>
      </c>
      <c r="O225" s="4">
        <v>-9.3570649531216077E-3</v>
      </c>
      <c r="P225" s="1" t="str">
        <f>HYPERLINK(".\sm_car_250703_0822\sm_car_250703_0822_224_Ca170TrN_MaMCI_DrSt_ode23t_1.png","figure")</f>
        <v>figure</v>
      </c>
      <c r="Q225" t="s">
        <v>15</v>
      </c>
      <c r="U225">
        <f>L225-'2024b_250702_1901'!L225</f>
        <v>-2</v>
      </c>
      <c r="V225" s="7">
        <f>U225/'2024b_250702_1901'!L225</f>
        <v>-1.6286644951140066E-3</v>
      </c>
      <c r="W225" s="4">
        <f>M225-'2024b_250702_1901'!M225</f>
        <v>-0.66481259999999764</v>
      </c>
      <c r="X225" s="7">
        <f>W225/'2024b_250702_1901'!M225</f>
        <v>-3.2196681420955282E-2</v>
      </c>
    </row>
    <row r="226" spans="1:24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110</v>
      </c>
      <c r="J226" t="s">
        <v>147</v>
      </c>
      <c r="K226" t="s">
        <v>23</v>
      </c>
      <c r="L226">
        <v>3936</v>
      </c>
      <c r="M226" s="4">
        <v>24.0752062</v>
      </c>
      <c r="N226" s="4">
        <v>-5.9993862246862859</v>
      </c>
      <c r="O226" s="4">
        <v>-4.6957840607349515E-3</v>
      </c>
      <c r="P226" s="1" t="str">
        <f>HYPERLINK(".\sm_car_250703_0822\sm_car_250703_0822_225_Ca170TrN_MaCHO_DrSt_ode23t_1.png","figure")</f>
        <v>figure</v>
      </c>
      <c r="Q226" t="s">
        <v>15</v>
      </c>
      <c r="U226">
        <f>L226-'2024b_250702_1901'!L226</f>
        <v>-59</v>
      </c>
      <c r="V226" s="7">
        <f>U226/'2024b_250702_1901'!L226</f>
        <v>-1.476846057571965E-2</v>
      </c>
      <c r="W226" s="4">
        <f>M226-'2024b_250702_1901'!M226</f>
        <v>0.32950620000000086</v>
      </c>
      <c r="X226" s="7">
        <f>W226/'2024b_250702_1901'!M226</f>
        <v>1.3876457632329258E-2</v>
      </c>
    </row>
    <row r="227" spans="1:24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111</v>
      </c>
      <c r="J227" t="s">
        <v>147</v>
      </c>
      <c r="K227" t="s">
        <v>23</v>
      </c>
      <c r="L227">
        <v>2613</v>
      </c>
      <c r="M227" s="4">
        <v>21.202473000000001</v>
      </c>
      <c r="N227" s="4">
        <v>-5.9798077550975703</v>
      </c>
      <c r="O227" s="4">
        <v>-4.7387874122144279E-3</v>
      </c>
      <c r="P227" s="1" t="str">
        <f>HYPERLINK(".\sm_car_250703_0822\sm_car_250703_0822_226_Ca170TrN_MaCHF_DrSt_ode23t_1.png","figure")</f>
        <v>figure</v>
      </c>
      <c r="Q227" t="s">
        <v>15</v>
      </c>
      <c r="U227">
        <f>L227-'2024b_250702_1901'!L227</f>
        <v>-25</v>
      </c>
      <c r="V227" s="7">
        <f>U227/'2024b_250702_1901'!L227</f>
        <v>-9.4768764215314629E-3</v>
      </c>
      <c r="W227" s="4">
        <f>M227-'2024b_250702_1901'!M227</f>
        <v>-3.6785969999999999</v>
      </c>
      <c r="X227" s="7">
        <f>W227/'2024b_250702_1901'!M227</f>
        <v>-0.14784721878922408</v>
      </c>
    </row>
    <row r="228" spans="1:24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82</v>
      </c>
      <c r="J228" t="s">
        <v>147</v>
      </c>
      <c r="K228" t="s">
        <v>23</v>
      </c>
      <c r="L228">
        <v>9390</v>
      </c>
      <c r="M228" s="4">
        <v>41.555539500000002</v>
      </c>
      <c r="N228" s="4">
        <v>-768.71557749802707</v>
      </c>
      <c r="O228" s="4">
        <v>638.64291179214797</v>
      </c>
      <c r="P228" s="1" t="str">
        <f>HYPERLINK(".\sm_car_250703_0822\sm_car_250703_0822_227_Ca170TrN_MaCKY_DrSt_ode23t_1.png","figure")</f>
        <v>figure</v>
      </c>
      <c r="Q228" t="s">
        <v>15</v>
      </c>
      <c r="U228">
        <f>L228-'2024b_250702_1901'!L228</f>
        <v>83</v>
      </c>
      <c r="V228" s="7">
        <f>U228/'2024b_250702_1901'!L228</f>
        <v>8.9180186956054584E-3</v>
      </c>
      <c r="W228" s="4">
        <f>M228-'2024b_250702_1901'!M228</f>
        <v>-3.3118793000000011</v>
      </c>
      <c r="X228" s="7">
        <f>W228/'2024b_250702_1901'!M228</f>
        <v>-7.3814794534157624E-2</v>
      </c>
    </row>
    <row r="229" spans="1:24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83</v>
      </c>
      <c r="J229" t="s">
        <v>147</v>
      </c>
      <c r="K229" t="s">
        <v>23</v>
      </c>
      <c r="L229">
        <v>1701</v>
      </c>
      <c r="M229" s="4">
        <v>13.278927899999999</v>
      </c>
      <c r="N229" s="4">
        <v>-772.67715008933931</v>
      </c>
      <c r="O229" s="4">
        <v>640.74604156268538</v>
      </c>
      <c r="P229" s="1" t="str">
        <f>HYPERLINK(".\sm_car_250703_0822\sm_car_250703_0822_228_Ca170TrN_MaCKF_DrSt_ode23t_1.png","figure")</f>
        <v>figure</v>
      </c>
      <c r="Q229" t="s">
        <v>15</v>
      </c>
      <c r="U229">
        <f>L229-'2024b_250702_1901'!L229</f>
        <v>14</v>
      </c>
      <c r="V229" s="7">
        <f>U229/'2024b_250702_1901'!L229</f>
        <v>8.2987551867219917E-3</v>
      </c>
      <c r="W229" s="4">
        <f>M229-'2024b_250702_1901'!M229</f>
        <v>-3.7661663000000019</v>
      </c>
      <c r="X229" s="7">
        <f>W229/'2024b_250702_1901'!M229</f>
        <v>-0.22095309394066015</v>
      </c>
    </row>
    <row r="230" spans="1:24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84</v>
      </c>
      <c r="J230" t="s">
        <v>147</v>
      </c>
      <c r="K230" t="s">
        <v>23</v>
      </c>
      <c r="L230">
        <v>2233</v>
      </c>
      <c r="M230" s="4">
        <v>24.4909195</v>
      </c>
      <c r="N230" s="4">
        <v>189.31380264338449</v>
      </c>
      <c r="O230" s="4">
        <v>308.88809516494285</v>
      </c>
      <c r="P230" s="1" t="str">
        <f>HYPERLINK(".\sm_car_250703_0822\sm_car_250703_0822_229_Ca170TrN_MaCNN_DrSt_ode23t_1.png","figure")</f>
        <v>figure</v>
      </c>
      <c r="Q230" t="s">
        <v>15</v>
      </c>
      <c r="U230">
        <f>L230-'2024b_250702_1901'!L230</f>
        <v>-86</v>
      </c>
      <c r="V230" s="7">
        <f>U230/'2024b_250702_1901'!L230</f>
        <v>-3.7084950409659333E-2</v>
      </c>
      <c r="W230" s="4">
        <f>M230-'2024b_250702_1901'!M230</f>
        <v>-1.444616700000001</v>
      </c>
      <c r="X230" s="7">
        <f>W230/'2024b_250702_1901'!M230</f>
        <v>-5.5700282764927021E-2</v>
      </c>
    </row>
    <row r="231" spans="1:24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85</v>
      </c>
      <c r="J231" t="s">
        <v>147</v>
      </c>
      <c r="K231" t="s">
        <v>23</v>
      </c>
      <c r="L231">
        <v>3533</v>
      </c>
      <c r="M231" s="4">
        <v>120.46063340000001</v>
      </c>
      <c r="N231" s="4">
        <v>2981.6993117253833</v>
      </c>
      <c r="O231" s="4">
        <v>-3077.7692403734172</v>
      </c>
      <c r="P231" s="1" t="str">
        <f>HYPERLINK(".\sm_car_250703_0822\sm_car_250703_0822_230_Ca170TrN_MaCNF_DrSt_ode23t_1.png","figure")</f>
        <v>figure</v>
      </c>
      <c r="Q231" t="s">
        <v>15</v>
      </c>
      <c r="U231">
        <f>L231-'2024b_250702_1901'!L231</f>
        <v>-12</v>
      </c>
      <c r="V231" s="7">
        <f>U231/'2024b_250702_1901'!L231</f>
        <v>-3.385049365303244E-3</v>
      </c>
      <c r="W231" s="4">
        <f>M231-'2024b_250702_1901'!M231</f>
        <v>6.0920152000000058</v>
      </c>
      <c r="X231" s="7">
        <f>W231/'2024b_250702_1901'!M231</f>
        <v>5.3266492993267675E-2</v>
      </c>
    </row>
    <row r="232" spans="1:24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86</v>
      </c>
      <c r="J232" t="s">
        <v>147</v>
      </c>
      <c r="K232" t="s">
        <v>23</v>
      </c>
      <c r="L232">
        <v>2983</v>
      </c>
      <c r="M232" s="4">
        <v>19.778604999999999</v>
      </c>
      <c r="N232" s="4">
        <v>497.86319092069948</v>
      </c>
      <c r="O232" s="4">
        <v>-175.70294287600998</v>
      </c>
      <c r="P232" s="1" t="str">
        <f>HYPERLINK(".\sm_car_250703_0822\sm_car_250703_0822_231_Ca170TrN_MaCSZ_DrSt_ode23t_1.png","figure")</f>
        <v>figure</v>
      </c>
      <c r="Q232" t="s">
        <v>15</v>
      </c>
      <c r="U232">
        <f>L232-'2024b_250702_1901'!L232</f>
        <v>-51</v>
      </c>
      <c r="V232" s="7">
        <f>U232/'2024b_250702_1901'!L232</f>
        <v>-1.6809492419248517E-2</v>
      </c>
      <c r="W232" s="4">
        <f>M232-'2024b_250702_1901'!M232</f>
        <v>1.8296700000000499E-2</v>
      </c>
      <c r="X232" s="7">
        <f>W232/'2024b_250702_1901'!M232</f>
        <v>9.2593190967574636E-4</v>
      </c>
    </row>
    <row r="233" spans="1:24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87</v>
      </c>
      <c r="J233" t="s">
        <v>147</v>
      </c>
      <c r="K233" t="s">
        <v>23</v>
      </c>
      <c r="L233">
        <v>5161</v>
      </c>
      <c r="M233" s="4">
        <v>112.4902316</v>
      </c>
      <c r="N233" s="4">
        <v>-8.9886838901464508</v>
      </c>
      <c r="O233" s="4">
        <v>8.1796031832697663E-3</v>
      </c>
      <c r="P233" s="1" t="str">
        <f>HYPERLINK(".\sm_car_250703_0822\sm_car_250703_0822_232_Ca170TrN_MaCSF_DrSt_ode23t_1.png","figure")</f>
        <v>figure</v>
      </c>
      <c r="Q233" t="s">
        <v>15</v>
      </c>
      <c r="U233">
        <f>L233-'2024b_250702_1901'!L233</f>
        <v>24</v>
      </c>
      <c r="V233" s="7">
        <f>U233/'2024b_250702_1901'!L233</f>
        <v>4.6719875413665565E-3</v>
      </c>
      <c r="W233" s="4">
        <f>M233-'2024b_250702_1901'!M233</f>
        <v>1.4528679000000011</v>
      </c>
      <c r="X233" s="7">
        <f>W233/'2024b_250702_1901'!M233</f>
        <v>1.308449562910508E-2</v>
      </c>
    </row>
    <row r="234" spans="1:24" x14ac:dyDescent="0.25">
      <c r="A234">
        <v>233</v>
      </c>
      <c r="B234">
        <v>170</v>
      </c>
      <c r="C234" t="s">
        <v>45</v>
      </c>
      <c r="D234" t="s">
        <v>35</v>
      </c>
      <c r="E234" t="s">
        <v>49</v>
      </c>
      <c r="F234" t="s">
        <v>19</v>
      </c>
      <c r="G234" t="s">
        <v>20</v>
      </c>
      <c r="H234" t="s">
        <v>21</v>
      </c>
      <c r="I234" t="s">
        <v>88</v>
      </c>
      <c r="J234" t="s">
        <v>147</v>
      </c>
      <c r="K234" t="s">
        <v>23</v>
      </c>
      <c r="L234">
        <v>1778</v>
      </c>
      <c r="M234" s="4">
        <v>32.551691699999999</v>
      </c>
      <c r="N234" s="4">
        <v>247.79221033503325</v>
      </c>
      <c r="O234" s="4">
        <v>391.37960737357673</v>
      </c>
      <c r="P234" s="1" t="str">
        <f>HYPERLINK(".\sm_car_250703_0822\sm_car_250703_0822_233_Ca170TrN_MaCPU_DrSt_ode23t_1.png","figure")</f>
        <v>figure</v>
      </c>
      <c r="Q234" t="s">
        <v>15</v>
      </c>
      <c r="U234">
        <f>L234-'2024b_250702_1901'!L234</f>
        <v>25</v>
      </c>
      <c r="V234" s="7">
        <f>U234/'2024b_250702_1901'!L234</f>
        <v>1.4261266400456361E-2</v>
      </c>
      <c r="W234" s="4">
        <f>M234-'2024b_250702_1901'!M234</f>
        <v>1.6406089000000001</v>
      </c>
      <c r="X234" s="7">
        <f>W234/'2024b_250702_1901'!M234</f>
        <v>5.3075102888340109E-2</v>
      </c>
    </row>
    <row r="235" spans="1:24" x14ac:dyDescent="0.25">
      <c r="A235">
        <v>234</v>
      </c>
      <c r="B235">
        <v>170</v>
      </c>
      <c r="C235" t="s">
        <v>45</v>
      </c>
      <c r="D235" t="s">
        <v>35</v>
      </c>
      <c r="E235" t="s">
        <v>49</v>
      </c>
      <c r="F235" t="s">
        <v>19</v>
      </c>
      <c r="G235" t="s">
        <v>20</v>
      </c>
      <c r="H235" t="s">
        <v>21</v>
      </c>
      <c r="I235" t="s">
        <v>89</v>
      </c>
      <c r="J235" t="s">
        <v>147</v>
      </c>
      <c r="K235" t="s">
        <v>23</v>
      </c>
      <c r="L235">
        <v>2541</v>
      </c>
      <c r="M235" s="4">
        <v>23.713495600000002</v>
      </c>
      <c r="N235" s="4">
        <v>179.59001610452151</v>
      </c>
      <c r="O235" s="4">
        <v>-180.28304022825614</v>
      </c>
      <c r="P235" s="1" t="str">
        <f>HYPERLINK(".\sm_car_250703_0822\sm_car_250703_0822_234_Ca170TrN_MaCPD_DrSt_ode23t_1.png","figure")</f>
        <v>figure</v>
      </c>
      <c r="Q235" t="s">
        <v>15</v>
      </c>
      <c r="U235">
        <f>L235-'2024b_250702_1901'!L235</f>
        <v>-178</v>
      </c>
      <c r="V235" s="7">
        <f>U235/'2024b_250702_1901'!L235</f>
        <v>-6.5465244575211481E-2</v>
      </c>
      <c r="W235" s="4">
        <f>M235-'2024b_250702_1901'!M235</f>
        <v>-47.203175099999996</v>
      </c>
      <c r="X235" s="7">
        <f>W235/'2024b_250702_1901'!M235</f>
        <v>-0.66561465215540638</v>
      </c>
    </row>
    <row r="236" spans="1:24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79</v>
      </c>
      <c r="J236" t="s">
        <v>147</v>
      </c>
      <c r="K236" t="s">
        <v>23</v>
      </c>
      <c r="L236">
        <v>1624</v>
      </c>
      <c r="M236" s="4">
        <v>4.6919278999999996</v>
      </c>
      <c r="N236" s="4">
        <v>-5.9999068399154893</v>
      </c>
      <c r="O236" s="4">
        <v>-6.204851689104016E-3</v>
      </c>
      <c r="P236" s="1" t="str">
        <f>HYPERLINK(".\sm_car_250703_0822\sm_car_250703_0822_235_Ca202TrN_MaCMF_DrSt_ode23t_1.png","figure")</f>
        <v>figure</v>
      </c>
      <c r="Q236" t="s">
        <v>15</v>
      </c>
      <c r="U236">
        <f>L236-'2024b_250702_1901'!L236</f>
        <v>5</v>
      </c>
      <c r="V236" s="7">
        <f>U236/'2024b_250702_1901'!L236</f>
        <v>3.0883261272390363E-3</v>
      </c>
      <c r="W236" s="4">
        <f>M236-'2024b_250702_1901'!M236</f>
        <v>-0.13575440000000061</v>
      </c>
      <c r="X236" s="7">
        <f>W236/'2024b_250702_1901'!M236</f>
        <v>-2.8119994557222749E-2</v>
      </c>
    </row>
    <row r="237" spans="1:24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80</v>
      </c>
      <c r="J237" t="s">
        <v>147</v>
      </c>
      <c r="K237" t="s">
        <v>23</v>
      </c>
      <c r="L237">
        <v>5349</v>
      </c>
      <c r="M237" s="4">
        <v>27.040907600000001</v>
      </c>
      <c r="N237" s="4">
        <v>-218.36184500331979</v>
      </c>
      <c r="O237" s="4">
        <v>5.9982123410715786</v>
      </c>
      <c r="P237" s="1" t="str">
        <f>HYPERLINK(".\sm_car_250703_0822\sm_car_250703_0822_236_Ca202TrN_MaMPO_DrSt_ode23t_1.png","figure")</f>
        <v>figure</v>
      </c>
      <c r="Q237" t="s">
        <v>15</v>
      </c>
      <c r="U237">
        <f>L237-'2024b_250702_1901'!L237</f>
        <v>726</v>
      </c>
      <c r="V237" s="7">
        <f>U237/'2024b_250702_1901'!L237</f>
        <v>0.15704088254380272</v>
      </c>
      <c r="W237" s="4">
        <f>M237-'2024b_250702_1901'!M237</f>
        <v>-2.0128972999999988</v>
      </c>
      <c r="X237" s="7">
        <f>W237/'2024b_250702_1901'!M237</f>
        <v>-6.9281710499818183E-2</v>
      </c>
    </row>
    <row r="238" spans="1:24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81</v>
      </c>
      <c r="J238" t="s">
        <v>147</v>
      </c>
      <c r="K238" t="s">
        <v>23</v>
      </c>
      <c r="L238">
        <v>1207</v>
      </c>
      <c r="M238" s="4">
        <v>36.082462200000002</v>
      </c>
      <c r="N238" s="4">
        <v>-14.230374111289457</v>
      </c>
      <c r="O238" s="4">
        <v>-6.5996558818426365E-3</v>
      </c>
      <c r="P238" s="1" t="str">
        <f>HYPERLINK(".\sm_car_250703_0822\sm_car_250703_0822_237_Ca202TrN_MaMCI_DrSt_ode23t_1.png","figure")</f>
        <v>figure</v>
      </c>
      <c r="Q238" t="s">
        <v>15</v>
      </c>
      <c r="U238">
        <f>L238-'2024b_250702_1901'!L238</f>
        <v>-48</v>
      </c>
      <c r="V238" s="7">
        <f>U238/'2024b_250702_1901'!L238</f>
        <v>-3.8247011952191233E-2</v>
      </c>
      <c r="W238" s="4">
        <f>M238-'2024b_250702_1901'!M238</f>
        <v>24.8091528</v>
      </c>
      <c r="X238" s="7">
        <f>W238/'2024b_250702_1901'!M238</f>
        <v>2.2006982971655153</v>
      </c>
    </row>
    <row r="239" spans="1:24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83</v>
      </c>
      <c r="J239" t="s">
        <v>147</v>
      </c>
      <c r="K239" t="s">
        <v>23</v>
      </c>
      <c r="L239">
        <v>2881</v>
      </c>
      <c r="M239" s="4">
        <v>35.929794100000002</v>
      </c>
      <c r="N239" s="4">
        <v>-5.9991706221215164</v>
      </c>
      <c r="O239" s="4">
        <v>-2.6188138537163706E-2</v>
      </c>
      <c r="P239" s="1" t="str">
        <f>HYPERLINK(".\sm_car_250703_0822\sm_car_250703_0822_238_Ca202TrN_MaCKF_DrSt_ode23t_1.png","figure")</f>
        <v>figure</v>
      </c>
      <c r="Q239" t="s">
        <v>15</v>
      </c>
      <c r="U239">
        <f>L239-'2024b_250702_1901'!L239</f>
        <v>-8</v>
      </c>
      <c r="V239" s="7">
        <f>U239/'2024b_250702_1901'!L239</f>
        <v>-2.7691242644513675E-3</v>
      </c>
      <c r="W239" s="4">
        <f>M239-'2024b_250702_1901'!M239</f>
        <v>25.2691856</v>
      </c>
      <c r="X239" s="7">
        <f>W239/'2024b_250702_1901'!M239</f>
        <v>2.3703323876868754</v>
      </c>
    </row>
    <row r="240" spans="1:24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85</v>
      </c>
      <c r="J240" t="s">
        <v>147</v>
      </c>
      <c r="K240" t="s">
        <v>23</v>
      </c>
      <c r="L240">
        <v>8411</v>
      </c>
      <c r="M240" s="4">
        <v>467.91079109999998</v>
      </c>
      <c r="N240" s="4">
        <v>-8.997856285468572</v>
      </c>
      <c r="O240" s="4">
        <v>2.4011604858168892E-2</v>
      </c>
      <c r="P240" s="1" t="str">
        <f>HYPERLINK(".\sm_car_250703_0822\sm_car_250703_0822_239_Ca202TrN_MaCNF_DrSt_ode23t_1.png","figure")</f>
        <v>figure</v>
      </c>
      <c r="Q240" t="s">
        <v>15</v>
      </c>
      <c r="U240">
        <f>L240-'2024b_250702_1901'!L240</f>
        <v>39</v>
      </c>
      <c r="V240" s="7">
        <f>U240/'2024b_250702_1901'!L240</f>
        <v>4.658385093167702E-3</v>
      </c>
      <c r="W240" s="4">
        <f>M240-'2024b_250702_1901'!M240</f>
        <v>287.27730320000001</v>
      </c>
      <c r="X240" s="7">
        <f>W240/'2024b_250702_1901'!M240</f>
        <v>1.5903878430285241</v>
      </c>
    </row>
    <row r="241" spans="1:24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87</v>
      </c>
      <c r="J241" t="s">
        <v>147</v>
      </c>
      <c r="K241" t="s">
        <v>23</v>
      </c>
      <c r="L241">
        <v>5125</v>
      </c>
      <c r="M241" s="4">
        <v>139.83023890000001</v>
      </c>
      <c r="N241" s="4">
        <v>-8.9794295849367511</v>
      </c>
      <c r="O241" s="4">
        <v>8.1328727938061798E-3</v>
      </c>
      <c r="P241" s="1" t="str">
        <f>HYPERLINK(".\sm_car_250703_0822\sm_car_250703_0822_240_Ca202TrN_MaCSF_DrSt_ode23t_1.png","figure")</f>
        <v>figure</v>
      </c>
      <c r="Q241" t="s">
        <v>15</v>
      </c>
      <c r="U241">
        <f>L241-'2024b_250702_1901'!L241</f>
        <v>-32</v>
      </c>
      <c r="V241" s="7">
        <f>U241/'2024b_250702_1901'!L241</f>
        <v>-6.2051580376187706E-3</v>
      </c>
      <c r="W241" s="4">
        <f>M241-'2024b_250702_1901'!M241</f>
        <v>75.684668900000005</v>
      </c>
      <c r="X241" s="7">
        <f>W241/'2024b_250702_1901'!M241</f>
        <v>1.1798892565768766</v>
      </c>
    </row>
    <row r="242" spans="1:24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78</v>
      </c>
      <c r="J242" t="s">
        <v>147</v>
      </c>
      <c r="K242" t="s">
        <v>23</v>
      </c>
      <c r="L242">
        <v>7098</v>
      </c>
      <c r="M242" s="4">
        <v>22.493429599999999</v>
      </c>
      <c r="N242" s="4">
        <v>-5.9999844614132778</v>
      </c>
      <c r="O242" s="4">
        <v>-6.1703719555968985E-3</v>
      </c>
      <c r="P242" s="1" t="str">
        <f>HYPERLINK(".\sm_car_250703_0822\sm_car_250703_0822_241_Ca202TrN_MaCMP_DrSt_ode23t_1.png","figure")</f>
        <v>figure</v>
      </c>
      <c r="Q242" t="s">
        <v>15</v>
      </c>
      <c r="U242">
        <f>L242-'2024b_250702_1901'!L242</f>
        <v>66</v>
      </c>
      <c r="V242" s="7">
        <f>U242/'2024b_250702_1901'!L242</f>
        <v>9.3856655290102398E-3</v>
      </c>
      <c r="W242" s="4">
        <f>M242-'2024b_250702_1901'!M242</f>
        <v>-0.67006489999999985</v>
      </c>
      <c r="X242" s="7">
        <f>W242/'2024b_250702_1901'!M242</f>
        <v>-2.8927625751805276E-2</v>
      </c>
    </row>
    <row r="243" spans="1:24" x14ac:dyDescent="0.25">
      <c r="A243">
        <v>242</v>
      </c>
      <c r="B243">
        <v>202</v>
      </c>
      <c r="C243" t="s">
        <v>45</v>
      </c>
      <c r="D243" t="s">
        <v>35</v>
      </c>
      <c r="E243" t="s">
        <v>107</v>
      </c>
      <c r="F243" t="s">
        <v>19</v>
      </c>
      <c r="G243" t="s">
        <v>20</v>
      </c>
      <c r="H243" t="s">
        <v>21</v>
      </c>
      <c r="I243" t="s">
        <v>82</v>
      </c>
      <c r="J243" t="s">
        <v>147</v>
      </c>
      <c r="K243" t="s">
        <v>23</v>
      </c>
      <c r="L243">
        <v>19958</v>
      </c>
      <c r="M243" s="4">
        <v>68.056133500000001</v>
      </c>
      <c r="N243" s="4">
        <v>-5.9969570175076505</v>
      </c>
      <c r="O243" s="4">
        <v>-2.7927440794276601E-2</v>
      </c>
      <c r="P243" s="1" t="str">
        <f>HYPERLINK(".\sm_car_250703_0822\sm_car_250703_0822_242_Ca202TrN_MaCKY_DrSt_ode23t_1.png","figure")</f>
        <v>figure</v>
      </c>
      <c r="Q243" t="s">
        <v>15</v>
      </c>
      <c r="U243">
        <f>L243-'2024b_250702_1901'!L243</f>
        <v>-183</v>
      </c>
      <c r="V243" s="7">
        <f>U243/'2024b_250702_1901'!L243</f>
        <v>-9.0859440941363397E-3</v>
      </c>
      <c r="W243" s="4">
        <f>M243-'2024b_250702_1901'!M243</f>
        <v>-2.906868799999998</v>
      </c>
      <c r="X243" s="7">
        <f>W243/'2024b_250702_1901'!M243</f>
        <v>-4.0963159756277644E-2</v>
      </c>
    </row>
    <row r="244" spans="1:24" x14ac:dyDescent="0.25">
      <c r="A244">
        <v>243</v>
      </c>
      <c r="B244">
        <v>202</v>
      </c>
      <c r="C244" t="s">
        <v>45</v>
      </c>
      <c r="D244" t="s">
        <v>35</v>
      </c>
      <c r="E244" t="s">
        <v>107</v>
      </c>
      <c r="F244" t="s">
        <v>19</v>
      </c>
      <c r="G244" t="s">
        <v>20</v>
      </c>
      <c r="H244" t="s">
        <v>21</v>
      </c>
      <c r="I244" t="s">
        <v>75</v>
      </c>
      <c r="J244" t="s">
        <v>147</v>
      </c>
      <c r="K244" t="s">
        <v>23</v>
      </c>
      <c r="L244">
        <v>456</v>
      </c>
      <c r="M244" s="4">
        <v>2.3816565000000001</v>
      </c>
      <c r="N244" s="4">
        <v>381.04307991188671</v>
      </c>
      <c r="O244" s="4">
        <v>0.33347808471898893</v>
      </c>
      <c r="P244" s="1" t="str">
        <f>HYPERLINK(".\sm_car_250703_0822\sm_car_250703_0822_243_Ca202TrN_MaCPL_DrSt_ode23t_1.png","figure")</f>
        <v>figure</v>
      </c>
      <c r="Q244" t="s">
        <v>15</v>
      </c>
      <c r="U244">
        <f>L244-'2024b_250702_1901'!L244</f>
        <v>2</v>
      </c>
      <c r="V244" s="7">
        <f>U244/'2024b_250702_1901'!L244</f>
        <v>4.4052863436123352E-3</v>
      </c>
      <c r="W244" s="4">
        <f>M244-'2024b_250702_1901'!M244</f>
        <v>-8.459759999999994E-2</v>
      </c>
      <c r="X244" s="7">
        <f>W244/'2024b_250702_1901'!M244</f>
        <v>-3.4302061575893557E-2</v>
      </c>
    </row>
    <row r="245" spans="1:24" x14ac:dyDescent="0.25">
      <c r="A245">
        <v>244</v>
      </c>
      <c r="B245">
        <v>140</v>
      </c>
      <c r="C245" t="s">
        <v>45</v>
      </c>
      <c r="D245" t="s">
        <v>17</v>
      </c>
      <c r="E245" t="s">
        <v>49</v>
      </c>
      <c r="F245" t="s">
        <v>19</v>
      </c>
      <c r="G245" t="s">
        <v>26</v>
      </c>
      <c r="H245" t="s">
        <v>21</v>
      </c>
      <c r="I245" t="s">
        <v>112</v>
      </c>
      <c r="J245" t="s">
        <v>147</v>
      </c>
      <c r="K245" t="s">
        <v>23</v>
      </c>
      <c r="L245">
        <v>2570</v>
      </c>
      <c r="M245" s="4">
        <v>38.785842000000002</v>
      </c>
      <c r="N245" s="4">
        <v>189.17235446173734</v>
      </c>
      <c r="O245" s="4">
        <v>6.607891972355964E-4</v>
      </c>
      <c r="P245" s="1" t="str">
        <f>HYPERLINK(".\sm_car_250703_0822\sm_car_250703_0822_244_Ca140TrN_MaCRR_DrSt_ode23t_1.png","figure")</f>
        <v>figure</v>
      </c>
      <c r="Q245" t="s">
        <v>15</v>
      </c>
      <c r="U245">
        <f>L245-'2024b_250702_1901'!L245</f>
        <v>-27</v>
      </c>
      <c r="V245" s="7">
        <f>U245/'2024b_250702_1901'!L245</f>
        <v>-1.0396611474778591E-2</v>
      </c>
      <c r="W245" s="4">
        <f>M245-'2024b_250702_1901'!M245</f>
        <v>-3.4148398999999969</v>
      </c>
      <c r="X245" s="7">
        <f>W245/'2024b_250702_1901'!M245</f>
        <v>-8.0919069224803145E-2</v>
      </c>
    </row>
    <row r="246" spans="1:24" x14ac:dyDescent="0.25">
      <c r="A246">
        <v>245</v>
      </c>
      <c r="B246">
        <v>189</v>
      </c>
      <c r="C246" t="s">
        <v>45</v>
      </c>
      <c r="D246" t="s">
        <v>17</v>
      </c>
      <c r="E246" t="s">
        <v>107</v>
      </c>
      <c r="F246" t="s">
        <v>19</v>
      </c>
      <c r="G246" t="s">
        <v>26</v>
      </c>
      <c r="H246" t="s">
        <v>21</v>
      </c>
      <c r="I246" t="s">
        <v>112</v>
      </c>
      <c r="J246" t="s">
        <v>147</v>
      </c>
      <c r="K246" t="s">
        <v>23</v>
      </c>
      <c r="L246">
        <v>3180</v>
      </c>
      <c r="M246" s="4">
        <v>36.284366200000001</v>
      </c>
      <c r="N246" s="4">
        <v>189.19544660201564</v>
      </c>
      <c r="O246" s="4">
        <v>6.5775677408954768E-4</v>
      </c>
      <c r="P246" s="1" t="str">
        <f>HYPERLINK(".\sm_car_250703_0822\sm_car_250703_0822_245_Ca189TrN_MaCRR_DrSt_ode23t_1.png","figure")</f>
        <v>figure</v>
      </c>
      <c r="Q246" t="s">
        <v>15</v>
      </c>
      <c r="U246">
        <f>L246-'2024b_250702_1901'!L246</f>
        <v>6</v>
      </c>
      <c r="V246" s="7">
        <f>U246/'2024b_250702_1901'!L246</f>
        <v>1.890359168241966E-3</v>
      </c>
      <c r="W246" s="4">
        <f>M246-'2024b_250702_1901'!M246</f>
        <v>-0.82129919999999856</v>
      </c>
      <c r="X246" s="7">
        <f>W246/'2024b_250702_1901'!M246</f>
        <v>-2.2134064735030962E-2</v>
      </c>
    </row>
    <row r="247" spans="1:24" x14ac:dyDescent="0.25">
      <c r="A247">
        <v>246</v>
      </c>
      <c r="B247">
        <v>189</v>
      </c>
      <c r="C247" t="s">
        <v>45</v>
      </c>
      <c r="D247" t="s">
        <v>17</v>
      </c>
      <c r="E247" t="s">
        <v>107</v>
      </c>
      <c r="F247" t="s">
        <v>19</v>
      </c>
      <c r="G247" t="s">
        <v>26</v>
      </c>
      <c r="H247" t="s">
        <v>21</v>
      </c>
      <c r="I247" t="s">
        <v>120</v>
      </c>
      <c r="J247" t="s">
        <v>147</v>
      </c>
      <c r="K247" t="s">
        <v>23</v>
      </c>
      <c r="L247">
        <v>10368</v>
      </c>
      <c r="M247" s="4">
        <v>110.813214</v>
      </c>
      <c r="N247" s="4">
        <v>208.80228170937318</v>
      </c>
      <c r="O247" s="4">
        <v>-0.76904397001404678</v>
      </c>
      <c r="P247" s="1" t="str">
        <f>HYPERLINK(".\sm_car_250703_0822\sm_car_250703_0822_246_Ca189TrN_MaGSU_DrSt_ode23t_1.png","figure")</f>
        <v>figure</v>
      </c>
      <c r="Q247" t="s">
        <v>15</v>
      </c>
      <c r="U247">
        <f>L247-'2024b_250702_1901'!L247</f>
        <v>28</v>
      </c>
      <c r="V247" s="7">
        <f>U247/'2024b_250702_1901'!L247</f>
        <v>2.7079303675048355E-3</v>
      </c>
      <c r="W247" s="4">
        <f>M247-'2024b_250702_1901'!M247</f>
        <v>7.1296700000004876E-2</v>
      </c>
      <c r="X247" s="7">
        <f>W247/'2024b_250702_1901'!M247</f>
        <v>6.4380951439428331E-4</v>
      </c>
    </row>
    <row r="248" spans="1:24" x14ac:dyDescent="0.25">
      <c r="A248">
        <v>247</v>
      </c>
      <c r="B248">
        <v>173</v>
      </c>
      <c r="C248" t="s">
        <v>45</v>
      </c>
      <c r="D248" t="s">
        <v>35</v>
      </c>
      <c r="E248" t="s">
        <v>49</v>
      </c>
      <c r="F248" t="s">
        <v>19</v>
      </c>
      <c r="G248" t="s">
        <v>90</v>
      </c>
      <c r="H248" t="s">
        <v>21</v>
      </c>
      <c r="I248" t="s">
        <v>91</v>
      </c>
      <c r="J248" t="s">
        <v>147</v>
      </c>
      <c r="K248" t="s">
        <v>92</v>
      </c>
      <c r="L248">
        <v>1656</v>
      </c>
      <c r="M248" s="4">
        <v>78.5299823</v>
      </c>
      <c r="N248" s="4">
        <v>51.300194634585687</v>
      </c>
      <c r="O248" s="4">
        <v>9.1611635485344036E-3</v>
      </c>
      <c r="P248" s="1" t="str">
        <f>HYPERLINK(".\sm_car_250703_0822\sm_car_250703_0822_247_Ca173TrN_MaDCA_DrSt_daessc_1.png","figure")</f>
        <v>figure</v>
      </c>
      <c r="Q248" t="s">
        <v>15</v>
      </c>
      <c r="U248">
        <f>L248-'2024b_250702_1901'!L248</f>
        <v>0</v>
      </c>
      <c r="V248" s="7">
        <f>U248/'2024b_250702_1901'!L248</f>
        <v>0</v>
      </c>
      <c r="W248" s="4">
        <f>M248-'2024b_250702_1901'!M248</f>
        <v>-0.84739500000000589</v>
      </c>
      <c r="X248" s="7">
        <f>W248/'2024b_250702_1901'!M248</f>
        <v>-1.0675522785255917E-2</v>
      </c>
    </row>
    <row r="249" spans="1:24" x14ac:dyDescent="0.25">
      <c r="A249">
        <v>248</v>
      </c>
      <c r="B249">
        <v>173</v>
      </c>
      <c r="C249" t="s">
        <v>45</v>
      </c>
      <c r="D249" t="s">
        <v>35</v>
      </c>
      <c r="E249" t="s">
        <v>49</v>
      </c>
      <c r="F249" t="s">
        <v>19</v>
      </c>
      <c r="G249" t="s">
        <v>90</v>
      </c>
      <c r="H249" t="s">
        <v>21</v>
      </c>
      <c r="I249" t="s">
        <v>93</v>
      </c>
      <c r="J249" t="s">
        <v>147</v>
      </c>
      <c r="K249" t="s">
        <v>92</v>
      </c>
      <c r="L249">
        <v>4297</v>
      </c>
      <c r="M249" s="4">
        <v>134.98580089999999</v>
      </c>
      <c r="N249" s="4">
        <v>980.46491344731362</v>
      </c>
      <c r="O249" s="4">
        <v>0.73490577571541205</v>
      </c>
      <c r="P249" s="1" t="str">
        <f>HYPERLINK(".\sm_car_250703_0822\sm_car_250703_0822_248_Ca173TrN_MaDC1_DrSt_daessc_1.png","figure")</f>
        <v>figure</v>
      </c>
      <c r="Q249" t="s">
        <v>15</v>
      </c>
      <c r="U249">
        <f>L249-'2024b_250702_1901'!L249</f>
        <v>172</v>
      </c>
      <c r="V249" s="7">
        <f>U249/'2024b_250702_1901'!L249</f>
        <v>4.1696969696969698E-2</v>
      </c>
      <c r="W249" s="4">
        <f>M249-'2024b_250702_1901'!M249</f>
        <v>11.175765899999988</v>
      </c>
      <c r="X249" s="7">
        <f>W249/'2024b_250702_1901'!M249</f>
        <v>9.0265428807931342E-2</v>
      </c>
    </row>
    <row r="250" spans="1:24" x14ac:dyDescent="0.25">
      <c r="A250">
        <v>249</v>
      </c>
      <c r="B250">
        <v>165</v>
      </c>
      <c r="C250" t="s">
        <v>45</v>
      </c>
      <c r="D250" t="s">
        <v>35</v>
      </c>
      <c r="E250" t="s">
        <v>49</v>
      </c>
      <c r="F250" t="s">
        <v>19</v>
      </c>
      <c r="G250" t="s">
        <v>26</v>
      </c>
      <c r="H250" t="s">
        <v>21</v>
      </c>
      <c r="I250" t="s">
        <v>91</v>
      </c>
      <c r="J250" t="s">
        <v>147</v>
      </c>
      <c r="K250" t="s">
        <v>23</v>
      </c>
      <c r="L250">
        <v>339</v>
      </c>
      <c r="M250" s="4">
        <v>3.3044988000000002</v>
      </c>
      <c r="N250" s="4">
        <v>53.509061810742409</v>
      </c>
      <c r="O250" s="4">
        <v>9.9412060287261319E-3</v>
      </c>
      <c r="P250" s="1" t="str">
        <f>HYPERLINK(".\sm_car_250703_0822\sm_car_250703_0822_249_Ca165TrN_MaDCA_DrSt_ode23t_1.png","figure")</f>
        <v>figure</v>
      </c>
      <c r="Q250" t="s">
        <v>15</v>
      </c>
      <c r="U250">
        <f>L250-'2024b_250702_1901'!L250</f>
        <v>0</v>
      </c>
      <c r="V250" s="7">
        <f>U250/'2024b_250702_1901'!L250</f>
        <v>0</v>
      </c>
      <c r="W250" s="4">
        <f>M250-'2024b_250702_1901'!M250</f>
        <v>-0.16035089999999963</v>
      </c>
      <c r="X250" s="7">
        <f>W250/'2024b_250702_1901'!M250</f>
        <v>-4.627932345809968E-2</v>
      </c>
    </row>
    <row r="251" spans="1:24" x14ac:dyDescent="0.25">
      <c r="A251">
        <v>250</v>
      </c>
      <c r="B251">
        <v>165</v>
      </c>
      <c r="C251" t="s">
        <v>45</v>
      </c>
      <c r="D251" t="s">
        <v>35</v>
      </c>
      <c r="E251" t="s">
        <v>49</v>
      </c>
      <c r="F251" t="s">
        <v>19</v>
      </c>
      <c r="G251" t="s">
        <v>26</v>
      </c>
      <c r="H251" t="s">
        <v>21</v>
      </c>
      <c r="I251" t="s">
        <v>93</v>
      </c>
      <c r="J251" t="s">
        <v>147</v>
      </c>
      <c r="K251" t="s">
        <v>23</v>
      </c>
      <c r="L251">
        <v>1208</v>
      </c>
      <c r="M251" s="4">
        <v>7.8084471999999998</v>
      </c>
      <c r="N251" s="4">
        <v>992.65371587318737</v>
      </c>
      <c r="O251" s="4">
        <v>0.86669993994410632</v>
      </c>
      <c r="P251" s="1" t="str">
        <f>HYPERLINK(".\sm_car_250703_0822\sm_car_250703_0822_250_Ca165TrN_MaDC1_DrSt_ode23t_1.png","figure")</f>
        <v>figure</v>
      </c>
      <c r="Q251" t="s">
        <v>15</v>
      </c>
      <c r="U251">
        <f>L251-'2024b_250702_1901'!L251</f>
        <v>14</v>
      </c>
      <c r="V251" s="7">
        <f>U251/'2024b_250702_1901'!L251</f>
        <v>1.1725293132328308E-2</v>
      </c>
      <c r="W251" s="4">
        <f>M251-'2024b_250702_1901'!M251</f>
        <v>0.23270069999999965</v>
      </c>
      <c r="X251" s="7">
        <f>W251/'2024b_250702_1901'!M251</f>
        <v>3.0716537307577497E-2</v>
      </c>
    </row>
    <row r="252" spans="1:24" x14ac:dyDescent="0.25">
      <c r="A252">
        <v>251</v>
      </c>
      <c r="B252">
        <v>196</v>
      </c>
      <c r="C252" t="s">
        <v>45</v>
      </c>
      <c r="D252" t="s">
        <v>35</v>
      </c>
      <c r="E252" t="s">
        <v>107</v>
      </c>
      <c r="F252" t="s">
        <v>19</v>
      </c>
      <c r="G252" t="s">
        <v>90</v>
      </c>
      <c r="H252" t="s">
        <v>21</v>
      </c>
      <c r="I252" t="s">
        <v>93</v>
      </c>
      <c r="J252" t="s">
        <v>147</v>
      </c>
      <c r="K252" t="s">
        <v>92</v>
      </c>
      <c r="L252">
        <v>4290</v>
      </c>
      <c r="M252" s="4">
        <v>68.352997500000001</v>
      </c>
      <c r="N252" s="4">
        <v>980.45967023213962</v>
      </c>
      <c r="O252" s="4">
        <v>0.7350468820701197</v>
      </c>
      <c r="P252" s="1" t="str">
        <f>HYPERLINK(".\sm_car_250703_0822\sm_car_250703_0822_251_Ca196TrN_MaDC1_DrSt_daessc_1.png","figure")</f>
        <v>figure</v>
      </c>
      <c r="Q252" t="s">
        <v>15</v>
      </c>
      <c r="U252">
        <f>L252-'2024b_250702_1901'!L252</f>
        <v>228</v>
      </c>
      <c r="V252" s="7">
        <f>U252/'2024b_250702_1901'!L252</f>
        <v>5.6129985228951254E-2</v>
      </c>
      <c r="W252" s="4">
        <f>M252-'2024b_250702_1901'!M252</f>
        <v>7.1882684999999995</v>
      </c>
      <c r="X252" s="7">
        <f>W252/'2024b_250702_1901'!M252</f>
        <v>0.11752309897424706</v>
      </c>
    </row>
    <row r="253" spans="1:24" x14ac:dyDescent="0.25">
      <c r="A253">
        <v>252</v>
      </c>
      <c r="B253">
        <v>179</v>
      </c>
      <c r="C253" t="s">
        <v>45</v>
      </c>
      <c r="D253" t="s">
        <v>57</v>
      </c>
      <c r="E253" t="s">
        <v>18</v>
      </c>
      <c r="F253" t="s">
        <v>19</v>
      </c>
      <c r="G253" t="s">
        <v>26</v>
      </c>
      <c r="H253" t="s">
        <v>21</v>
      </c>
      <c r="I253" t="s">
        <v>22</v>
      </c>
      <c r="J253" t="s">
        <v>147</v>
      </c>
      <c r="K253" t="s">
        <v>23</v>
      </c>
      <c r="L253">
        <v>470</v>
      </c>
      <c r="M253" s="4">
        <v>4.8433340999999999</v>
      </c>
      <c r="N253" s="4">
        <v>147.8326701353422</v>
      </c>
      <c r="O253" s="4">
        <v>9.6383922224182905E-2</v>
      </c>
      <c r="P253" s="1" t="str">
        <f>HYPERLINK(".\sm_car_250703_0822\sm_car_250703_0822_252_Ca179TrN_MaWOT_DrSt_ode23t_1.png","figure")</f>
        <v>figure</v>
      </c>
      <c r="Q253" t="s">
        <v>15</v>
      </c>
      <c r="U253">
        <f>L253-'2024b_250702_1901'!L253</f>
        <v>-24</v>
      </c>
      <c r="V253" s="7">
        <f>U253/'2024b_250702_1901'!L253</f>
        <v>-4.8582995951417005E-2</v>
      </c>
      <c r="W253" s="4">
        <f>M253-'2024b_250702_1901'!M253</f>
        <v>-0.37343430000000044</v>
      </c>
      <c r="X253" s="7">
        <f>W253/'2024b_250702_1901'!M253</f>
        <v>-7.1583453848555065E-2</v>
      </c>
    </row>
    <row r="254" spans="1:24" x14ac:dyDescent="0.25">
      <c r="A254">
        <v>253</v>
      </c>
      <c r="B254">
        <v>180</v>
      </c>
      <c r="C254" t="s">
        <v>45</v>
      </c>
      <c r="D254" t="s">
        <v>57</v>
      </c>
      <c r="E254" t="s">
        <v>49</v>
      </c>
      <c r="F254" t="s">
        <v>19</v>
      </c>
      <c r="G254" t="s">
        <v>26</v>
      </c>
      <c r="H254" t="s">
        <v>21</v>
      </c>
      <c r="I254" t="s">
        <v>22</v>
      </c>
      <c r="J254" t="s">
        <v>147</v>
      </c>
      <c r="K254" t="s">
        <v>23</v>
      </c>
      <c r="L254">
        <v>507</v>
      </c>
      <c r="M254" s="4">
        <v>6.7801245000000003</v>
      </c>
      <c r="N254" s="4">
        <v>147.85027882553371</v>
      </c>
      <c r="O254" s="4">
        <v>9.6069720032534112E-2</v>
      </c>
      <c r="P254" s="1" t="str">
        <f>HYPERLINK(".\sm_car_250703_0822\sm_car_250703_0822_253_Ca180TrN_MaWOT_DrSt_ode23t_1.png","figure")</f>
        <v>figure</v>
      </c>
      <c r="Q254" t="s">
        <v>15</v>
      </c>
      <c r="U254">
        <f>L254-'2024b_250702_1901'!L254</f>
        <v>-6</v>
      </c>
      <c r="V254" s="7">
        <f>U254/'2024b_250702_1901'!L254</f>
        <v>-1.1695906432748537E-2</v>
      </c>
      <c r="W254" s="4">
        <f>M254-'2024b_250702_1901'!M254</f>
        <v>-0.29874629999999947</v>
      </c>
      <c r="X254" s="7">
        <f>W254/'2024b_250702_1901'!M254</f>
        <v>-4.2202536031594115E-2</v>
      </c>
    </row>
    <row r="255" spans="1:24" x14ac:dyDescent="0.25">
      <c r="A255">
        <v>254</v>
      </c>
      <c r="B255">
        <v>197</v>
      </c>
      <c r="C255" t="s">
        <v>45</v>
      </c>
      <c r="D255" t="s">
        <v>57</v>
      </c>
      <c r="E255" t="s">
        <v>107</v>
      </c>
      <c r="F255" t="s">
        <v>19</v>
      </c>
      <c r="G255" t="s">
        <v>26</v>
      </c>
      <c r="H255" t="s">
        <v>21</v>
      </c>
      <c r="I255" t="s">
        <v>22</v>
      </c>
      <c r="J255" t="s">
        <v>147</v>
      </c>
      <c r="K255" t="s">
        <v>23</v>
      </c>
      <c r="L255">
        <v>445</v>
      </c>
      <c r="M255" s="4">
        <v>2.1382892999999998</v>
      </c>
      <c r="N255" s="4">
        <v>147.84262496823825</v>
      </c>
      <c r="O255" s="4">
        <v>9.6083668543640741E-2</v>
      </c>
      <c r="P255" s="1" t="str">
        <f>HYPERLINK(".\sm_car_250703_0822\sm_car_250703_0822_254_Ca197TrN_MaWOT_DrSt_ode23t_1.png","figure")</f>
        <v>figure</v>
      </c>
      <c r="Q255" t="s">
        <v>15</v>
      </c>
      <c r="U255">
        <f>L255-'2024b_250702_1901'!L255</f>
        <v>-11</v>
      </c>
      <c r="V255" s="7">
        <f>U255/'2024b_250702_1901'!L255</f>
        <v>-2.4122807017543858E-2</v>
      </c>
      <c r="W255" s="4">
        <f>M255-'2024b_250702_1901'!M255</f>
        <v>4.825210000000002E-2</v>
      </c>
      <c r="X255" s="7">
        <f>W255/'2024b_250702_1901'!M255</f>
        <v>2.3086718265110318E-2</v>
      </c>
    </row>
    <row r="256" spans="1:24" x14ac:dyDescent="0.25">
      <c r="A256">
        <v>255</v>
      </c>
      <c r="B256">
        <v>182</v>
      </c>
      <c r="C256" t="s">
        <v>45</v>
      </c>
      <c r="D256" t="s">
        <v>17</v>
      </c>
      <c r="E256" t="s">
        <v>49</v>
      </c>
      <c r="F256" t="s">
        <v>19</v>
      </c>
      <c r="G256" t="s">
        <v>26</v>
      </c>
      <c r="H256" t="s">
        <v>21</v>
      </c>
      <c r="I256" t="s">
        <v>64</v>
      </c>
      <c r="J256" t="s">
        <v>147</v>
      </c>
      <c r="K256" t="s">
        <v>23</v>
      </c>
      <c r="L256">
        <v>427</v>
      </c>
      <c r="M256" s="4">
        <v>12.684464</v>
      </c>
      <c r="N256" s="4">
        <v>62.246787853675997</v>
      </c>
      <c r="O256" s="4">
        <v>-24.540495971810813</v>
      </c>
      <c r="P256" s="1" t="str">
        <f>HYPERLINK(".\sm_car_250703_0822\sm_car_250703_0822_255_Ca182TrN_MaTUR_DrSt_ode23t_1.png","figure")</f>
        <v>figure</v>
      </c>
      <c r="Q256" t="s">
        <v>15</v>
      </c>
      <c r="U256">
        <f>L256-'2024b_250702_1901'!L256</f>
        <v>0</v>
      </c>
      <c r="V256" s="7">
        <f>U256/'2024b_250702_1901'!L256</f>
        <v>0</v>
      </c>
      <c r="W256" s="4">
        <f>M256-'2024b_250702_1901'!M256</f>
        <v>-0.29077490000000061</v>
      </c>
      <c r="X256" s="7">
        <f>W256/'2024b_250702_1901'!M256</f>
        <v>-2.2409984297090714E-2</v>
      </c>
    </row>
    <row r="257" spans="1:24" x14ac:dyDescent="0.25">
      <c r="A257">
        <v>256</v>
      </c>
      <c r="B257">
        <v>203</v>
      </c>
      <c r="C257" t="s">
        <v>45</v>
      </c>
      <c r="D257" t="s">
        <v>17</v>
      </c>
      <c r="E257" t="s">
        <v>107</v>
      </c>
      <c r="F257" t="s">
        <v>19</v>
      </c>
      <c r="G257" t="s">
        <v>26</v>
      </c>
      <c r="H257" t="s">
        <v>21</v>
      </c>
      <c r="I257" t="s">
        <v>64</v>
      </c>
      <c r="J257" t="s">
        <v>147</v>
      </c>
      <c r="K257" t="s">
        <v>23</v>
      </c>
      <c r="L257">
        <v>366</v>
      </c>
      <c r="M257" s="4">
        <v>4.6269480999999999</v>
      </c>
      <c r="N257" s="4">
        <v>62.255068392920236</v>
      </c>
      <c r="O257" s="4">
        <v>-24.556803467384999</v>
      </c>
      <c r="P257" s="1" t="str">
        <f>HYPERLINK(".\sm_car_250703_0822\sm_car_250703_0822_256_Ca203TrN_MaTUR_DrSt_ode23t_1.png","figure")</f>
        <v>figure</v>
      </c>
      <c r="Q257" t="s">
        <v>15</v>
      </c>
      <c r="U257">
        <f>L257-'2024b_250702_1901'!L257</f>
        <v>0</v>
      </c>
      <c r="V257" s="7">
        <f>U257/'2024b_250702_1901'!L257</f>
        <v>0</v>
      </c>
      <c r="W257" s="4">
        <f>M257-'2024b_250702_1901'!M257</f>
        <v>-5.3640000000001464E-3</v>
      </c>
      <c r="X257" s="7">
        <f>W257/'2024b_250702_1901'!M257</f>
        <v>-1.1579530662452874E-3</v>
      </c>
    </row>
    <row r="258" spans="1:24" x14ac:dyDescent="0.25">
      <c r="A258">
        <v>257</v>
      </c>
      <c r="B258">
        <v>185</v>
      </c>
      <c r="C258" t="s">
        <v>45</v>
      </c>
      <c r="D258" t="s">
        <v>17</v>
      </c>
      <c r="E258" t="s">
        <v>18</v>
      </c>
      <c r="F258" t="s">
        <v>19</v>
      </c>
      <c r="G258" t="s">
        <v>26</v>
      </c>
      <c r="H258" t="s">
        <v>21</v>
      </c>
      <c r="I258" t="s">
        <v>64</v>
      </c>
      <c r="J258" t="s">
        <v>147</v>
      </c>
      <c r="K258" t="s">
        <v>23</v>
      </c>
      <c r="L258">
        <v>519</v>
      </c>
      <c r="M258" s="4">
        <v>21.229598599999999</v>
      </c>
      <c r="N258" s="4">
        <v>112.71970044788078</v>
      </c>
      <c r="O258" s="4">
        <v>-79.238750666023833</v>
      </c>
      <c r="P258" s="1" t="str">
        <f>HYPERLINK(".\sm_car_250703_0822\sm_car_250703_0822_257_Ca185TrN_MaTUR_DrSt_ode23t_1.png","figure")</f>
        <v>figure</v>
      </c>
      <c r="Q258" t="s">
        <v>15</v>
      </c>
      <c r="U258">
        <f>L258-'2024b_250702_1901'!L258</f>
        <v>-15</v>
      </c>
      <c r="V258" s="7">
        <f>U258/'2024b_250702_1901'!L258</f>
        <v>-2.8089887640449437E-2</v>
      </c>
      <c r="W258" s="4">
        <f>M258-'2024b_250702_1901'!M258</f>
        <v>-2.1806073000000019</v>
      </c>
      <c r="X258" s="7">
        <f>W258/'2024b_250702_1901'!M258</f>
        <v>-9.3147719815655353E-2</v>
      </c>
    </row>
    <row r="259" spans="1:24" x14ac:dyDescent="0.25">
      <c r="A259">
        <v>258</v>
      </c>
      <c r="B259">
        <v>188</v>
      </c>
      <c r="C259" t="s">
        <v>45</v>
      </c>
      <c r="D259" t="s">
        <v>113</v>
      </c>
      <c r="E259" t="s">
        <v>49</v>
      </c>
      <c r="F259" t="s">
        <v>19</v>
      </c>
      <c r="G259" t="s">
        <v>26</v>
      </c>
      <c r="H259" t="s">
        <v>21</v>
      </c>
      <c r="I259" t="s">
        <v>64</v>
      </c>
      <c r="J259" t="s">
        <v>147</v>
      </c>
      <c r="K259" t="s">
        <v>23</v>
      </c>
      <c r="L259">
        <v>545</v>
      </c>
      <c r="M259" s="4">
        <v>6.7910754000000004</v>
      </c>
      <c r="N259" s="4">
        <v>140.60810852056335</v>
      </c>
      <c r="O259" s="4">
        <v>-71.743687660041445</v>
      </c>
      <c r="P259" s="1" t="str">
        <f>HYPERLINK(".\sm_car_250703_0822\sm_car_250703_0822_258_Ca188TrN_MaTUR_DrSt_ode23t_1.png","figure")</f>
        <v>figure</v>
      </c>
      <c r="Q259" t="s">
        <v>15</v>
      </c>
      <c r="U259">
        <f>L259-'2024b_250702_1901'!L259</f>
        <v>8</v>
      </c>
      <c r="V259" s="7">
        <f>U259/'2024b_250702_1901'!L259</f>
        <v>1.4897579143389199E-2</v>
      </c>
      <c r="W259" s="4">
        <f>M259-'2024b_250702_1901'!M259</f>
        <v>-0.20287979999999983</v>
      </c>
      <c r="X259" s="7">
        <f>W259/'2024b_250702_1901'!M259</f>
        <v>-2.9007878117377678E-2</v>
      </c>
    </row>
    <row r="260" spans="1:24" x14ac:dyDescent="0.25">
      <c r="A260">
        <v>259</v>
      </c>
      <c r="B260" t="s">
        <v>94</v>
      </c>
      <c r="C260" t="s">
        <v>95</v>
      </c>
      <c r="D260" t="s">
        <v>35</v>
      </c>
      <c r="E260" t="s">
        <v>18</v>
      </c>
      <c r="F260" t="s">
        <v>19</v>
      </c>
      <c r="G260" t="s">
        <v>96</v>
      </c>
      <c r="H260" t="s">
        <v>21</v>
      </c>
      <c r="I260" t="s">
        <v>22</v>
      </c>
      <c r="J260" t="s">
        <v>147</v>
      </c>
      <c r="K260" t="s">
        <v>23</v>
      </c>
      <c r="L260">
        <v>438</v>
      </c>
      <c r="M260" s="4">
        <v>13.582697899999999</v>
      </c>
      <c r="N260" s="4">
        <v>79.181909956098622</v>
      </c>
      <c r="O260" s="4">
        <v>-0.33333439958527561</v>
      </c>
      <c r="P260" s="1" t="str">
        <f>HYPERLINK(".\sm_car_250703_0822\sm_car_Axle3_250703_0822_259_CaAxle3_000TrN_MaWOT_DrSt_ode23t_1.png","figure")</f>
        <v>figure</v>
      </c>
      <c r="Q260" t="s">
        <v>15</v>
      </c>
      <c r="U260">
        <f>L260-'2024b_250702_1901'!L260</f>
        <v>0</v>
      </c>
      <c r="V260" s="7">
        <f>U260/'2024b_250702_1901'!L260</f>
        <v>0</v>
      </c>
      <c r="W260" s="4">
        <f>M260-'2024b_250702_1901'!M260</f>
        <v>-0.97619440000000068</v>
      </c>
      <c r="X260" s="7">
        <f>W260/'2024b_250702_1901'!M260</f>
        <v>-6.7051419839131626E-2</v>
      </c>
    </row>
    <row r="261" spans="1:24" x14ac:dyDescent="0.25">
      <c r="A261">
        <v>260</v>
      </c>
      <c r="B261" t="s">
        <v>99</v>
      </c>
      <c r="C261" t="s">
        <v>100</v>
      </c>
      <c r="D261" t="s">
        <v>35</v>
      </c>
      <c r="E261" t="s">
        <v>18</v>
      </c>
      <c r="F261" t="s">
        <v>19</v>
      </c>
      <c r="G261" t="s">
        <v>96</v>
      </c>
      <c r="H261" t="s">
        <v>21</v>
      </c>
      <c r="I261" t="s">
        <v>22</v>
      </c>
      <c r="J261" t="s">
        <v>147</v>
      </c>
      <c r="K261" t="s">
        <v>23</v>
      </c>
      <c r="L261">
        <v>545</v>
      </c>
      <c r="M261" s="4">
        <v>18.909037099999999</v>
      </c>
      <c r="N261" s="4">
        <v>61.779938045491164</v>
      </c>
      <c r="O261" s="4">
        <v>-7.8780921218570554E-2</v>
      </c>
      <c r="P261" s="1" t="str">
        <f>HYPERLINK(".\sm_car_250703_0822\sm_car_Axle3_250703_0822_260_CaAxle3_008TrN_MaWOT_DrSt_ode23t_1.png","figure")</f>
        <v>figure</v>
      </c>
      <c r="Q261" t="s">
        <v>15</v>
      </c>
      <c r="U261">
        <f>L261-'2024b_250702_1901'!L261</f>
        <v>0</v>
      </c>
      <c r="V261" s="7">
        <f>U261/'2024b_250702_1901'!L261</f>
        <v>0</v>
      </c>
      <c r="W261" s="4">
        <f>M261-'2024b_250702_1901'!M261</f>
        <v>-6.8790700000000982E-2</v>
      </c>
      <c r="X261" s="7">
        <f>W261/'2024b_250702_1901'!M261</f>
        <v>-3.6247931388649749E-3</v>
      </c>
    </row>
    <row r="262" spans="1:24" x14ac:dyDescent="0.25">
      <c r="A262">
        <v>261</v>
      </c>
      <c r="B262" t="s">
        <v>97</v>
      </c>
      <c r="C262" t="s">
        <v>95</v>
      </c>
      <c r="D262" t="s">
        <v>35</v>
      </c>
      <c r="E262" t="s">
        <v>49</v>
      </c>
      <c r="F262" t="s">
        <v>19</v>
      </c>
      <c r="G262" t="s">
        <v>98</v>
      </c>
      <c r="H262" t="s">
        <v>21</v>
      </c>
      <c r="I262" t="s">
        <v>22</v>
      </c>
      <c r="J262" t="s">
        <v>147</v>
      </c>
      <c r="K262" t="s">
        <v>23</v>
      </c>
      <c r="L262">
        <v>425</v>
      </c>
      <c r="M262" s="4">
        <v>11.499039700000001</v>
      </c>
      <c r="N262" s="4">
        <v>79.267785357633912</v>
      </c>
      <c r="O262" s="4">
        <v>-0.31325812773398548</v>
      </c>
      <c r="P262" s="1" t="str">
        <f>HYPERLINK(".\sm_car_250703_0822\sm_car_Axle3_250703_0822_261_CaAxle3_003TrN_MaWOT_DrSt_ode23t_1.png","figure")</f>
        <v>figure</v>
      </c>
      <c r="Q262" t="s">
        <v>15</v>
      </c>
      <c r="U262">
        <f>L262-'2024b_250702_1901'!L262</f>
        <v>1</v>
      </c>
      <c r="V262" s="7">
        <f>U262/'2024b_250702_1901'!L262</f>
        <v>2.3584905660377358E-3</v>
      </c>
      <c r="W262" s="4">
        <f>M262-'2024b_250702_1901'!M262</f>
        <v>-1.7516728999999991</v>
      </c>
      <c r="X262" s="7">
        <f>W262/'2024b_250702_1901'!M262</f>
        <v>-0.13219461872563737</v>
      </c>
    </row>
    <row r="263" spans="1:24" x14ac:dyDescent="0.25">
      <c r="A263">
        <v>262</v>
      </c>
      <c r="B263" t="s">
        <v>114</v>
      </c>
      <c r="C263" t="s">
        <v>95</v>
      </c>
      <c r="D263" t="s">
        <v>35</v>
      </c>
      <c r="E263" t="s">
        <v>107</v>
      </c>
      <c r="F263" t="s">
        <v>19</v>
      </c>
      <c r="G263" t="s">
        <v>98</v>
      </c>
      <c r="H263" t="s">
        <v>21</v>
      </c>
      <c r="I263" t="s">
        <v>22</v>
      </c>
      <c r="J263" t="s">
        <v>147</v>
      </c>
      <c r="K263" t="s">
        <v>23</v>
      </c>
      <c r="L263">
        <v>427</v>
      </c>
      <c r="M263" s="4">
        <v>1.8976109999999999</v>
      </c>
      <c r="N263" s="4">
        <v>80.145520056216895</v>
      </c>
      <c r="O263" s="4">
        <v>-0.31945069771391377</v>
      </c>
      <c r="P263" s="1" t="str">
        <f>HYPERLINK(".\sm_car_250703_0822\sm_car_Axle3_250703_0822_262_CaAxle3_017TrN_MaWOT_DrSt_ode23t_1.png","figure")</f>
        <v>figure</v>
      </c>
      <c r="Q263" t="s">
        <v>15</v>
      </c>
      <c r="U263">
        <f>L263-'2024b_250702_1901'!L263</f>
        <v>0</v>
      </c>
      <c r="V263" s="7">
        <f>U263/'2024b_250702_1901'!L263</f>
        <v>0</v>
      </c>
      <c r="W263" s="4">
        <f>M263-'2024b_250702_1901'!M263</f>
        <v>-0.21747849999999991</v>
      </c>
      <c r="X263" s="7">
        <f>W263/'2024b_250702_1901'!M263</f>
        <v>-0.10282236283618254</v>
      </c>
    </row>
    <row r="264" spans="1:24" x14ac:dyDescent="0.25">
      <c r="A264">
        <v>263</v>
      </c>
      <c r="B264" t="s">
        <v>101</v>
      </c>
      <c r="C264" t="s">
        <v>100</v>
      </c>
      <c r="D264" t="s">
        <v>35</v>
      </c>
      <c r="E264" t="s">
        <v>49</v>
      </c>
      <c r="F264" t="s">
        <v>19</v>
      </c>
      <c r="G264" t="s">
        <v>96</v>
      </c>
      <c r="H264" t="s">
        <v>102</v>
      </c>
      <c r="I264" t="s">
        <v>22</v>
      </c>
      <c r="J264" t="s">
        <v>147</v>
      </c>
      <c r="K264" t="s">
        <v>23</v>
      </c>
      <c r="L264">
        <v>397</v>
      </c>
      <c r="M264" s="4">
        <v>29.9411536</v>
      </c>
      <c r="N264" s="4">
        <v>44.097648823542052</v>
      </c>
      <c r="O264" s="4">
        <v>2.2555589423837258E-2</v>
      </c>
      <c r="P264" s="1" t="str">
        <f>HYPERLINK(".\sm_car_250703_0822\sm_car_Axle3_250703_0822_263_CaAxle3_010TrK_MaWOT_DrSt_ode23t_1.png","figure")</f>
        <v>figure</v>
      </c>
      <c r="Q264" t="s">
        <v>15</v>
      </c>
      <c r="U264">
        <f>L264-'2024b_250702_1901'!L264</f>
        <v>0</v>
      </c>
      <c r="V264" s="7">
        <f>U264/'2024b_250702_1901'!L264</f>
        <v>0</v>
      </c>
      <c r="W264" s="4">
        <f>M264-'2024b_250702_1901'!M264</f>
        <v>-2.3268325000000019</v>
      </c>
      <c r="X264" s="7">
        <f>W264/'2024b_250702_1901'!M264</f>
        <v>-7.2109628806366746E-2</v>
      </c>
    </row>
    <row r="265" spans="1:24" x14ac:dyDescent="0.25">
      <c r="A265">
        <v>264</v>
      </c>
      <c r="B265" t="s">
        <v>101</v>
      </c>
      <c r="C265" t="s">
        <v>100</v>
      </c>
      <c r="D265" t="s">
        <v>35</v>
      </c>
      <c r="E265" t="s">
        <v>49</v>
      </c>
      <c r="F265" t="s">
        <v>19</v>
      </c>
      <c r="G265" t="s">
        <v>96</v>
      </c>
      <c r="H265" t="s">
        <v>102</v>
      </c>
      <c r="I265" t="s">
        <v>22</v>
      </c>
      <c r="J265" t="s">
        <v>147</v>
      </c>
      <c r="K265" t="s">
        <v>23</v>
      </c>
      <c r="L265">
        <v>402</v>
      </c>
      <c r="M265" s="4">
        <v>30.726808299999998</v>
      </c>
      <c r="N265" s="4">
        <v>44.314193373564471</v>
      </c>
      <c r="O265" s="4">
        <v>2.2833167111302448E-2</v>
      </c>
      <c r="P265" s="1" t="str">
        <f>HYPERLINK(".\sm_car_250703_0822\sm_car_Axle3_250703_0822_264_CaAxle3_010TrK_MaWOT_DrSt_ode23t_1.png","figure")</f>
        <v>figure</v>
      </c>
      <c r="Q265" t="s">
        <v>15</v>
      </c>
      <c r="U265">
        <f>L265-'2024b_250702_1901'!L265</f>
        <v>0</v>
      </c>
      <c r="V265" s="7">
        <f>U265/'2024b_250702_1901'!L265</f>
        <v>0</v>
      </c>
      <c r="W265" s="4">
        <f>M265-'2024b_250702_1901'!M265</f>
        <v>-0.9101050000000015</v>
      </c>
      <c r="X265" s="7">
        <f>W265/'2024b_250702_1901'!M265</f>
        <v>-2.8767186968268535E-2</v>
      </c>
    </row>
    <row r="266" spans="1:24" x14ac:dyDescent="0.25">
      <c r="A266">
        <v>265</v>
      </c>
      <c r="B266" t="s">
        <v>115</v>
      </c>
      <c r="C266" t="s">
        <v>100</v>
      </c>
      <c r="D266" t="s">
        <v>35</v>
      </c>
      <c r="E266" t="s">
        <v>107</v>
      </c>
      <c r="F266" t="s">
        <v>19</v>
      </c>
      <c r="G266" t="s">
        <v>96</v>
      </c>
      <c r="H266" t="s">
        <v>102</v>
      </c>
      <c r="I266" t="s">
        <v>22</v>
      </c>
      <c r="J266" t="s">
        <v>147</v>
      </c>
      <c r="K266" t="s">
        <v>23</v>
      </c>
      <c r="L266">
        <v>398</v>
      </c>
      <c r="M266" s="4">
        <v>3.2659940999999999</v>
      </c>
      <c r="N266" s="4">
        <v>48.183517735580182</v>
      </c>
      <c r="O266" s="4">
        <v>2.647448833490966E-2</v>
      </c>
      <c r="P266" s="1" t="str">
        <f>HYPERLINK(".\sm_car_250703_0822\sm_car_Axle3_250703_0822_265_CaAxle3_019TrK_MaWOT_DrSt_ode23t_1.png","figure")</f>
        <v>figure</v>
      </c>
      <c r="Q266" t="s">
        <v>15</v>
      </c>
      <c r="U266">
        <f>L266-'2024b_250702_1901'!L266</f>
        <v>0</v>
      </c>
      <c r="V266" s="7">
        <f>U266/'2024b_250702_1901'!L266</f>
        <v>0</v>
      </c>
      <c r="W266" s="4">
        <f>M266-'2024b_250702_1901'!M266</f>
        <v>-9.4651300000000216E-2</v>
      </c>
      <c r="X266" s="7">
        <f>W266/'2024b_250702_1901'!M266</f>
        <v>-2.8164619807850066E-2</v>
      </c>
    </row>
    <row r="267" spans="1:24" x14ac:dyDescent="0.25">
      <c r="A267">
        <v>266</v>
      </c>
      <c r="B267" t="s">
        <v>115</v>
      </c>
      <c r="C267" t="s">
        <v>100</v>
      </c>
      <c r="D267" t="s">
        <v>35</v>
      </c>
      <c r="E267" t="s">
        <v>107</v>
      </c>
      <c r="F267" t="s">
        <v>19</v>
      </c>
      <c r="G267" t="s">
        <v>96</v>
      </c>
      <c r="H267" t="s">
        <v>102</v>
      </c>
      <c r="I267" t="s">
        <v>22</v>
      </c>
      <c r="J267" t="s">
        <v>147</v>
      </c>
      <c r="K267" t="s">
        <v>23</v>
      </c>
      <c r="L267">
        <v>401</v>
      </c>
      <c r="M267" s="4">
        <v>3.4042039000000002</v>
      </c>
      <c r="N267" s="4">
        <v>48.11311198093636</v>
      </c>
      <c r="O267" s="4">
        <v>2.6374434499469898E-2</v>
      </c>
      <c r="P267" s="1" t="str">
        <f>HYPERLINK(".\sm_car_250703_0822\sm_car_Axle3_250703_0822_266_CaAxle3_019TrK_MaWOT_DrSt_ode23t_1.png","figure")</f>
        <v>figure</v>
      </c>
      <c r="Q267" t="s">
        <v>15</v>
      </c>
      <c r="U267">
        <f>L267-'2024b_250702_1901'!L267</f>
        <v>0</v>
      </c>
      <c r="V267" s="7">
        <f>U267/'2024b_250702_1901'!L267</f>
        <v>0</v>
      </c>
      <c r="W267" s="4">
        <f>M267-'2024b_250702_1901'!M267</f>
        <v>2.9559800000000358E-2</v>
      </c>
      <c r="X267" s="7">
        <f>W267/'2024b_250702_1901'!M267</f>
        <v>8.7593829524127767E-3</v>
      </c>
    </row>
    <row r="268" spans="1:24" x14ac:dyDescent="0.25">
      <c r="A268">
        <v>267</v>
      </c>
      <c r="B268" t="s">
        <v>115</v>
      </c>
      <c r="C268" t="s">
        <v>100</v>
      </c>
      <c r="D268" t="s">
        <v>35</v>
      </c>
      <c r="E268" t="s">
        <v>107</v>
      </c>
      <c r="F268" t="s">
        <v>19</v>
      </c>
      <c r="G268" t="s">
        <v>96</v>
      </c>
      <c r="H268" t="s">
        <v>102</v>
      </c>
      <c r="I268" t="s">
        <v>53</v>
      </c>
      <c r="J268" t="s">
        <v>147</v>
      </c>
      <c r="K268" t="s">
        <v>23</v>
      </c>
      <c r="L268">
        <v>639</v>
      </c>
      <c r="M268" s="4">
        <v>4.4117175</v>
      </c>
      <c r="N268" s="4">
        <v>256.05995678451507</v>
      </c>
      <c r="O268" s="4">
        <v>-0.11789203203038578</v>
      </c>
      <c r="P268" s="1" t="str">
        <f>HYPERLINK(".\sm_car_250703_0822\sm_car_Axle3_250703_0822_267_CaAxle3_019TrK_MaDLC_DrSt_ode23t_1.png","figure")</f>
        <v>figure</v>
      </c>
      <c r="Q268" t="s">
        <v>15</v>
      </c>
      <c r="U268">
        <f>L268-'2024b_250702_1901'!L268</f>
        <v>-8</v>
      </c>
      <c r="V268" s="7">
        <f>U268/'2024b_250702_1901'!L268</f>
        <v>-1.2364760432766615E-2</v>
      </c>
      <c r="W268" s="4">
        <f>M268-'2024b_250702_1901'!M268</f>
        <v>-8.7765899999999952E-2</v>
      </c>
      <c r="X268" s="7">
        <f>W268/'2024b_250702_1901'!M268</f>
        <v>-1.9505772596027347E-2</v>
      </c>
    </row>
    <row r="269" spans="1:24" x14ac:dyDescent="0.25">
      <c r="A269">
        <v>268</v>
      </c>
      <c r="B269" t="s">
        <v>115</v>
      </c>
      <c r="C269" t="s">
        <v>100</v>
      </c>
      <c r="D269" t="s">
        <v>35</v>
      </c>
      <c r="E269" t="s">
        <v>107</v>
      </c>
      <c r="F269" t="s">
        <v>19</v>
      </c>
      <c r="G269" t="s">
        <v>96</v>
      </c>
      <c r="H269" t="s">
        <v>102</v>
      </c>
      <c r="I269" t="s">
        <v>53</v>
      </c>
      <c r="J269" t="s">
        <v>147</v>
      </c>
      <c r="K269" t="s">
        <v>23</v>
      </c>
      <c r="L269">
        <v>790</v>
      </c>
      <c r="M269" s="4">
        <v>5.1103345999999998</v>
      </c>
      <c r="N269" s="4">
        <v>253.86189296510219</v>
      </c>
      <c r="O269" s="4">
        <v>-0.11422532994398082</v>
      </c>
      <c r="P269" s="1" t="str">
        <f>HYPERLINK(".\sm_car_250703_0822\sm_car_Axle3_250703_0822_268_CaAxle3_019TrK_MaDLC_DrSt_ode23t_1.png","figure")</f>
        <v>figure</v>
      </c>
      <c r="Q269" t="s">
        <v>15</v>
      </c>
      <c r="U269">
        <f>L269-'2024b_250702_1901'!L269</f>
        <v>6</v>
      </c>
      <c r="V269" s="7">
        <f>U269/'2024b_250702_1901'!L269</f>
        <v>7.6530612244897957E-3</v>
      </c>
      <c r="W269" s="4">
        <f>M269-'2024b_250702_1901'!M269</f>
        <v>0.19399669999999958</v>
      </c>
      <c r="X269" s="7">
        <f>W269/'2024b_250702_1901'!M269</f>
        <v>3.9459594508343208E-2</v>
      </c>
    </row>
    <row r="270" spans="1:24" x14ac:dyDescent="0.25">
      <c r="A270">
        <v>269</v>
      </c>
      <c r="B270" t="s">
        <v>115</v>
      </c>
      <c r="C270" t="s">
        <v>100</v>
      </c>
      <c r="D270" t="s">
        <v>35</v>
      </c>
      <c r="E270" t="s">
        <v>107</v>
      </c>
      <c r="F270" t="s">
        <v>19</v>
      </c>
      <c r="G270" t="s">
        <v>96</v>
      </c>
      <c r="H270" t="s">
        <v>102</v>
      </c>
      <c r="I270" t="s">
        <v>53</v>
      </c>
      <c r="J270" t="s">
        <v>147</v>
      </c>
      <c r="K270" t="s">
        <v>23</v>
      </c>
      <c r="L270">
        <v>621</v>
      </c>
      <c r="M270" s="4">
        <v>4.0669046</v>
      </c>
      <c r="N270" s="4">
        <v>255.58831181842231</v>
      </c>
      <c r="O270" s="4">
        <v>-0.11612965251651008</v>
      </c>
      <c r="P270" s="1" t="str">
        <f>HYPERLINK(".\sm_car_250703_0822\sm_car_Axle3_250703_0822_269_CaAxle3_019TrK_MaDLC_DrSt_ode23t_1.png","figure")</f>
        <v>figure</v>
      </c>
      <c r="Q270" t="s">
        <v>15</v>
      </c>
      <c r="U270">
        <f>L270-'2024b_250702_1901'!L270</f>
        <v>-19</v>
      </c>
      <c r="V270" s="7">
        <f>U270/'2024b_250702_1901'!L270</f>
        <v>-2.9687499999999999E-2</v>
      </c>
      <c r="W270" s="4">
        <f>M270-'2024b_250702_1901'!M270</f>
        <v>-0.67731790000000025</v>
      </c>
      <c r="X270" s="7">
        <f>W270/'2024b_250702_1901'!M270</f>
        <v>-0.14276689172988835</v>
      </c>
    </row>
    <row r="271" spans="1:24" x14ac:dyDescent="0.25">
      <c r="A271">
        <v>270</v>
      </c>
      <c r="B271" t="s">
        <v>115</v>
      </c>
      <c r="C271" t="s">
        <v>100</v>
      </c>
      <c r="D271" t="s">
        <v>35</v>
      </c>
      <c r="E271" t="s">
        <v>107</v>
      </c>
      <c r="F271" t="s">
        <v>19</v>
      </c>
      <c r="G271" t="s">
        <v>96</v>
      </c>
      <c r="H271" t="s">
        <v>102</v>
      </c>
      <c r="I271" t="s">
        <v>53</v>
      </c>
      <c r="J271" t="s">
        <v>147</v>
      </c>
      <c r="K271" t="s">
        <v>23</v>
      </c>
      <c r="L271">
        <v>829</v>
      </c>
      <c r="M271" s="4">
        <v>4.7983088</v>
      </c>
      <c r="N271" s="4">
        <v>253.53408599780585</v>
      </c>
      <c r="O271" s="4">
        <v>-0.10592471330514641</v>
      </c>
      <c r="P271" s="1" t="str">
        <f>HYPERLINK(".\sm_car_250703_0822\sm_car_Axle3_250703_0822_270_CaAxle3_019TrK_MaDLC_DrSt_ode23t_1.png","figure")</f>
        <v>figure</v>
      </c>
      <c r="Q271" t="s">
        <v>15</v>
      </c>
      <c r="U271">
        <f>L271-'2024b_250702_1901'!L271</f>
        <v>1</v>
      </c>
      <c r="V271" s="7">
        <f>U271/'2024b_250702_1901'!L271</f>
        <v>1.2077294685990338E-3</v>
      </c>
      <c r="W271" s="4">
        <f>M271-'2024b_250702_1901'!M271</f>
        <v>-0.63806340000000006</v>
      </c>
      <c r="X271" s="7">
        <f>W271/'2024b_250702_1901'!M271</f>
        <v>-0.11736933685298442</v>
      </c>
    </row>
    <row r="272" spans="1:24" x14ac:dyDescent="0.25">
      <c r="A272">
        <v>271</v>
      </c>
      <c r="B272" t="s">
        <v>142</v>
      </c>
      <c r="C272" t="s">
        <v>143</v>
      </c>
      <c r="D272" t="s">
        <v>35</v>
      </c>
      <c r="E272" t="s">
        <v>49</v>
      </c>
      <c r="F272" t="s">
        <v>19</v>
      </c>
      <c r="G272" t="s">
        <v>96</v>
      </c>
      <c r="H272" t="s">
        <v>102</v>
      </c>
      <c r="I272" t="s">
        <v>22</v>
      </c>
      <c r="J272" t="s">
        <v>147</v>
      </c>
      <c r="K272" t="s">
        <v>23</v>
      </c>
      <c r="L272">
        <v>379</v>
      </c>
      <c r="M272" s="4">
        <v>2.769409</v>
      </c>
      <c r="N272" s="4">
        <v>136.8292365848659</v>
      </c>
      <c r="O272" s="4">
        <v>0.19635509688312741</v>
      </c>
      <c r="P272" s="1" t="str">
        <f>HYPERLINK(".\sm_car_250703_0822\sm_car_Axle3_250703_0822_271_CaAxle3_023TrK_MaWOT_DrSt_ode23t_1.png","figure")</f>
        <v>figure</v>
      </c>
      <c r="Q272" t="s">
        <v>15</v>
      </c>
      <c r="U272">
        <f>L272-'2024b_250702_1901'!L272</f>
        <v>4</v>
      </c>
      <c r="V272" s="7">
        <f>U272/'2024b_250702_1901'!L272</f>
        <v>1.0666666666666666E-2</v>
      </c>
      <c r="W272" s="4">
        <f>M272-'2024b_250702_1901'!M272</f>
        <v>-0.13865140000000009</v>
      </c>
      <c r="X272" s="7">
        <f>W272/'2024b_250702_1901'!M272</f>
        <v>-4.7678308194699148E-2</v>
      </c>
    </row>
  </sheetData>
  <autoFilter ref="A1:Q272" xr:uid="{FED0F048-4D14-4ACA-8475-22A424FF8D9E}"/>
  <conditionalFormatting sqref="M2:M27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{0D49BAA6-F261-4037-BDDD-E822BFA8A01B}</x14:id>
        </ext>
      </extLst>
    </cfRule>
  </conditionalFormatting>
  <conditionalFormatting sqref="V2:V27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{E4000A3C-FC98-44B5-838B-1B4048AA994D}</x14:id>
        </ext>
      </extLst>
    </cfRule>
  </conditionalFormatting>
  <conditionalFormatting sqref="W2:W27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{88DE300B-A50F-4CF2-83A3-526FA6C83B38}</x14:id>
        </ext>
      </extLst>
    </cfRule>
  </conditionalFormatting>
  <conditionalFormatting sqref="X2:X27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{8DCF17B7-A94B-44BF-A726-770093A4872A}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49BAA6-F261-4037-BDDD-E822BFA8A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M2:M272</xm:sqref>
        </x14:conditionalFormatting>
        <x14:conditionalFormatting xmlns:xm="http://schemas.microsoft.com/office/excel/2006/main">
          <x14:cfRule type="dataBar" id="{E4000A3C-FC98-44B5-838B-1B4048AA9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V2:V272</xm:sqref>
        </x14:conditionalFormatting>
        <x14:conditionalFormatting xmlns:xm="http://schemas.microsoft.com/office/excel/2006/main">
          <x14:cfRule type="dataBar" id="{88DE300B-A50F-4CF2-83A3-526FA6C83B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W2:W272</xm:sqref>
        </x14:conditionalFormatting>
        <x14:conditionalFormatting xmlns:xm="http://schemas.microsoft.com/office/excel/2006/main">
          <x14:cfRule type="dataBar" id="{8DCF17B7-A94B-44BF-A726-770093A48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X2:X272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2024b_250205_2227</vt:lpstr>
      <vt:lpstr>2024b_250206_2041</vt:lpstr>
      <vt:lpstr>2024b_250207_0944</vt:lpstr>
      <vt:lpstr>2024b_250419_1657</vt:lpstr>
      <vt:lpstr>2024b_250504_0030</vt:lpstr>
      <vt:lpstr>2024b_250702_1901</vt:lpstr>
      <vt:lpstr>2024b_250703_0822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2025-07-03T10:09:16Z</dcterms:modified>
</cp:coreProperties>
</file>