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miller\simscape\demo\allsimscape\cars\vehicle-templates\SimResults\"/>
    </mc:Choice>
  </mc:AlternateContent>
  <xr:revisionPtr revIDLastSave="0" documentId="8_{40C90B1A-819D-470C-9F2C-212F8C50BBF4}" xr6:coauthVersionLast="47" xr6:coauthVersionMax="47" xr10:uidLastSave="{00000000-0000-0000-0000-000000000000}"/>
  <bookViews>
    <workbookView xWindow="3240" yWindow="2010" windowWidth="21600" windowHeight="11385" xr2:uid="{EAE9BBD6-CBB4-4176-A31A-41C264A3666C}"/>
  </bookViews>
  <sheets>
    <sheet name="2024a_250419_2207" sheetId="21" r:id="rId1"/>
  </sheets>
  <definedNames>
    <definedName name="_xlnm._FilterDatabase" localSheetId="0" hidden="1">'2024a_250419_2207'!$A$1:$P$286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21" l="1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39" i="21"/>
  <c r="O40" i="21"/>
  <c r="O41" i="21"/>
  <c r="O42" i="21"/>
  <c r="O43" i="21"/>
  <c r="O44" i="21"/>
  <c r="O45" i="21"/>
  <c r="O46" i="21"/>
  <c r="O47" i="21"/>
  <c r="O48" i="21"/>
  <c r="O49" i="21"/>
  <c r="O50" i="21"/>
  <c r="O51" i="21"/>
  <c r="O52" i="21"/>
  <c r="O53" i="21"/>
  <c r="O54" i="21"/>
  <c r="O55" i="21"/>
  <c r="O56" i="21"/>
  <c r="O57" i="21"/>
  <c r="O58" i="21"/>
  <c r="O59" i="21"/>
  <c r="O60" i="21"/>
  <c r="O61" i="21"/>
  <c r="O62" i="21"/>
  <c r="O63" i="21"/>
  <c r="O64" i="21"/>
  <c r="O65" i="21"/>
  <c r="O66" i="21"/>
  <c r="O67" i="21"/>
  <c r="O68" i="21"/>
  <c r="O69" i="21"/>
  <c r="O70" i="21"/>
  <c r="O71" i="21"/>
  <c r="O72" i="21"/>
  <c r="O73" i="21"/>
  <c r="O74" i="21"/>
  <c r="O75" i="21"/>
  <c r="O76" i="21"/>
  <c r="O77" i="21"/>
  <c r="O78" i="21"/>
  <c r="O79" i="21"/>
  <c r="O80" i="21"/>
  <c r="O81" i="21"/>
  <c r="O82" i="21"/>
  <c r="O83" i="21"/>
  <c r="O84" i="21"/>
  <c r="O85" i="21"/>
  <c r="O86" i="21"/>
  <c r="O87" i="21"/>
  <c r="O88" i="21"/>
  <c r="O89" i="21"/>
  <c r="O90" i="21"/>
  <c r="O91" i="21"/>
  <c r="O92" i="21"/>
  <c r="O93" i="21"/>
  <c r="O94" i="21"/>
  <c r="O95" i="21"/>
  <c r="O96" i="21"/>
  <c r="O97" i="21"/>
  <c r="O98" i="21"/>
  <c r="O99" i="21"/>
  <c r="O100" i="21"/>
  <c r="O101" i="21"/>
  <c r="O102" i="21"/>
  <c r="O103" i="21"/>
  <c r="O104" i="21"/>
  <c r="O105" i="21"/>
  <c r="O106" i="21"/>
  <c r="O107" i="21"/>
  <c r="O108" i="21"/>
  <c r="O109" i="21"/>
  <c r="O110" i="21"/>
  <c r="O111" i="21"/>
  <c r="O112" i="21"/>
  <c r="O113" i="21"/>
  <c r="O114" i="21"/>
  <c r="O115" i="21"/>
  <c r="O116" i="21"/>
  <c r="O117" i="21"/>
  <c r="O118" i="21"/>
  <c r="O119" i="21"/>
  <c r="O120" i="21"/>
  <c r="O121" i="21"/>
  <c r="O122" i="21"/>
  <c r="O123" i="21"/>
  <c r="O124" i="21"/>
  <c r="O125" i="21"/>
  <c r="O126" i="21"/>
  <c r="O127" i="21"/>
  <c r="O128" i="21"/>
  <c r="O129" i="21"/>
  <c r="O130" i="21"/>
  <c r="O131" i="21"/>
  <c r="O132" i="21"/>
  <c r="O133" i="21"/>
  <c r="O134" i="21"/>
  <c r="O135" i="21"/>
  <c r="O136" i="21"/>
  <c r="O137" i="21"/>
  <c r="O138" i="21"/>
  <c r="O139" i="21"/>
  <c r="O140" i="21"/>
  <c r="O141" i="21"/>
  <c r="O142" i="21"/>
  <c r="O143" i="21"/>
  <c r="O144" i="21"/>
  <c r="O145" i="21"/>
  <c r="O146" i="21"/>
  <c r="O147" i="21"/>
  <c r="O148" i="21"/>
  <c r="O149" i="21"/>
  <c r="O150" i="21"/>
  <c r="O151" i="21"/>
  <c r="O152" i="21"/>
  <c r="O153" i="21"/>
  <c r="O154" i="21"/>
  <c r="O155" i="21"/>
  <c r="O156" i="21"/>
  <c r="O157" i="21"/>
  <c r="O158" i="21"/>
  <c r="O159" i="21"/>
  <c r="O160" i="21"/>
  <c r="O161" i="21"/>
  <c r="O162" i="21"/>
  <c r="O163" i="21"/>
  <c r="O164" i="21"/>
  <c r="O165" i="21"/>
  <c r="O166" i="21"/>
  <c r="O167" i="21"/>
  <c r="O168" i="21"/>
  <c r="O169" i="21"/>
  <c r="O170" i="21"/>
  <c r="O171" i="21"/>
  <c r="O172" i="21"/>
  <c r="O173" i="21"/>
  <c r="O174" i="21"/>
  <c r="O175" i="21"/>
  <c r="O176" i="21"/>
  <c r="O177" i="21"/>
  <c r="O178" i="21"/>
  <c r="O179" i="21"/>
  <c r="O180" i="21"/>
  <c r="O181" i="21"/>
  <c r="O182" i="21"/>
  <c r="O183" i="21"/>
  <c r="O184" i="21"/>
  <c r="O185" i="21"/>
  <c r="O186" i="21"/>
  <c r="O187" i="21"/>
  <c r="O188" i="21"/>
  <c r="O189" i="21"/>
  <c r="O190" i="21"/>
  <c r="O191" i="21"/>
  <c r="O192" i="21"/>
  <c r="O193" i="21"/>
  <c r="O194" i="21"/>
  <c r="O195" i="21"/>
  <c r="O196" i="21"/>
  <c r="O197" i="21"/>
  <c r="O198" i="21"/>
  <c r="O199" i="21"/>
  <c r="O200" i="21"/>
  <c r="O201" i="21"/>
  <c r="O202" i="21"/>
  <c r="O203" i="21"/>
  <c r="O204" i="21"/>
  <c r="O205" i="21"/>
  <c r="O206" i="21"/>
  <c r="O207" i="21"/>
  <c r="O208" i="21"/>
  <c r="O209" i="21"/>
  <c r="O210" i="21"/>
  <c r="O211" i="21"/>
  <c r="O212" i="21"/>
  <c r="O213" i="21"/>
  <c r="O214" i="21"/>
  <c r="O215" i="21"/>
  <c r="O216" i="21"/>
  <c r="O217" i="21"/>
  <c r="O218" i="21"/>
  <c r="O219" i="21"/>
  <c r="O220" i="21"/>
  <c r="O221" i="21"/>
  <c r="O222" i="21"/>
  <c r="O223" i="21"/>
  <c r="O224" i="21"/>
  <c r="O225" i="21"/>
  <c r="O226" i="21"/>
  <c r="O227" i="21"/>
  <c r="O228" i="21"/>
  <c r="O229" i="21"/>
  <c r="O230" i="21"/>
  <c r="O231" i="21"/>
  <c r="O232" i="21"/>
  <c r="O233" i="21"/>
  <c r="O234" i="21"/>
  <c r="O235" i="21"/>
  <c r="O236" i="21"/>
  <c r="O237" i="21"/>
  <c r="O238" i="21"/>
  <c r="O239" i="21"/>
  <c r="O240" i="21"/>
  <c r="O241" i="21"/>
  <c r="O242" i="21"/>
  <c r="O243" i="21"/>
  <c r="O244" i="21"/>
  <c r="O245" i="21"/>
  <c r="O246" i="21"/>
  <c r="O247" i="21"/>
  <c r="O248" i="21"/>
  <c r="O249" i="21"/>
  <c r="O250" i="21"/>
  <c r="O251" i="21"/>
  <c r="O252" i="21"/>
  <c r="O253" i="21"/>
  <c r="O254" i="21"/>
  <c r="O255" i="21"/>
  <c r="O256" i="21"/>
  <c r="O257" i="21"/>
  <c r="O258" i="21"/>
  <c r="O259" i="21"/>
  <c r="O260" i="21"/>
  <c r="O261" i="21"/>
  <c r="O262" i="21"/>
  <c r="O263" i="21"/>
  <c r="O264" i="21"/>
  <c r="O265" i="21"/>
  <c r="O266" i="21"/>
  <c r="O267" i="21"/>
  <c r="O268" i="21"/>
  <c r="O269" i="21"/>
  <c r="O270" i="21"/>
  <c r="O271" i="21"/>
  <c r="O272" i="21"/>
  <c r="O273" i="21"/>
  <c r="O274" i="21"/>
  <c r="O275" i="21"/>
  <c r="O276" i="21"/>
  <c r="O277" i="21"/>
  <c r="O278" i="21"/>
  <c r="O279" i="21"/>
  <c r="O280" i="21"/>
  <c r="O281" i="21"/>
  <c r="O282" i="21"/>
  <c r="O283" i="21"/>
  <c r="O284" i="21"/>
  <c r="O285" i="21"/>
  <c r="O286" i="21"/>
</calcChain>
</file>

<file path=xl/sharedStrings.xml><?xml version="1.0" encoding="utf-8"?>
<sst xmlns="http://schemas.openxmlformats.org/spreadsheetml/2006/main" count="2598" uniqueCount="132">
  <si>
    <t>Run</t>
  </si>
  <si>
    <t>Preset</t>
  </si>
  <si>
    <t>Body</t>
  </si>
  <si>
    <t>SuspF</t>
  </si>
  <si>
    <t>Tire</t>
  </si>
  <si>
    <t>TirDyn</t>
  </si>
  <si>
    <t>Drv</t>
  </si>
  <si>
    <t>Trail</t>
  </si>
  <si>
    <t>Mane</t>
  </si>
  <si>
    <t>Solv</t>
  </si>
  <si>
    <t># Steps</t>
  </si>
  <si>
    <t>Time</t>
  </si>
  <si>
    <t>xFinal</t>
  </si>
  <si>
    <t>yFinal</t>
  </si>
  <si>
    <t>Figure</t>
  </si>
  <si>
    <t>Pass</t>
  </si>
  <si>
    <t>HambaLG</t>
  </si>
  <si>
    <t>dwb</t>
  </si>
  <si>
    <t>MFEval</t>
  </si>
  <si>
    <t>steady</t>
  </si>
  <si>
    <t>f1Dr1D</t>
  </si>
  <si>
    <t>None</t>
  </si>
  <si>
    <t>WOT Braking</t>
  </si>
  <si>
    <t>ode23t</t>
  </si>
  <si>
    <t>Low Speed Steer</t>
  </si>
  <si>
    <t>f1D3Dr1D</t>
  </si>
  <si>
    <t>fCVpCVr1D</t>
  </si>
  <si>
    <t>fCVpCVflexr1D</t>
  </si>
  <si>
    <t>lintra</t>
  </si>
  <si>
    <t>dwa</t>
  </si>
  <si>
    <t>S2LAF</t>
  </si>
  <si>
    <t>S2LAR</t>
  </si>
  <si>
    <t>5S2LAF</t>
  </si>
  <si>
    <t>5S2LAR</t>
  </si>
  <si>
    <t>5CS2LAF</t>
  </si>
  <si>
    <t>15DOF</t>
  </si>
  <si>
    <t>oneShaft</t>
  </si>
  <si>
    <t>fCVrCV</t>
  </si>
  <si>
    <t>1D3DABS</t>
  </si>
  <si>
    <t>sprFnl</t>
  </si>
  <si>
    <t>sprconRnl</t>
  </si>
  <si>
    <t>sprLin</t>
  </si>
  <si>
    <t>daminRnl</t>
  </si>
  <si>
    <t>damconFnl</t>
  </si>
  <si>
    <t>CVCVp1D</t>
  </si>
  <si>
    <t>Hamba</t>
  </si>
  <si>
    <t>Makhulu</t>
  </si>
  <si>
    <t>MFEval2x</t>
  </si>
  <si>
    <t>CFL</t>
  </si>
  <si>
    <t>MFSwift</t>
  </si>
  <si>
    <t>MFSwift2x</t>
  </si>
  <si>
    <t>E2sha</t>
  </si>
  <si>
    <t>E3sha</t>
  </si>
  <si>
    <t>Double Lane Change</t>
  </si>
  <si>
    <t>Ice Patch</t>
  </si>
  <si>
    <t>Mallory Park</t>
  </si>
  <si>
    <t>Mallory Park CCW</t>
  </si>
  <si>
    <t>15DOF2MotC</t>
  </si>
  <si>
    <t>15DOF3MotC</t>
  </si>
  <si>
    <t>Rack</t>
  </si>
  <si>
    <t>RackWheel</t>
  </si>
  <si>
    <t>RackStaticShafts</t>
  </si>
  <si>
    <t>WheelDrivenRack</t>
  </si>
  <si>
    <t>ode3</t>
  </si>
  <si>
    <t>Turn</t>
  </si>
  <si>
    <t>Elula</t>
  </si>
  <si>
    <t>Thwala</t>
  </si>
  <si>
    <t>Trailer Disturbance</t>
  </si>
  <si>
    <t>TestrigPost</t>
  </si>
  <si>
    <t>Testrig 4 Post</t>
  </si>
  <si>
    <t>Skidpad</t>
  </si>
  <si>
    <t>Constant Radius Closed-Loop</t>
  </si>
  <si>
    <t>Delft</t>
  </si>
  <si>
    <t>RDF Plateau</t>
  </si>
  <si>
    <t>Plateau Z Only</t>
  </si>
  <si>
    <t>CRG Plateau</t>
  </si>
  <si>
    <t>RDF Rough Road</t>
  </si>
  <si>
    <t>Rough Road Z Only</t>
  </si>
  <si>
    <t>CRG Mallory Park</t>
  </si>
  <si>
    <t>CRG Mallory Park F</t>
  </si>
  <si>
    <t>Mallory Park Obstacle</t>
  </si>
  <si>
    <t>MCity</t>
  </si>
  <si>
    <t>CRG Kyalami</t>
  </si>
  <si>
    <t>CRG Kyalami F</t>
  </si>
  <si>
    <t>CRG Nurburgring N</t>
  </si>
  <si>
    <t>CRG Nurburgring N F</t>
  </si>
  <si>
    <t>CRG Suzuka</t>
  </si>
  <si>
    <t>CRG Suzuka F</t>
  </si>
  <si>
    <t>CRG Pikes Peak</t>
  </si>
  <si>
    <t>CRG Pikes Peak Down</t>
  </si>
  <si>
    <t>fwd3D</t>
  </si>
  <si>
    <t>Drive Cycle FTP75</t>
  </si>
  <si>
    <t>daessc</t>
  </si>
  <si>
    <t>Drive Cycle UrbanCycle1</t>
  </si>
  <si>
    <t>Axle3_000</t>
  </si>
  <si>
    <t>Makhulu3Axle</t>
  </si>
  <si>
    <t>6x2</t>
  </si>
  <si>
    <t>Axle3_003</t>
  </si>
  <si>
    <t>6x4</t>
  </si>
  <si>
    <t>Axle3_008</t>
  </si>
  <si>
    <t>Amandla3Axle</t>
  </si>
  <si>
    <t>Axle3_010</t>
  </si>
  <si>
    <t>Kumanzi</t>
  </si>
  <si>
    <t>Axle3_012</t>
  </si>
  <si>
    <t>6x2Gen</t>
  </si>
  <si>
    <t>Achilles</t>
  </si>
  <si>
    <t>dwdec</t>
  </si>
  <si>
    <t>MFMbody</t>
  </si>
  <si>
    <t>RackDrivenShafts</t>
  </si>
  <si>
    <t>MFMbody2x</t>
  </si>
  <si>
    <t>CRG Hockenheim</t>
  </si>
  <si>
    <t>CRG Hockenheim F</t>
  </si>
  <si>
    <t>CRG Rough Road</t>
  </si>
  <si>
    <t>15DOF2Mot</t>
  </si>
  <si>
    <t>Axle3_017</t>
  </si>
  <si>
    <t>Axle3_019</t>
  </si>
  <si>
    <t>MUC-VIDEOSTUDIO</t>
  </si>
  <si>
    <t>24.1.0.2689473 (R2024a) Update 6</t>
  </si>
  <si>
    <t>MF-Swift Version: 2312</t>
  </si>
  <si>
    <t>dwpull</t>
  </si>
  <si>
    <t>bushings</t>
  </si>
  <si>
    <t>4MotorCool</t>
  </si>
  <si>
    <t>MacPh</t>
  </si>
  <si>
    <t>dwbAU</t>
  </si>
  <si>
    <t>dwpush</t>
  </si>
  <si>
    <t>TwistBeam</t>
  </si>
  <si>
    <t>Fishhook</t>
  </si>
  <si>
    <t>Sine With Dwell</t>
  </si>
  <si>
    <t>Ramp Steer</t>
  </si>
  <si>
    <t>Slalom</t>
  </si>
  <si>
    <t>20-Apr-2025 02:45:35</t>
  </si>
  <si>
    <t>R24a v4p0 KnC Fishhook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</si>
</sst>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quotePrefix="1"/>
    <xf numFmtId="0" fontId="2" fillId="0" borderId="0" xfId="0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55162-8671-4F27-A5D4-286F9C50E193}">
  <dimension ref="A1:R286"/>
  <sheetViews>
    <sheetView tabSelected="1" workbookViewId="0">
      <selection activeCell="L1" sqref="L1:L1048576"/>
    </sheetView>
  </sheetViews>
  <sheetFormatPr defaultRowHeight="15" x14ac:dyDescent="0.25"/>
  <cols>
    <col min="1" max="1" width="4.42578125" bestFit="1" customWidth="1"/>
    <col min="2" max="2" width="10" bestFit="1" customWidth="1"/>
    <col min="3" max="3" width="14" bestFit="1" customWidth="1"/>
    <col min="4" max="4" width="12.42578125" bestFit="1" customWidth="1"/>
    <col min="5" max="5" width="11.85546875" bestFit="1" customWidth="1"/>
    <col min="6" max="6" width="11.42578125" bestFit="1" customWidth="1"/>
    <col min="7" max="7" width="16.85546875" bestFit="1" customWidth="1"/>
    <col min="8" max="8" width="8.5703125" bestFit="1" customWidth="1"/>
    <col min="9" max="9" width="27.140625" bestFit="1" customWidth="1"/>
    <col min="10" max="10" width="7.140625" bestFit="1" customWidth="1"/>
    <col min="11" max="11" width="7.28515625" bestFit="1" customWidth="1"/>
    <col min="12" max="12" width="7.5703125" bestFit="1" customWidth="1"/>
    <col min="13" max="13" width="8.5703125" bestFit="1" customWidth="1"/>
    <col min="14" max="14" width="9.28515625" bestFit="1" customWidth="1"/>
    <col min="15" max="15" width="6.5703125" bestFit="1" customWidth="1"/>
    <col min="16" max="16" width="4.85546875" bestFit="1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2" t="s">
        <v>130</v>
      </c>
    </row>
    <row r="2" spans="1:18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421</v>
      </c>
      <c r="L2" s="4">
        <v>12.4785921</v>
      </c>
      <c r="M2" s="4">
        <v>231.1974575922238</v>
      </c>
      <c r="N2" s="4">
        <v>-4.0020856526026142E-3</v>
      </c>
      <c r="O2" s="1" t="str">
        <f>HYPERLINK(".\sm_car_250419_2207\sm_car_250419_2207_001_Ca000TrN_MaWOT_ode23t.png","figure")</f>
        <v>figure</v>
      </c>
      <c r="P2" t="s">
        <v>15</v>
      </c>
      <c r="R2" s="2" t="s">
        <v>116</v>
      </c>
    </row>
    <row r="3" spans="1:18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23</v>
      </c>
      <c r="K3">
        <v>525</v>
      </c>
      <c r="L3" s="4">
        <v>12.7819558</v>
      </c>
      <c r="M3" s="4">
        <v>71.239124124835115</v>
      </c>
      <c r="N3" s="4">
        <v>-0.53692236888604195</v>
      </c>
      <c r="O3" s="1" t="str">
        <f>HYPERLINK(".\sm_car_250419_2207\sm_car_250419_2207_002_Ca000TrN_MaLSS_ode23t.png","figure")</f>
        <v>figure</v>
      </c>
      <c r="P3" t="s">
        <v>15</v>
      </c>
      <c r="R3" s="2" t="s">
        <v>117</v>
      </c>
    </row>
    <row r="4" spans="1:18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23</v>
      </c>
      <c r="K4">
        <v>412</v>
      </c>
      <c r="L4" s="4">
        <v>12.1260531</v>
      </c>
      <c r="M4" s="4">
        <v>230.20343802362143</v>
      </c>
      <c r="N4" s="4">
        <v>-1.3518455801268675E-2</v>
      </c>
      <c r="O4" s="1" t="str">
        <f>HYPERLINK(".\sm_car_250419_2207\sm_car_250419_2207_003_Ca001TrN_MaWOT_ode23t.png","figure")</f>
        <v>figure</v>
      </c>
      <c r="P4" t="s">
        <v>15</v>
      </c>
      <c r="R4" s="2" t="s">
        <v>118</v>
      </c>
    </row>
    <row r="5" spans="1:18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23</v>
      </c>
      <c r="K5">
        <v>534</v>
      </c>
      <c r="L5" s="4">
        <v>15.080421400000001</v>
      </c>
      <c r="M5" s="4">
        <v>70.9592525792185</v>
      </c>
      <c r="N5" s="4">
        <v>-0.53389605746430235</v>
      </c>
      <c r="O5" s="1" t="str">
        <f>HYPERLINK(".\sm_car_250419_2207\sm_car_250419_2207_004_Ca001TrN_MaLSS_ode23t.png","figure")</f>
        <v>figure</v>
      </c>
      <c r="P5" t="s">
        <v>15</v>
      </c>
      <c r="R5" t="s">
        <v>131</v>
      </c>
    </row>
    <row r="6" spans="1:18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23</v>
      </c>
      <c r="K6">
        <v>460</v>
      </c>
      <c r="L6" s="4">
        <v>20.328727900000001</v>
      </c>
      <c r="M6" s="4">
        <v>230.39218785739345</v>
      </c>
      <c r="N6" s="4">
        <v>5.2069427740397495E-2</v>
      </c>
      <c r="O6" s="1" t="str">
        <f>HYPERLINK(".\sm_car_250419_2207\sm_car_250419_2207_005_Ca002TrN_MaWOT_ode23t.png","figure")</f>
        <v>figure</v>
      </c>
      <c r="P6" t="s">
        <v>15</v>
      </c>
    </row>
    <row r="7" spans="1:18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23</v>
      </c>
      <c r="K7">
        <v>530</v>
      </c>
      <c r="L7" s="4">
        <v>19.4420739</v>
      </c>
      <c r="M7" s="4">
        <v>70.956782091709215</v>
      </c>
      <c r="N7" s="4">
        <v>-0.52879492911994441</v>
      </c>
      <c r="O7" s="1" t="str">
        <f>HYPERLINK(".\sm_car_250419_2207\sm_car_250419_2207_006_Ca002TrN_MaLSS_ode23t.png","figure")</f>
        <v>figure</v>
      </c>
      <c r="P7" t="s">
        <v>15</v>
      </c>
    </row>
    <row r="8" spans="1:18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23</v>
      </c>
      <c r="K8">
        <v>487</v>
      </c>
      <c r="L8" s="4">
        <v>20.8185316</v>
      </c>
      <c r="M8" s="4">
        <v>229.97475931781639</v>
      </c>
      <c r="N8" s="4">
        <v>1.9413448050272387E-2</v>
      </c>
      <c r="O8" s="1" t="str">
        <f>HYPERLINK(".\sm_car_250419_2207\sm_car_250419_2207_007_Ca003TrN_MaWOT_ode23t.png","figure")</f>
        <v>figure</v>
      </c>
      <c r="P8" t="s">
        <v>15</v>
      </c>
    </row>
    <row r="9" spans="1:18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23</v>
      </c>
      <c r="K9">
        <v>549</v>
      </c>
      <c r="L9" s="4">
        <v>19.490876199999999</v>
      </c>
      <c r="M9" s="4">
        <v>70.832230771509984</v>
      </c>
      <c r="N9" s="4">
        <v>-0.52864618541669595</v>
      </c>
      <c r="O9" s="1" t="str">
        <f>HYPERLINK(".\sm_car_250419_2207\sm_car_250419_2207_008_Ca003TrN_MaLSS_ode23t.png","figure")</f>
        <v>figure</v>
      </c>
      <c r="P9" t="s">
        <v>15</v>
      </c>
    </row>
    <row r="10" spans="1:18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23</v>
      </c>
      <c r="K10">
        <v>1094</v>
      </c>
      <c r="L10" s="4">
        <v>18.940828100000001</v>
      </c>
      <c r="M10" s="4">
        <v>231.13183737255312</v>
      </c>
      <c r="N10" s="4">
        <v>-1.1208275411573355E-3</v>
      </c>
      <c r="O10" s="1" t="str">
        <f>HYPERLINK(".\sm_car_250419_2207\sm_car_250419_2207_009_Ca004TrN_MaWOT_ode23t.png","figure")</f>
        <v>figure</v>
      </c>
      <c r="P10" t="s">
        <v>15</v>
      </c>
    </row>
    <row r="11" spans="1:18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23</v>
      </c>
      <c r="K11">
        <v>1201</v>
      </c>
      <c r="L11" s="4">
        <v>20.591342399999998</v>
      </c>
      <c r="M11" s="4">
        <v>71.250407415563757</v>
      </c>
      <c r="N11" s="4">
        <v>-0.54308067327874976</v>
      </c>
      <c r="O11" s="1" t="str">
        <f>HYPERLINK(".\sm_car_250419_2207\sm_car_250419_2207_010_Ca004TrN_MaLSS_ode23t.png","figure")</f>
        <v>figure</v>
      </c>
      <c r="P11" t="s">
        <v>15</v>
      </c>
    </row>
    <row r="12" spans="1:18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23</v>
      </c>
      <c r="K12">
        <v>1114</v>
      </c>
      <c r="L12" s="4">
        <v>21.117498000000001</v>
      </c>
      <c r="M12" s="4">
        <v>230.1312890077879</v>
      </c>
      <c r="N12" s="4">
        <v>-1.1678071841017658E-2</v>
      </c>
      <c r="O12" s="1" t="str">
        <f>HYPERLINK(".\sm_car_250419_2207\sm_car_250419_2207_011_Ca005TrN_MaWOT_ode23t.png","figure")</f>
        <v>figure</v>
      </c>
      <c r="P12" t="s">
        <v>15</v>
      </c>
    </row>
    <row r="13" spans="1:18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23</v>
      </c>
      <c r="K13">
        <v>1233</v>
      </c>
      <c r="L13" s="4">
        <v>23.485738399999999</v>
      </c>
      <c r="M13" s="4">
        <v>70.973666805261928</v>
      </c>
      <c r="N13" s="4">
        <v>-0.53672654200130832</v>
      </c>
      <c r="O13" s="1" t="str">
        <f>HYPERLINK(".\sm_car_250419_2207\sm_car_250419_2207_012_Ca005TrN_MaLSS_ode23t.png","figure")</f>
        <v>figure</v>
      </c>
      <c r="P13" t="s">
        <v>15</v>
      </c>
    </row>
    <row r="14" spans="1:18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23</v>
      </c>
      <c r="K14">
        <v>1198</v>
      </c>
      <c r="L14" s="4">
        <v>24.9211469</v>
      </c>
      <c r="M14" s="4">
        <v>230.21601086450923</v>
      </c>
      <c r="N14" s="4">
        <v>5.4446948338693409E-2</v>
      </c>
      <c r="O14" s="1" t="str">
        <f>HYPERLINK(".\sm_car_250419_2207\sm_car_250419_2207_013_Ca006TrN_MaWOT_ode23t.png","figure")</f>
        <v>figure</v>
      </c>
      <c r="P14" t="s">
        <v>15</v>
      </c>
    </row>
    <row r="15" spans="1:18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23</v>
      </c>
      <c r="K15">
        <v>1284</v>
      </c>
      <c r="L15" s="4">
        <v>26.2653605</v>
      </c>
      <c r="M15" s="4">
        <v>70.959669321063117</v>
      </c>
      <c r="N15" s="4">
        <v>-0.53509663741611901</v>
      </c>
      <c r="O15" s="1" t="str">
        <f>HYPERLINK(".\sm_car_250419_2207\sm_car_250419_2207_014_Ca006TrN_MaLSS_ode23t.png","figure")</f>
        <v>figure</v>
      </c>
      <c r="P15" t="s">
        <v>15</v>
      </c>
    </row>
    <row r="16" spans="1:18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23</v>
      </c>
      <c r="K16">
        <v>1195</v>
      </c>
      <c r="L16" s="4">
        <v>26.6772694</v>
      </c>
      <c r="M16" s="4">
        <v>229.86718997757495</v>
      </c>
      <c r="N16" s="4">
        <v>3.2275196412559964E-2</v>
      </c>
      <c r="O16" s="1" t="str">
        <f>HYPERLINK(".\sm_car_250419_2207\sm_car_250419_2207_015_Ca007TrN_MaWOT_ode23t.png","figure")</f>
        <v>figure</v>
      </c>
      <c r="P16" t="s">
        <v>15</v>
      </c>
    </row>
    <row r="17" spans="1:16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23</v>
      </c>
      <c r="K17">
        <v>1298</v>
      </c>
      <c r="L17" s="4">
        <v>29.1550583</v>
      </c>
      <c r="M17" s="4">
        <v>70.830723400315946</v>
      </c>
      <c r="N17" s="4">
        <v>-0.52987762564323182</v>
      </c>
      <c r="O17" s="1" t="str">
        <f>HYPERLINK(".\sm_car_250419_2207\sm_car_250419_2207_016_Ca007TrN_MaLSS_ode23t.png","figure")</f>
        <v>figure</v>
      </c>
      <c r="P17" t="s">
        <v>15</v>
      </c>
    </row>
    <row r="18" spans="1:16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>
        <v>408</v>
      </c>
      <c r="L18" s="4">
        <v>9.2567546000000007</v>
      </c>
      <c r="M18" s="4">
        <v>231.91107798560267</v>
      </c>
      <c r="N18" s="4">
        <v>-7.7334336204584256E-2</v>
      </c>
      <c r="O18" s="1" t="str">
        <f>HYPERLINK(".\sm_car_250419_2207\sm_car_250419_2207_017_Ca016TrN_MaWOT_ode23t.png","figure")</f>
        <v>figure</v>
      </c>
      <c r="P18" t="s">
        <v>15</v>
      </c>
    </row>
    <row r="19" spans="1:16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23</v>
      </c>
      <c r="K19">
        <v>486</v>
      </c>
      <c r="L19" s="4">
        <v>9.7747010999999997</v>
      </c>
      <c r="M19" s="4">
        <v>71.514235600627558</v>
      </c>
      <c r="N19" s="4">
        <v>-2.1538849805937028E-2</v>
      </c>
      <c r="O19" s="1" t="str">
        <f>HYPERLINK(".\sm_car_250419_2207\sm_car_250419_2207_018_Ca016TrN_MaLSS_ode23t.png","figure")</f>
        <v>figure</v>
      </c>
      <c r="P19" t="s">
        <v>15</v>
      </c>
    </row>
    <row r="20" spans="1:16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>
        <v>403</v>
      </c>
      <c r="L20" s="4">
        <v>12.6858428</v>
      </c>
      <c r="M20" s="4">
        <v>231.34090874343943</v>
      </c>
      <c r="N20" s="4">
        <v>1.6418770969577372E-2</v>
      </c>
      <c r="O20" s="1" t="str">
        <f>HYPERLINK(".\sm_car_250419_2207\sm_car_250419_2207_019_Ca032TrN_MaWOT_ode23t.png","figure")</f>
        <v>figure</v>
      </c>
      <c r="P20" t="s">
        <v>15</v>
      </c>
    </row>
    <row r="21" spans="1:16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23</v>
      </c>
      <c r="K21">
        <v>519</v>
      </c>
      <c r="L21" s="4">
        <v>13.088002299999999</v>
      </c>
      <c r="M21" s="4">
        <v>71.26066218031734</v>
      </c>
      <c r="N21" s="4">
        <v>-0.52322903975773105</v>
      </c>
      <c r="O21" s="1" t="str">
        <f>HYPERLINK(".\sm_car_250419_2207\sm_car_250419_2207_020_Ca032TrN_MaLSS_ode23t.png","figure")</f>
        <v>figure</v>
      </c>
      <c r="P21" t="s">
        <v>15</v>
      </c>
    </row>
    <row r="22" spans="1:16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>
        <v>407</v>
      </c>
      <c r="L22" s="4">
        <v>13.4827472</v>
      </c>
      <c r="M22" s="4">
        <v>231.27095225311143</v>
      </c>
      <c r="N22" s="4">
        <v>-1.7534263041348121E-2</v>
      </c>
      <c r="O22" s="1" t="str">
        <f>HYPERLINK(".\sm_car_250419_2207\sm_car_250419_2207_021_Ca048TrN_MaWOT_ode23t.png","figure")</f>
        <v>figure</v>
      </c>
      <c r="P22" t="s">
        <v>15</v>
      </c>
    </row>
    <row r="23" spans="1:16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23</v>
      </c>
      <c r="K23">
        <v>518</v>
      </c>
      <c r="L23" s="4">
        <v>13.8815841</v>
      </c>
      <c r="M23" s="4">
        <v>71.248832990186443</v>
      </c>
      <c r="N23" s="4">
        <v>-0.52913720352133875</v>
      </c>
      <c r="O23" s="1" t="str">
        <f>HYPERLINK(".\sm_car_250419_2207\sm_car_250419_2207_022_Ca048TrN_MaLSS_ode23t.png","figure")</f>
        <v>figure</v>
      </c>
      <c r="P23" t="s">
        <v>15</v>
      </c>
    </row>
    <row r="24" spans="1:16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>
        <v>413</v>
      </c>
      <c r="L24" s="4">
        <v>15.0947595</v>
      </c>
      <c r="M24" s="4">
        <v>231.28504159441098</v>
      </c>
      <c r="N24" s="4">
        <v>9.3780465346814702E-3</v>
      </c>
      <c r="O24" s="1" t="str">
        <f>HYPERLINK(".\sm_car_250419_2207\sm_car_250419_2207_023_Ca064TrN_MaWOT_ode23t.png","figure")</f>
        <v>figure</v>
      </c>
      <c r="P24" t="s">
        <v>15</v>
      </c>
    </row>
    <row r="25" spans="1:16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23</v>
      </c>
      <c r="K25">
        <v>529</v>
      </c>
      <c r="L25" s="4">
        <v>15.0989249</v>
      </c>
      <c r="M25" s="4">
        <v>71.254292469126156</v>
      </c>
      <c r="N25" s="4">
        <v>-0.51859665338277783</v>
      </c>
      <c r="O25" s="1" t="str">
        <f>HYPERLINK(".\sm_car_250419_2207\sm_car_250419_2207_024_Ca064TrN_MaLSS_ode23t.png","figure")</f>
        <v>figure</v>
      </c>
      <c r="P25" t="s">
        <v>15</v>
      </c>
    </row>
    <row r="26" spans="1:16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>
        <v>412</v>
      </c>
      <c r="L26" s="4">
        <v>15.180505800000001</v>
      </c>
      <c r="M26" s="4">
        <v>231.27839402359498</v>
      </c>
      <c r="N26" s="4">
        <v>-1.961980835854726E-2</v>
      </c>
      <c r="O26" s="1" t="str">
        <f>HYPERLINK(".\sm_car_250419_2207\sm_car_250419_2207_025_Ca080TrN_MaWOT_ode23t.png","figure")</f>
        <v>figure</v>
      </c>
      <c r="P26" t="s">
        <v>15</v>
      </c>
    </row>
    <row r="27" spans="1:16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23</v>
      </c>
      <c r="K27">
        <v>508</v>
      </c>
      <c r="L27" s="4">
        <v>14.4269786</v>
      </c>
      <c r="M27" s="4">
        <v>71.246691700932331</v>
      </c>
      <c r="N27" s="4">
        <v>-0.52488392271456108</v>
      </c>
      <c r="O27" s="1" t="str">
        <f>HYPERLINK(".\sm_car_250419_2207\sm_car_250419_2207_026_Ca080TrN_MaLSS_ode23t.png","figure")</f>
        <v>figure</v>
      </c>
      <c r="P27" t="s">
        <v>15</v>
      </c>
    </row>
    <row r="28" spans="1:16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>
        <v>406</v>
      </c>
      <c r="L28" s="4">
        <v>10.316247600000001</v>
      </c>
      <c r="M28" s="4">
        <v>233.01590724510086</v>
      </c>
      <c r="N28" s="4">
        <v>2.0872873548383374E-2</v>
      </c>
      <c r="O28" s="1" t="str">
        <f>HYPERLINK(".\sm_car_250419_2207\sm_car_250419_2207_027_Ca096TrN_MaWOT_ode23t.png","figure")</f>
        <v>figure</v>
      </c>
      <c r="P28" t="s">
        <v>15</v>
      </c>
    </row>
    <row r="29" spans="1:16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23</v>
      </c>
      <c r="K29">
        <v>520</v>
      </c>
      <c r="L29" s="4">
        <v>11.494353</v>
      </c>
      <c r="M29" s="4">
        <v>71.76469891847438</v>
      </c>
      <c r="N29" s="4">
        <v>-0.52856378701326001</v>
      </c>
      <c r="O29" s="1" t="str">
        <f>HYPERLINK(".\sm_car_250419_2207\sm_car_250419_2207_028_Ca096TrN_MaLSS_ode23t.png","figure")</f>
        <v>figure</v>
      </c>
      <c r="P29" t="s">
        <v>15</v>
      </c>
    </row>
    <row r="30" spans="1:16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>
        <v>380</v>
      </c>
      <c r="L30" s="4">
        <v>4.1749460000000003</v>
      </c>
      <c r="M30" s="4">
        <v>242.6089250266231</v>
      </c>
      <c r="N30" s="4">
        <v>0.23450595985822392</v>
      </c>
      <c r="O30" s="1" t="str">
        <f>HYPERLINK(".\sm_car_250419_2207\sm_car_250419_2207_029_Ca112TrN_MaWOT_ode23t.png","figure")</f>
        <v>figure</v>
      </c>
      <c r="P30" t="s">
        <v>15</v>
      </c>
    </row>
    <row r="31" spans="1:16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23</v>
      </c>
      <c r="K31">
        <v>472</v>
      </c>
      <c r="L31" s="4">
        <v>4.3330396999999996</v>
      </c>
      <c r="M31" s="4">
        <v>74.659635890023381</v>
      </c>
      <c r="N31" s="4">
        <v>-0.33799621506860861</v>
      </c>
      <c r="O31" s="1" t="str">
        <f>HYPERLINK(".\sm_car_250419_2207\sm_car_250419_2207_030_Ca112TrN_MaLSS_ode23t.png","figure")</f>
        <v>figure</v>
      </c>
      <c r="P31" t="s">
        <v>15</v>
      </c>
    </row>
    <row r="32" spans="1:16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23</v>
      </c>
      <c r="K32">
        <v>363</v>
      </c>
      <c r="L32" s="4">
        <v>4.7909572000000002</v>
      </c>
      <c r="M32" s="4">
        <v>241.38439738778516</v>
      </c>
      <c r="N32" s="4">
        <v>0.22958855018423277</v>
      </c>
      <c r="O32" s="1" t="str">
        <f>HYPERLINK(".\sm_car_250419_2207\sm_car_250419_2207_031_Ca113TrN_MaWOT_ode23t.png","figure")</f>
        <v>figure</v>
      </c>
      <c r="P32" t="s">
        <v>15</v>
      </c>
    </row>
    <row r="33" spans="1:16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23</v>
      </c>
      <c r="K33">
        <v>485</v>
      </c>
      <c r="L33" s="4">
        <v>4.8444212999999996</v>
      </c>
      <c r="M33" s="4">
        <v>74.347894519104756</v>
      </c>
      <c r="N33" s="4">
        <v>-0.33380739887818628</v>
      </c>
      <c r="O33" s="1" t="str">
        <f>HYPERLINK(".\sm_car_250419_2207\sm_car_250419_2207_032_Ca113TrN_MaLSS_ode23t.png","figure")</f>
        <v>figure</v>
      </c>
      <c r="P33" t="s">
        <v>15</v>
      </c>
    </row>
    <row r="34" spans="1:16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23</v>
      </c>
      <c r="K34">
        <v>382</v>
      </c>
      <c r="L34" s="4">
        <v>5.2272978999999999</v>
      </c>
      <c r="M34" s="4">
        <v>241.3818193664282</v>
      </c>
      <c r="N34" s="4">
        <v>0.22892276262057781</v>
      </c>
      <c r="O34" s="1" t="str">
        <f>HYPERLINK(".\sm_car_250419_2207\sm_car_250419_2207_033_Ca114TrN_MaWOT_ode23t.png","figure")</f>
        <v>figure</v>
      </c>
      <c r="P34" t="s">
        <v>15</v>
      </c>
    </row>
    <row r="35" spans="1:16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23</v>
      </c>
      <c r="K35">
        <v>472</v>
      </c>
      <c r="L35" s="4">
        <v>5.5993312</v>
      </c>
      <c r="M35" s="4">
        <v>74.34931285540948</v>
      </c>
      <c r="N35" s="4">
        <v>-0.3344513747117917</v>
      </c>
      <c r="O35" s="1" t="str">
        <f>HYPERLINK(".\sm_car_250419_2207\sm_car_250419_2207_034_Ca114TrN_MaLSS_ode23t.png","figure")</f>
        <v>figure</v>
      </c>
      <c r="P35" t="s">
        <v>15</v>
      </c>
    </row>
    <row r="36" spans="1:16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23</v>
      </c>
      <c r="K36">
        <v>398</v>
      </c>
      <c r="L36" s="4">
        <v>5.6132545</v>
      </c>
      <c r="M36" s="4">
        <v>240.78980064559263</v>
      </c>
      <c r="N36" s="4">
        <v>0.22611169502405556</v>
      </c>
      <c r="O36" s="1" t="str">
        <f>HYPERLINK(".\sm_car_250419_2207\sm_car_250419_2207_035_Ca115TrN_MaWOT_ode23t.png","figure")</f>
        <v>figure</v>
      </c>
      <c r="P36" t="s">
        <v>15</v>
      </c>
    </row>
    <row r="37" spans="1:16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23</v>
      </c>
      <c r="K37">
        <v>496</v>
      </c>
      <c r="L37" s="4">
        <v>5.5978320000000004</v>
      </c>
      <c r="M37" s="4">
        <v>74.209513771783136</v>
      </c>
      <c r="N37" s="4">
        <v>-0.33208743303883775</v>
      </c>
      <c r="O37" s="1" t="str">
        <f>HYPERLINK(".\sm_car_250419_2207\sm_car_250419_2207_036_Ca115TrN_MaLSS_ode23t.png","figure")</f>
        <v>figure</v>
      </c>
      <c r="P37" t="s">
        <v>15</v>
      </c>
    </row>
    <row r="38" spans="1:16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23</v>
      </c>
      <c r="K38">
        <v>943</v>
      </c>
      <c r="L38" s="4">
        <v>7.4142562999999999</v>
      </c>
      <c r="M38" s="4">
        <v>242.63118630005806</v>
      </c>
      <c r="N38" s="4">
        <v>0.2327919371692862</v>
      </c>
      <c r="O38" s="1" t="str">
        <f>HYPERLINK(".\sm_car_250419_2207\sm_car_250419_2207_037_Ca116TrN_MaWOT_ode23t.png","figure")</f>
        <v>figure</v>
      </c>
      <c r="P38" t="s">
        <v>15</v>
      </c>
    </row>
    <row r="39" spans="1:16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23</v>
      </c>
      <c r="K39">
        <v>1060</v>
      </c>
      <c r="L39" s="4">
        <v>8.0782147999999996</v>
      </c>
      <c r="M39" s="4">
        <v>74.660234080632137</v>
      </c>
      <c r="N39" s="4">
        <v>-0.34043153147504285</v>
      </c>
      <c r="O39" s="1" t="str">
        <f>HYPERLINK(".\sm_car_250419_2207\sm_car_250419_2207_038_Ca116TrN_MaLSS_ode23t.png","figure")</f>
        <v>figure</v>
      </c>
      <c r="P39" t="s">
        <v>15</v>
      </c>
    </row>
    <row r="40" spans="1:16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23</v>
      </c>
      <c r="K40">
        <v>949</v>
      </c>
      <c r="L40" s="4">
        <v>7.9018245</v>
      </c>
      <c r="M40" s="4">
        <v>241.56667805846251</v>
      </c>
      <c r="N40" s="4">
        <v>0.22974577181876196</v>
      </c>
      <c r="O40" s="1" t="str">
        <f>HYPERLINK(".\sm_car_250419_2207\sm_car_250419_2207_039_Ca117TrN_MaWOT_ode23t.png","figure")</f>
        <v>figure</v>
      </c>
      <c r="P40" t="s">
        <v>15</v>
      </c>
    </row>
    <row r="41" spans="1:16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23</v>
      </c>
      <c r="K41">
        <v>1094</v>
      </c>
      <c r="L41" s="4">
        <v>9.6269741999999994</v>
      </c>
      <c r="M41" s="4">
        <v>74.351770114122004</v>
      </c>
      <c r="N41" s="4">
        <v>-0.33660251686223591</v>
      </c>
      <c r="O41" s="1" t="str">
        <f>HYPERLINK(".\sm_car_250419_2207\sm_car_250419_2207_040_Ca117TrN_MaLSS_ode23t.png","figure")</f>
        <v>figure</v>
      </c>
      <c r="P41" t="s">
        <v>15</v>
      </c>
    </row>
    <row r="42" spans="1:16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23</v>
      </c>
      <c r="K42">
        <v>941</v>
      </c>
      <c r="L42" s="4">
        <v>8.3934969000000006</v>
      </c>
      <c r="M42" s="4">
        <v>241.60159540732994</v>
      </c>
      <c r="N42" s="4">
        <v>0.22991099707644874</v>
      </c>
      <c r="O42" s="1" t="str">
        <f>HYPERLINK(".\sm_car_250419_2207\sm_car_250419_2207_041_Ca118TrN_MaWOT_ode23t.png","figure")</f>
        <v>figure</v>
      </c>
      <c r="P42" t="s">
        <v>15</v>
      </c>
    </row>
    <row r="43" spans="1:16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23</v>
      </c>
      <c r="K43">
        <v>1055</v>
      </c>
      <c r="L43" s="4">
        <v>9.3009194999999991</v>
      </c>
      <c r="M43" s="4">
        <v>74.352021513152593</v>
      </c>
      <c r="N43" s="4">
        <v>-0.33731972554506157</v>
      </c>
      <c r="O43" s="1" t="str">
        <f>HYPERLINK(".\sm_car_250419_2207\sm_car_250419_2207_042_Ca118TrN_MaLSS_ode23t.png","figure")</f>
        <v>figure</v>
      </c>
      <c r="P43" t="s">
        <v>15</v>
      </c>
    </row>
    <row r="44" spans="1:16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23</v>
      </c>
      <c r="K44">
        <v>961</v>
      </c>
      <c r="L44" s="4">
        <v>8.4433472999999992</v>
      </c>
      <c r="M44" s="4">
        <v>240.87206940616559</v>
      </c>
      <c r="N44" s="4">
        <v>0.22597411174209028</v>
      </c>
      <c r="O44" s="1" t="str">
        <f>HYPERLINK(".\sm_car_250419_2207\sm_car_250419_2207_043_Ca119TrN_MaWOT_ode23t.png","figure")</f>
        <v>figure</v>
      </c>
      <c r="P44" t="s">
        <v>15</v>
      </c>
    </row>
    <row r="45" spans="1:16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23</v>
      </c>
      <c r="K45">
        <v>1081</v>
      </c>
      <c r="L45" s="4">
        <v>9.4181007000000001</v>
      </c>
      <c r="M45" s="4">
        <v>74.199619540147268</v>
      </c>
      <c r="N45" s="4">
        <v>-0.33355242031883703</v>
      </c>
      <c r="O45" s="1" t="str">
        <f>HYPERLINK(".\sm_car_250419_2207\sm_car_250419_2207_044_Ca119TrN_MaLSS_ode23t.png","figure")</f>
        <v>figure</v>
      </c>
      <c r="P45" t="s">
        <v>15</v>
      </c>
    </row>
    <row r="46" spans="1:16" x14ac:dyDescent="0.25">
      <c r="A46">
        <v>45</v>
      </c>
      <c r="B46">
        <v>128</v>
      </c>
      <c r="C46" t="s">
        <v>16</v>
      </c>
      <c r="D46" t="s">
        <v>17</v>
      </c>
      <c r="E46" t="s">
        <v>107</v>
      </c>
      <c r="F46" t="s">
        <v>19</v>
      </c>
      <c r="G46" t="s">
        <v>36</v>
      </c>
      <c r="H46" t="s">
        <v>21</v>
      </c>
      <c r="I46" t="s">
        <v>22</v>
      </c>
      <c r="J46" t="s">
        <v>23</v>
      </c>
      <c r="K46">
        <v>318</v>
      </c>
      <c r="L46" s="4">
        <v>9.7290065999999999</v>
      </c>
      <c r="M46" s="4">
        <v>99.82212901324516</v>
      </c>
      <c r="N46" s="4">
        <v>-1.743159490122485E-2</v>
      </c>
      <c r="O46" s="1" t="str">
        <f>HYPERLINK(".\sm_car_250419_2207\sm_car_250419_2207_045_Ca128TrN_MaWOT_ode23t.png","figure")</f>
        <v>figure</v>
      </c>
      <c r="P46" t="s">
        <v>15</v>
      </c>
    </row>
    <row r="47" spans="1:16" x14ac:dyDescent="0.25">
      <c r="A47">
        <v>46</v>
      </c>
      <c r="B47">
        <v>128</v>
      </c>
      <c r="C47" t="s">
        <v>16</v>
      </c>
      <c r="D47" t="s">
        <v>17</v>
      </c>
      <c r="E47" t="s">
        <v>107</v>
      </c>
      <c r="F47" t="s">
        <v>19</v>
      </c>
      <c r="G47" t="s">
        <v>36</v>
      </c>
      <c r="H47" t="s">
        <v>21</v>
      </c>
      <c r="I47" t="s">
        <v>24</v>
      </c>
      <c r="J47" t="s">
        <v>23</v>
      </c>
      <c r="K47">
        <v>458</v>
      </c>
      <c r="L47" s="4">
        <v>12.919943699999999</v>
      </c>
      <c r="M47" s="4">
        <v>36.976991363338712</v>
      </c>
      <c r="N47" s="4">
        <v>-0.13041461680733674</v>
      </c>
      <c r="O47" s="1" t="str">
        <f>HYPERLINK(".\sm_car_250419_2207\sm_car_250419_2207_046_Ca128TrN_MaLSS_ode23t.png","figure")</f>
        <v>figure</v>
      </c>
      <c r="P47" t="s">
        <v>15</v>
      </c>
    </row>
    <row r="48" spans="1:16" x14ac:dyDescent="0.25">
      <c r="A48">
        <v>47</v>
      </c>
      <c r="B48">
        <v>129</v>
      </c>
      <c r="C48" t="s">
        <v>16</v>
      </c>
      <c r="D48" t="s">
        <v>17</v>
      </c>
      <c r="E48" t="s">
        <v>107</v>
      </c>
      <c r="F48" t="s">
        <v>19</v>
      </c>
      <c r="G48" t="s">
        <v>37</v>
      </c>
      <c r="H48" t="s">
        <v>21</v>
      </c>
      <c r="I48" t="s">
        <v>22</v>
      </c>
      <c r="J48" t="s">
        <v>23</v>
      </c>
      <c r="K48">
        <v>330</v>
      </c>
      <c r="L48" s="4">
        <v>10.7943658</v>
      </c>
      <c r="M48" s="4">
        <v>229.40213993607034</v>
      </c>
      <c r="N48" s="4">
        <v>5.5641731856395253E-2</v>
      </c>
      <c r="O48" s="1" t="str">
        <f>HYPERLINK(".\sm_car_250419_2207\sm_car_250419_2207_047_Ca129TrN_MaWOT_ode23t.png","figure")</f>
        <v>figure</v>
      </c>
      <c r="P48" t="s">
        <v>15</v>
      </c>
    </row>
    <row r="49" spans="1:16" x14ac:dyDescent="0.25">
      <c r="A49">
        <v>48</v>
      </c>
      <c r="B49">
        <v>129</v>
      </c>
      <c r="C49" t="s">
        <v>16</v>
      </c>
      <c r="D49" t="s">
        <v>17</v>
      </c>
      <c r="E49" t="s">
        <v>107</v>
      </c>
      <c r="F49" t="s">
        <v>19</v>
      </c>
      <c r="G49" t="s">
        <v>37</v>
      </c>
      <c r="H49" t="s">
        <v>21</v>
      </c>
      <c r="I49" t="s">
        <v>24</v>
      </c>
      <c r="J49" t="s">
        <v>23</v>
      </c>
      <c r="K49">
        <v>469</v>
      </c>
      <c r="L49" s="4">
        <v>13.605167099999999</v>
      </c>
      <c r="M49" s="4">
        <v>70.691173342275775</v>
      </c>
      <c r="N49" s="4">
        <v>-0.52149103139408215</v>
      </c>
      <c r="O49" s="1" t="str">
        <f>HYPERLINK(".\sm_car_250419_2207\sm_car_250419_2207_048_Ca129TrN_MaLSS_ode23t.png","figure")</f>
        <v>figure</v>
      </c>
      <c r="P49" t="s">
        <v>15</v>
      </c>
    </row>
    <row r="50" spans="1:16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23</v>
      </c>
      <c r="K50">
        <v>811</v>
      </c>
      <c r="L50" s="4">
        <v>40.161026999999997</v>
      </c>
      <c r="M50" s="4">
        <v>217.22190908368736</v>
      </c>
      <c r="N50" s="4">
        <v>-1.5378501576055434</v>
      </c>
      <c r="O50" s="1" t="str">
        <f>HYPERLINK(".\sm_car_250419_2207\sm_car_250419_2207_049_Ca130TrN_MaWOT_ode23t.png","figure")</f>
        <v>figure</v>
      </c>
      <c r="P50" t="s">
        <v>15</v>
      </c>
    </row>
    <row r="51" spans="1:16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23</v>
      </c>
      <c r="K51">
        <v>784</v>
      </c>
      <c r="L51" s="4">
        <v>37.045346700000003</v>
      </c>
      <c r="M51" s="4">
        <v>68.778912962942499</v>
      </c>
      <c r="N51" s="4">
        <v>-0.54590966822841958</v>
      </c>
      <c r="O51" s="1" t="str">
        <f>HYPERLINK(".\sm_car_250419_2207\sm_car_250419_2207_050_Ca130TrN_MaLSS_ode23t.png","figure")</f>
        <v>figure</v>
      </c>
      <c r="P51" t="s">
        <v>15</v>
      </c>
    </row>
    <row r="52" spans="1:16" x14ac:dyDescent="0.25">
      <c r="A52">
        <v>51</v>
      </c>
      <c r="B52">
        <v>131</v>
      </c>
      <c r="C52" t="s">
        <v>16</v>
      </c>
      <c r="D52" t="s">
        <v>17</v>
      </c>
      <c r="E52" t="s">
        <v>107</v>
      </c>
      <c r="F52" t="s">
        <v>19</v>
      </c>
      <c r="G52" t="s">
        <v>39</v>
      </c>
      <c r="H52" t="s">
        <v>21</v>
      </c>
      <c r="I52" t="s">
        <v>22</v>
      </c>
      <c r="J52" t="s">
        <v>23</v>
      </c>
      <c r="K52">
        <v>348</v>
      </c>
      <c r="L52" s="4">
        <v>7.7150914000000004</v>
      </c>
      <c r="M52" s="4">
        <v>230.01320613326149</v>
      </c>
      <c r="N52" s="4">
        <v>-4.2060213394643754E-2</v>
      </c>
      <c r="O52" s="1" t="str">
        <f>HYPERLINK(".\sm_car_250419_2207\sm_car_250419_2207_051_Ca131TrN_MaWOT_ode23t.png","figure")</f>
        <v>figure</v>
      </c>
      <c r="P52" t="s">
        <v>15</v>
      </c>
    </row>
    <row r="53" spans="1:16" x14ac:dyDescent="0.25">
      <c r="A53">
        <v>52</v>
      </c>
      <c r="B53">
        <v>131</v>
      </c>
      <c r="C53" t="s">
        <v>16</v>
      </c>
      <c r="D53" t="s">
        <v>17</v>
      </c>
      <c r="E53" t="s">
        <v>107</v>
      </c>
      <c r="F53" t="s">
        <v>19</v>
      </c>
      <c r="G53" t="s">
        <v>39</v>
      </c>
      <c r="H53" t="s">
        <v>21</v>
      </c>
      <c r="I53" t="s">
        <v>24</v>
      </c>
      <c r="J53" t="s">
        <v>23</v>
      </c>
      <c r="K53">
        <v>487</v>
      </c>
      <c r="L53" s="4">
        <v>9.4782989999999998</v>
      </c>
      <c r="M53" s="4">
        <v>70.971389093377468</v>
      </c>
      <c r="N53" s="4">
        <v>-0.53700456512689854</v>
      </c>
      <c r="O53" s="1" t="str">
        <f>HYPERLINK(".\sm_car_250419_2207\sm_car_250419_2207_052_Ca131TrN_MaLSS_ode23t.png","figure")</f>
        <v>figure</v>
      </c>
      <c r="P53" t="s">
        <v>15</v>
      </c>
    </row>
    <row r="54" spans="1:16" x14ac:dyDescent="0.25">
      <c r="A54">
        <v>53</v>
      </c>
      <c r="B54">
        <v>132</v>
      </c>
      <c r="C54" t="s">
        <v>16</v>
      </c>
      <c r="D54" t="s">
        <v>17</v>
      </c>
      <c r="E54" t="s">
        <v>107</v>
      </c>
      <c r="F54" t="s">
        <v>19</v>
      </c>
      <c r="G54" t="s">
        <v>40</v>
      </c>
      <c r="H54" t="s">
        <v>21</v>
      </c>
      <c r="I54" t="s">
        <v>22</v>
      </c>
      <c r="J54" t="s">
        <v>23</v>
      </c>
      <c r="K54">
        <v>355</v>
      </c>
      <c r="L54" s="4">
        <v>7.8470304999999998</v>
      </c>
      <c r="M54" s="4">
        <v>230.3053143587112</v>
      </c>
      <c r="N54" s="4">
        <v>-9.2410233984694581E-3</v>
      </c>
      <c r="O54" s="1" t="str">
        <f>HYPERLINK(".\sm_car_250419_2207\sm_car_250419_2207_053_Ca132TrN_MaWOT_ode23t.png","figure")</f>
        <v>figure</v>
      </c>
      <c r="P54" t="s">
        <v>15</v>
      </c>
    </row>
    <row r="55" spans="1:16" x14ac:dyDescent="0.25">
      <c r="A55">
        <v>54</v>
      </c>
      <c r="B55">
        <v>132</v>
      </c>
      <c r="C55" t="s">
        <v>16</v>
      </c>
      <c r="D55" t="s">
        <v>17</v>
      </c>
      <c r="E55" t="s">
        <v>107</v>
      </c>
      <c r="F55" t="s">
        <v>19</v>
      </c>
      <c r="G55" t="s">
        <v>40</v>
      </c>
      <c r="H55" t="s">
        <v>21</v>
      </c>
      <c r="I55" t="s">
        <v>24</v>
      </c>
      <c r="J55" t="s">
        <v>23</v>
      </c>
      <c r="K55">
        <v>493</v>
      </c>
      <c r="L55" s="4">
        <v>9.5658376999999994</v>
      </c>
      <c r="M55" s="4">
        <v>70.963122986331811</v>
      </c>
      <c r="N55" s="4">
        <v>-0.53353935885375947</v>
      </c>
      <c r="O55" s="1" t="str">
        <f>HYPERLINK(".\sm_car_250419_2207\sm_car_250419_2207_054_Ca132TrN_MaLSS_ode23t.png","figure")</f>
        <v>figure</v>
      </c>
      <c r="P55" t="s">
        <v>15</v>
      </c>
    </row>
    <row r="56" spans="1:16" x14ac:dyDescent="0.25">
      <c r="A56">
        <v>55</v>
      </c>
      <c r="B56">
        <v>133</v>
      </c>
      <c r="C56" t="s">
        <v>16</v>
      </c>
      <c r="D56" t="s">
        <v>17</v>
      </c>
      <c r="E56" t="s">
        <v>107</v>
      </c>
      <c r="F56" t="s">
        <v>19</v>
      </c>
      <c r="G56" t="s">
        <v>41</v>
      </c>
      <c r="H56" t="s">
        <v>21</v>
      </c>
      <c r="I56" t="s">
        <v>22</v>
      </c>
      <c r="J56" t="s">
        <v>23</v>
      </c>
      <c r="K56">
        <v>365</v>
      </c>
      <c r="L56" s="4">
        <v>8.0725224000000004</v>
      </c>
      <c r="M56" s="4">
        <v>230.38372234077667</v>
      </c>
      <c r="N56" s="4">
        <v>-9.4946123093944661E-3</v>
      </c>
      <c r="O56" s="1" t="str">
        <f>HYPERLINK(".\sm_car_250419_2207\sm_car_250419_2207_055_Ca133TrN_MaWOT_ode23t.png","figure")</f>
        <v>figure</v>
      </c>
      <c r="P56" t="s">
        <v>15</v>
      </c>
    </row>
    <row r="57" spans="1:16" x14ac:dyDescent="0.25">
      <c r="A57">
        <v>56</v>
      </c>
      <c r="B57">
        <v>133</v>
      </c>
      <c r="C57" t="s">
        <v>16</v>
      </c>
      <c r="D57" t="s">
        <v>17</v>
      </c>
      <c r="E57" t="s">
        <v>107</v>
      </c>
      <c r="F57" t="s">
        <v>19</v>
      </c>
      <c r="G57" t="s">
        <v>41</v>
      </c>
      <c r="H57" t="s">
        <v>21</v>
      </c>
      <c r="I57" t="s">
        <v>24</v>
      </c>
      <c r="J57" t="s">
        <v>23</v>
      </c>
      <c r="K57">
        <v>510</v>
      </c>
      <c r="L57" s="4">
        <v>9.3731463999999995</v>
      </c>
      <c r="M57" s="4">
        <v>70.974383853186964</v>
      </c>
      <c r="N57" s="4">
        <v>-0.53057011353923211</v>
      </c>
      <c r="O57" s="1" t="str">
        <f>HYPERLINK(".\sm_car_250419_2207\sm_car_250419_2207_056_Ca133TrN_MaLSS_ode23t.png","figure")</f>
        <v>figure</v>
      </c>
      <c r="P57" t="s">
        <v>15</v>
      </c>
    </row>
    <row r="58" spans="1:16" x14ac:dyDescent="0.25">
      <c r="A58">
        <v>57</v>
      </c>
      <c r="B58">
        <v>134</v>
      </c>
      <c r="C58" t="s">
        <v>16</v>
      </c>
      <c r="D58" t="s">
        <v>17</v>
      </c>
      <c r="E58" t="s">
        <v>107</v>
      </c>
      <c r="F58" t="s">
        <v>19</v>
      </c>
      <c r="G58" t="s">
        <v>42</v>
      </c>
      <c r="H58" t="s">
        <v>21</v>
      </c>
      <c r="I58" t="s">
        <v>22</v>
      </c>
      <c r="J58" t="s">
        <v>23</v>
      </c>
      <c r="K58">
        <v>355</v>
      </c>
      <c r="L58" s="4">
        <v>8.1148962000000004</v>
      </c>
      <c r="M58" s="4">
        <v>230.37973012868508</v>
      </c>
      <c r="N58" s="4">
        <v>-1.2689260117566459E-2</v>
      </c>
      <c r="O58" s="1" t="str">
        <f>HYPERLINK(".\sm_car_250419_2207\sm_car_250419_2207_057_Ca134TrN_MaWOT_ode23t.png","figure")</f>
        <v>figure</v>
      </c>
      <c r="P58" t="s">
        <v>15</v>
      </c>
    </row>
    <row r="59" spans="1:16" x14ac:dyDescent="0.25">
      <c r="A59">
        <v>58</v>
      </c>
      <c r="B59">
        <v>134</v>
      </c>
      <c r="C59" t="s">
        <v>16</v>
      </c>
      <c r="D59" t="s">
        <v>17</v>
      </c>
      <c r="E59" t="s">
        <v>107</v>
      </c>
      <c r="F59" t="s">
        <v>19</v>
      </c>
      <c r="G59" t="s">
        <v>42</v>
      </c>
      <c r="H59" t="s">
        <v>21</v>
      </c>
      <c r="I59" t="s">
        <v>24</v>
      </c>
      <c r="J59" t="s">
        <v>23</v>
      </c>
      <c r="K59">
        <v>515</v>
      </c>
      <c r="L59" s="4">
        <v>9.5885683000000004</v>
      </c>
      <c r="M59" s="4">
        <v>70.97922143702074</v>
      </c>
      <c r="N59" s="4">
        <v>-0.53385609744977724</v>
      </c>
      <c r="O59" s="1" t="str">
        <f>HYPERLINK(".\sm_car_250419_2207\sm_car_250419_2207_058_Ca134TrN_MaLSS_ode23t.png","figure")</f>
        <v>figure</v>
      </c>
      <c r="P59" t="s">
        <v>15</v>
      </c>
    </row>
    <row r="60" spans="1:16" x14ac:dyDescent="0.25">
      <c r="A60">
        <v>59</v>
      </c>
      <c r="B60">
        <v>135</v>
      </c>
      <c r="C60" t="s">
        <v>16</v>
      </c>
      <c r="D60" t="s">
        <v>17</v>
      </c>
      <c r="E60" t="s">
        <v>107</v>
      </c>
      <c r="F60" t="s">
        <v>19</v>
      </c>
      <c r="G60" t="s">
        <v>43</v>
      </c>
      <c r="H60" t="s">
        <v>21</v>
      </c>
      <c r="I60" t="s">
        <v>22</v>
      </c>
      <c r="J60" t="s">
        <v>23</v>
      </c>
      <c r="K60">
        <v>346</v>
      </c>
      <c r="L60" s="4">
        <v>8.0359321000000001</v>
      </c>
      <c r="M60" s="4">
        <v>230.33721749935572</v>
      </c>
      <c r="N60" s="4">
        <v>-9.9877385341991618E-3</v>
      </c>
      <c r="O60" s="1" t="str">
        <f>HYPERLINK(".\sm_car_250419_2207\sm_car_250419_2207_059_Ca135TrN_MaWOT_ode23t.png","figure")</f>
        <v>figure</v>
      </c>
      <c r="P60" t="s">
        <v>15</v>
      </c>
    </row>
    <row r="61" spans="1:16" x14ac:dyDescent="0.25">
      <c r="A61">
        <v>60</v>
      </c>
      <c r="B61">
        <v>135</v>
      </c>
      <c r="C61" t="s">
        <v>16</v>
      </c>
      <c r="D61" t="s">
        <v>17</v>
      </c>
      <c r="E61" t="s">
        <v>107</v>
      </c>
      <c r="F61" t="s">
        <v>19</v>
      </c>
      <c r="G61" t="s">
        <v>43</v>
      </c>
      <c r="H61" t="s">
        <v>21</v>
      </c>
      <c r="I61" t="s">
        <v>24</v>
      </c>
      <c r="J61" t="s">
        <v>23</v>
      </c>
      <c r="K61">
        <v>480</v>
      </c>
      <c r="L61" s="4">
        <v>9.2131936000000003</v>
      </c>
      <c r="M61" s="4">
        <v>70.981812456033069</v>
      </c>
      <c r="N61" s="4">
        <v>-0.52507090916013632</v>
      </c>
      <c r="O61" s="1" t="str">
        <f>HYPERLINK(".\sm_car_250419_2207\sm_car_250419_2207_060_Ca135TrN_MaLSS_ode23t.png","figure")</f>
        <v>figure</v>
      </c>
      <c r="P61" t="s">
        <v>15</v>
      </c>
    </row>
    <row r="62" spans="1:16" x14ac:dyDescent="0.25">
      <c r="A62">
        <v>61</v>
      </c>
      <c r="B62">
        <v>136</v>
      </c>
      <c r="C62" t="s">
        <v>16</v>
      </c>
      <c r="D62" t="s">
        <v>17</v>
      </c>
      <c r="E62" t="s">
        <v>107</v>
      </c>
      <c r="F62" t="s">
        <v>19</v>
      </c>
      <c r="G62" t="s">
        <v>44</v>
      </c>
      <c r="H62" t="s">
        <v>21</v>
      </c>
      <c r="I62" t="s">
        <v>22</v>
      </c>
      <c r="J62" t="s">
        <v>23</v>
      </c>
      <c r="K62">
        <v>361</v>
      </c>
      <c r="L62" s="4">
        <v>9.1146349000000004</v>
      </c>
      <c r="M62" s="4">
        <v>230.43170278500256</v>
      </c>
      <c r="N62" s="4">
        <v>5.3253989386177106E-2</v>
      </c>
      <c r="O62" s="1" t="str">
        <f>HYPERLINK(".\sm_car_250419_2207\sm_car_250419_2207_061_Ca136TrN_MaWOT_ode23t.png","figure")</f>
        <v>figure</v>
      </c>
      <c r="P62" t="s">
        <v>15</v>
      </c>
    </row>
    <row r="63" spans="1:16" x14ac:dyDescent="0.25">
      <c r="A63">
        <v>62</v>
      </c>
      <c r="B63">
        <v>136</v>
      </c>
      <c r="C63" t="s">
        <v>16</v>
      </c>
      <c r="D63" t="s">
        <v>17</v>
      </c>
      <c r="E63" t="s">
        <v>107</v>
      </c>
      <c r="F63" t="s">
        <v>19</v>
      </c>
      <c r="G63" t="s">
        <v>44</v>
      </c>
      <c r="H63" t="s">
        <v>21</v>
      </c>
      <c r="I63" t="s">
        <v>24</v>
      </c>
      <c r="J63" t="s">
        <v>23</v>
      </c>
      <c r="K63">
        <v>507</v>
      </c>
      <c r="L63" s="4">
        <v>11.8403156</v>
      </c>
      <c r="M63" s="4">
        <v>70.976971805260561</v>
      </c>
      <c r="N63" s="4">
        <v>-0.5237430821852157</v>
      </c>
      <c r="O63" s="1" t="str">
        <f>HYPERLINK(".\sm_car_250419_2207\sm_car_250419_2207_062_Ca136TrN_MaLSS_ode23t.png","figure")</f>
        <v>figure</v>
      </c>
      <c r="P63" t="s">
        <v>15</v>
      </c>
    </row>
    <row r="64" spans="1:16" x14ac:dyDescent="0.25">
      <c r="A64">
        <v>63</v>
      </c>
      <c r="B64">
        <v>137</v>
      </c>
      <c r="C64" t="s">
        <v>16</v>
      </c>
      <c r="D64" t="s">
        <v>17</v>
      </c>
      <c r="E64" t="s">
        <v>107</v>
      </c>
      <c r="F64" t="s">
        <v>19</v>
      </c>
      <c r="G64" t="s">
        <v>20</v>
      </c>
      <c r="H64" t="s">
        <v>21</v>
      </c>
      <c r="I64" t="s">
        <v>22</v>
      </c>
      <c r="J64" t="s">
        <v>23</v>
      </c>
      <c r="K64">
        <v>326</v>
      </c>
      <c r="L64" s="4">
        <v>6.5823311000000002</v>
      </c>
      <c r="M64" s="4">
        <v>231.39005804052908</v>
      </c>
      <c r="N64" s="4">
        <v>0.14000428262450837</v>
      </c>
      <c r="O64" s="1" t="str">
        <f>HYPERLINK(".\sm_car_250419_2207\sm_car_250419_2207_063_Ca137TrN_MaWOT_ode23t.png","figure")</f>
        <v>figure</v>
      </c>
      <c r="P64" t="s">
        <v>15</v>
      </c>
    </row>
    <row r="65" spans="1:16" x14ac:dyDescent="0.25">
      <c r="A65">
        <v>64</v>
      </c>
      <c r="B65">
        <v>137</v>
      </c>
      <c r="C65" t="s">
        <v>16</v>
      </c>
      <c r="D65" t="s">
        <v>17</v>
      </c>
      <c r="E65" t="s">
        <v>107</v>
      </c>
      <c r="F65" t="s">
        <v>19</v>
      </c>
      <c r="G65" t="s">
        <v>20</v>
      </c>
      <c r="H65" t="s">
        <v>21</v>
      </c>
      <c r="I65" t="s">
        <v>24</v>
      </c>
      <c r="J65" t="s">
        <v>23</v>
      </c>
      <c r="K65">
        <v>466</v>
      </c>
      <c r="L65" s="4">
        <v>7.6079625999999996</v>
      </c>
      <c r="M65" s="4">
        <v>71.243089070679957</v>
      </c>
      <c r="N65" s="4">
        <v>-0.5138893650223868</v>
      </c>
      <c r="O65" s="1" t="str">
        <f>HYPERLINK(".\sm_car_250419_2207\sm_car_250419_2207_064_Ca137TrN_MaLSS_ode23t.png","figure")</f>
        <v>figure</v>
      </c>
      <c r="P65" t="s">
        <v>15</v>
      </c>
    </row>
    <row r="66" spans="1:16" x14ac:dyDescent="0.25">
      <c r="A66">
        <v>65</v>
      </c>
      <c r="B66">
        <v>138</v>
      </c>
      <c r="C66" t="s">
        <v>16</v>
      </c>
      <c r="D66" t="s">
        <v>17</v>
      </c>
      <c r="E66" t="s">
        <v>107</v>
      </c>
      <c r="F66" t="s">
        <v>19</v>
      </c>
      <c r="G66" t="s">
        <v>20</v>
      </c>
      <c r="H66" t="s">
        <v>21</v>
      </c>
      <c r="I66" t="s">
        <v>22</v>
      </c>
      <c r="J66" t="s">
        <v>23</v>
      </c>
      <c r="K66">
        <v>330</v>
      </c>
      <c r="L66" s="4">
        <v>10.0853474</v>
      </c>
      <c r="M66" s="4">
        <v>231.26501913843325</v>
      </c>
      <c r="N66" s="4">
        <v>0.14711292589002975</v>
      </c>
      <c r="O66" s="1" t="str">
        <f>HYPERLINK(".\sm_car_250419_2207\sm_car_250419_2207_065_Ca138TrN_MaWOT_ode23t.png","figure")</f>
        <v>figure</v>
      </c>
      <c r="P66" t="s">
        <v>15</v>
      </c>
    </row>
    <row r="67" spans="1:16" x14ac:dyDescent="0.25">
      <c r="A67">
        <v>66</v>
      </c>
      <c r="B67">
        <v>138</v>
      </c>
      <c r="C67" t="s">
        <v>16</v>
      </c>
      <c r="D67" t="s">
        <v>17</v>
      </c>
      <c r="E67" t="s">
        <v>107</v>
      </c>
      <c r="F67" t="s">
        <v>19</v>
      </c>
      <c r="G67" t="s">
        <v>20</v>
      </c>
      <c r="H67" t="s">
        <v>21</v>
      </c>
      <c r="I67" t="s">
        <v>24</v>
      </c>
      <c r="J67" t="s">
        <v>23</v>
      </c>
      <c r="K67">
        <v>491</v>
      </c>
      <c r="L67" s="4">
        <v>12.077715299999999</v>
      </c>
      <c r="M67" s="4">
        <v>71.132161673886188</v>
      </c>
      <c r="N67" s="4">
        <v>-0.82819357873258415</v>
      </c>
      <c r="O67" s="1" t="str">
        <f>HYPERLINK(".\sm_car_250419_2207\sm_car_250419_2207_066_Ca138TrN_MaLSS_ode23t.png","figure")</f>
        <v>figure</v>
      </c>
      <c r="P67" t="s">
        <v>15</v>
      </c>
    </row>
    <row r="68" spans="1:16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23</v>
      </c>
      <c r="K68">
        <v>633</v>
      </c>
      <c r="L68" s="4">
        <v>43.451246400000002</v>
      </c>
      <c r="M68" s="4">
        <v>405.17966129617804</v>
      </c>
      <c r="N68" s="4">
        <v>1.809188510614379</v>
      </c>
      <c r="O68" s="1" t="str">
        <f>HYPERLINK(".\sm_car_250419_2207\sm_car_250419_2207_067_Ca139TrN_MaWOT_ode23t.png","figure")</f>
        <v>figure</v>
      </c>
      <c r="P68" t="s">
        <v>15</v>
      </c>
    </row>
    <row r="69" spans="1:16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23</v>
      </c>
      <c r="K69">
        <v>665</v>
      </c>
      <c r="L69" s="4">
        <v>32.774471599999998</v>
      </c>
      <c r="M69" s="4">
        <v>154.34099768166263</v>
      </c>
      <c r="N69" s="4">
        <v>-0.59423906590612652</v>
      </c>
      <c r="O69" s="1" t="str">
        <f>HYPERLINK(".\sm_car_250419_2207\sm_car_250419_2207_068_Ca139TrN_MaLSS_ode23t.png","figure")</f>
        <v>figure</v>
      </c>
      <c r="P69" t="s">
        <v>15</v>
      </c>
    </row>
    <row r="70" spans="1:16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23</v>
      </c>
      <c r="K70">
        <v>1955</v>
      </c>
      <c r="L70" s="4">
        <v>60.469676</v>
      </c>
      <c r="M70" s="4">
        <v>405.32118529584653</v>
      </c>
      <c r="N70" s="4">
        <v>1.6028748788392466</v>
      </c>
      <c r="O70" s="1" t="str">
        <f>HYPERLINK(".\sm_car_250419_2207\sm_car_250419_2207_069_Ca141TrN_MaWOT_ode23t.png","figure")</f>
        <v>figure</v>
      </c>
      <c r="P70" t="s">
        <v>15</v>
      </c>
    </row>
    <row r="71" spans="1:16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23</v>
      </c>
      <c r="K71">
        <v>1829</v>
      </c>
      <c r="L71" s="4">
        <v>38.0568253</v>
      </c>
      <c r="M71" s="4">
        <v>154.41925031347753</v>
      </c>
      <c r="N71" s="4">
        <v>-0.57938711992316183</v>
      </c>
      <c r="O71" s="1" t="str">
        <f>HYPERLINK(".\sm_car_250419_2207\sm_car_250419_2207_070_Ca141TrN_MaLSS_ode23t.png","figure")</f>
        <v>figure</v>
      </c>
      <c r="P71" t="s">
        <v>15</v>
      </c>
    </row>
    <row r="72" spans="1:16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23</v>
      </c>
      <c r="K72">
        <v>347</v>
      </c>
      <c r="L72" s="4">
        <v>23.8575391</v>
      </c>
      <c r="M72" s="4">
        <v>95.822788797290357</v>
      </c>
      <c r="N72" s="4">
        <v>-3.4232518478710811E-2</v>
      </c>
      <c r="O72" s="1" t="str">
        <f>HYPERLINK(".\sm_car_250419_2207\sm_car_250419_2207_071_Ca143TrN_MaWOT_ode23t.png","figure")</f>
        <v>figure</v>
      </c>
      <c r="P72" t="s">
        <v>15</v>
      </c>
    </row>
    <row r="73" spans="1:16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23</v>
      </c>
      <c r="K73">
        <v>440</v>
      </c>
      <c r="L73" s="4">
        <v>26.104445399999999</v>
      </c>
      <c r="M73" s="4">
        <v>25.015879975074753</v>
      </c>
      <c r="N73" s="4">
        <v>-5.2385016290418744E-2</v>
      </c>
      <c r="O73" s="1" t="str">
        <f>HYPERLINK(".\sm_car_250419_2207\sm_car_250419_2207_072_Ca143TrN_MaLSS_ode23t.png","figure")</f>
        <v>figure</v>
      </c>
      <c r="P73" t="s">
        <v>15</v>
      </c>
    </row>
    <row r="74" spans="1:16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23</v>
      </c>
      <c r="K74">
        <v>346</v>
      </c>
      <c r="L74" s="4">
        <v>17.9384896</v>
      </c>
      <c r="M74" s="4">
        <v>114.05032065444175</v>
      </c>
      <c r="N74" s="4">
        <v>0.53137129623813317</v>
      </c>
      <c r="O74" s="1" t="str">
        <f>HYPERLINK(".\sm_car_250419_2207\sm_car_250419_2207_073_Ca144TrN_MaWOT_ode23t.png","figure")</f>
        <v>figure</v>
      </c>
      <c r="P74" t="s">
        <v>15</v>
      </c>
    </row>
    <row r="75" spans="1:16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23</v>
      </c>
      <c r="K75">
        <v>466</v>
      </c>
      <c r="L75" s="4">
        <v>19.946479499999999</v>
      </c>
      <c r="M75" s="4">
        <v>35.60305250530282</v>
      </c>
      <c r="N75" s="4">
        <v>-3.2273095936364071E-2</v>
      </c>
      <c r="O75" s="1" t="str">
        <f>HYPERLINK(".\sm_car_250419_2207\sm_car_250419_2207_074_Ca144TrN_MaLSS_ode23t.png","figure")</f>
        <v>figure</v>
      </c>
      <c r="P75" t="s">
        <v>15</v>
      </c>
    </row>
    <row r="76" spans="1:16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23</v>
      </c>
      <c r="K76">
        <v>2434</v>
      </c>
      <c r="L76" s="4">
        <v>41.332804000000003</v>
      </c>
      <c r="M76" s="4">
        <v>399.8101600032229</v>
      </c>
      <c r="N76" s="4">
        <v>-15.903493600448826</v>
      </c>
      <c r="O76" s="1" t="str">
        <f>HYPERLINK(".\sm_car_250419_2207\sm_car_250419_2207_075_Ca147TrN_MaWOT_ode23t.png","figure")</f>
        <v>figure</v>
      </c>
      <c r="P76" t="s">
        <v>15</v>
      </c>
    </row>
    <row r="77" spans="1:16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23</v>
      </c>
      <c r="K77">
        <v>1262</v>
      </c>
      <c r="L77" s="4">
        <v>29.308837100000002</v>
      </c>
      <c r="M77" s="4">
        <v>151.94550566475834</v>
      </c>
      <c r="N77" s="4">
        <v>-2.4298548033565068</v>
      </c>
      <c r="O77" s="1" t="str">
        <f>HYPERLINK(".\sm_car_250419_2207\sm_car_250419_2207_076_Ca147TrN_MaLSS_ode23t.png","figure")</f>
        <v>figure</v>
      </c>
      <c r="P77" t="s">
        <v>15</v>
      </c>
    </row>
    <row r="78" spans="1:16" x14ac:dyDescent="0.25">
      <c r="A78">
        <v>77</v>
      </c>
      <c r="B78">
        <v>215</v>
      </c>
      <c r="C78" t="s">
        <v>105</v>
      </c>
      <c r="D78" t="s">
        <v>119</v>
      </c>
      <c r="E78" t="s">
        <v>107</v>
      </c>
      <c r="F78" t="s">
        <v>121</v>
      </c>
      <c r="G78" t="s">
        <v>20</v>
      </c>
      <c r="H78" t="s">
        <v>21</v>
      </c>
      <c r="I78" t="s">
        <v>22</v>
      </c>
      <c r="J78" t="s">
        <v>23</v>
      </c>
      <c r="K78">
        <v>312</v>
      </c>
      <c r="L78" s="4">
        <v>14.1189094</v>
      </c>
      <c r="M78" s="4">
        <v>229.67321154461391</v>
      </c>
      <c r="N78" s="4">
        <v>5.563980444193338E-3</v>
      </c>
      <c r="O78" s="1" t="str">
        <f>HYPERLINK(".\sm_car_250419_2207\sm_car_250419_2207_077_Ca215TrN_MaWOT_ode23t.png","figure")</f>
        <v>figure</v>
      </c>
      <c r="P78" t="s">
        <v>15</v>
      </c>
    </row>
    <row r="79" spans="1:16" x14ac:dyDescent="0.25">
      <c r="A79">
        <v>78</v>
      </c>
      <c r="B79">
        <v>215</v>
      </c>
      <c r="C79" t="s">
        <v>105</v>
      </c>
      <c r="D79" t="s">
        <v>119</v>
      </c>
      <c r="E79" t="s">
        <v>107</v>
      </c>
      <c r="F79" t="s">
        <v>121</v>
      </c>
      <c r="G79" t="s">
        <v>20</v>
      </c>
      <c r="H79" t="s">
        <v>21</v>
      </c>
      <c r="I79" t="s">
        <v>24</v>
      </c>
      <c r="J79" t="s">
        <v>23</v>
      </c>
      <c r="K79">
        <v>471</v>
      </c>
      <c r="L79" s="4">
        <v>13.4969106</v>
      </c>
      <c r="M79" s="4">
        <v>81.271563573268978</v>
      </c>
      <c r="N79" s="4">
        <v>-0.22186136044426508</v>
      </c>
      <c r="O79" s="1" t="str">
        <f>HYPERLINK(".\sm_car_250419_2207\sm_car_250419_2207_078_Ca215TrN_MaLSS_ode23t.png","figure")</f>
        <v>figure</v>
      </c>
      <c r="P79" t="s">
        <v>15</v>
      </c>
    </row>
    <row r="80" spans="1:16" x14ac:dyDescent="0.25">
      <c r="A80">
        <v>79</v>
      </c>
      <c r="B80">
        <v>218</v>
      </c>
      <c r="C80" t="s">
        <v>16</v>
      </c>
      <c r="D80" t="s">
        <v>122</v>
      </c>
      <c r="E80" t="s">
        <v>107</v>
      </c>
      <c r="F80" t="s">
        <v>19</v>
      </c>
      <c r="G80" t="s">
        <v>26</v>
      </c>
      <c r="H80" t="s">
        <v>21</v>
      </c>
      <c r="I80" t="s">
        <v>22</v>
      </c>
      <c r="J80" t="s">
        <v>23</v>
      </c>
      <c r="K80">
        <v>354</v>
      </c>
      <c r="L80" s="4">
        <v>6.9796109</v>
      </c>
      <c r="M80" s="4">
        <v>230.31536931318419</v>
      </c>
      <c r="N80" s="4">
        <v>0.16931126648030767</v>
      </c>
      <c r="O80" s="1" t="str">
        <f>HYPERLINK(".\sm_car_250419_2207\sm_car_250419_2207_079_Ca218TrN_MaWOT_ode23t.png","figure")</f>
        <v>figure</v>
      </c>
      <c r="P80" t="s">
        <v>15</v>
      </c>
    </row>
    <row r="81" spans="1:16" x14ac:dyDescent="0.25">
      <c r="A81">
        <v>80</v>
      </c>
      <c r="B81">
        <v>218</v>
      </c>
      <c r="C81" t="s">
        <v>16</v>
      </c>
      <c r="D81" t="s">
        <v>122</v>
      </c>
      <c r="E81" t="s">
        <v>107</v>
      </c>
      <c r="F81" t="s">
        <v>19</v>
      </c>
      <c r="G81" t="s">
        <v>26</v>
      </c>
      <c r="H81" t="s">
        <v>21</v>
      </c>
      <c r="I81" t="s">
        <v>24</v>
      </c>
      <c r="J81" t="s">
        <v>23</v>
      </c>
      <c r="K81">
        <v>487</v>
      </c>
      <c r="L81" s="4">
        <v>8.0399122999999992</v>
      </c>
      <c r="M81" s="4">
        <v>70.957959774254249</v>
      </c>
      <c r="N81" s="4">
        <v>-0.53563803579476243</v>
      </c>
      <c r="O81" s="1" t="str">
        <f>HYPERLINK(".\sm_car_250419_2207\sm_car_250419_2207_080_Ca218TrN_MaLSS_ode23t.png","figure")</f>
        <v>figure</v>
      </c>
      <c r="P81" t="s">
        <v>15</v>
      </c>
    </row>
    <row r="82" spans="1:16" x14ac:dyDescent="0.25">
      <c r="A82">
        <v>81</v>
      </c>
      <c r="B82">
        <v>219</v>
      </c>
      <c r="C82" t="s">
        <v>16</v>
      </c>
      <c r="D82" t="s">
        <v>123</v>
      </c>
      <c r="E82" t="s">
        <v>107</v>
      </c>
      <c r="F82" t="s">
        <v>19</v>
      </c>
      <c r="G82" t="s">
        <v>26</v>
      </c>
      <c r="H82" t="s">
        <v>21</v>
      </c>
      <c r="I82" t="s">
        <v>22</v>
      </c>
      <c r="J82" t="s">
        <v>23</v>
      </c>
      <c r="K82">
        <v>403</v>
      </c>
      <c r="L82" s="4">
        <v>11.0385651</v>
      </c>
      <c r="M82" s="4">
        <v>229.82190283850659</v>
      </c>
      <c r="N82" s="4">
        <v>0.17028649399070192</v>
      </c>
      <c r="O82" s="1" t="str">
        <f>HYPERLINK(".\sm_car_250419_2207\sm_car_250419_2207_081_Ca219TrN_MaWOT_ode23t.png","figure")</f>
        <v>figure</v>
      </c>
      <c r="P82" t="s">
        <v>15</v>
      </c>
    </row>
    <row r="83" spans="1:16" x14ac:dyDescent="0.25">
      <c r="A83">
        <v>82</v>
      </c>
      <c r="B83">
        <v>219</v>
      </c>
      <c r="C83" t="s">
        <v>16</v>
      </c>
      <c r="D83" t="s">
        <v>123</v>
      </c>
      <c r="E83" t="s">
        <v>107</v>
      </c>
      <c r="F83" t="s">
        <v>19</v>
      </c>
      <c r="G83" t="s">
        <v>26</v>
      </c>
      <c r="H83" t="s">
        <v>21</v>
      </c>
      <c r="I83" t="s">
        <v>24</v>
      </c>
      <c r="J83" t="s">
        <v>23</v>
      </c>
      <c r="K83">
        <v>518</v>
      </c>
      <c r="L83" s="4">
        <v>13.957640400000001</v>
      </c>
      <c r="M83" s="4">
        <v>70.789742330295653</v>
      </c>
      <c r="N83" s="4">
        <v>-0.55504419450297393</v>
      </c>
      <c r="O83" s="1" t="str">
        <f>HYPERLINK(".\sm_car_250419_2207\sm_car_250419_2207_082_Ca219TrN_MaLSS_ode23t.png","figure")</f>
        <v>figure</v>
      </c>
      <c r="P83" t="s">
        <v>15</v>
      </c>
    </row>
    <row r="84" spans="1:16" x14ac:dyDescent="0.25">
      <c r="A84">
        <v>83</v>
      </c>
      <c r="B84">
        <v>220</v>
      </c>
      <c r="C84" t="s">
        <v>16</v>
      </c>
      <c r="D84" t="s">
        <v>123</v>
      </c>
      <c r="E84" t="s">
        <v>107</v>
      </c>
      <c r="F84" t="s">
        <v>120</v>
      </c>
      <c r="G84" t="s">
        <v>26</v>
      </c>
      <c r="H84" t="s">
        <v>21</v>
      </c>
      <c r="I84" t="s">
        <v>22</v>
      </c>
      <c r="J84" t="s">
        <v>23</v>
      </c>
      <c r="K84">
        <v>937</v>
      </c>
      <c r="L84" s="4">
        <v>52.362454</v>
      </c>
      <c r="M84" s="4">
        <v>224.02325151621076</v>
      </c>
      <c r="N84" s="4">
        <v>-1.1958661525624197</v>
      </c>
      <c r="O84" s="1" t="str">
        <f>HYPERLINK(".\sm_car_250419_2207\sm_car_250419_2207_083_Ca220TrN_MaWOT_ode23t.png","figure")</f>
        <v>figure</v>
      </c>
      <c r="P84" t="s">
        <v>15</v>
      </c>
    </row>
    <row r="85" spans="1:16" x14ac:dyDescent="0.25">
      <c r="A85">
        <v>84</v>
      </c>
      <c r="B85">
        <v>220</v>
      </c>
      <c r="C85" t="s">
        <v>16</v>
      </c>
      <c r="D85" t="s">
        <v>123</v>
      </c>
      <c r="E85" t="s">
        <v>107</v>
      </c>
      <c r="F85" t="s">
        <v>120</v>
      </c>
      <c r="G85" t="s">
        <v>26</v>
      </c>
      <c r="H85" t="s">
        <v>21</v>
      </c>
      <c r="I85" t="s">
        <v>24</v>
      </c>
      <c r="J85" t="s">
        <v>23</v>
      </c>
      <c r="K85">
        <v>1088</v>
      </c>
      <c r="L85" s="4">
        <v>62.3480408</v>
      </c>
      <c r="M85" s="4">
        <v>69.478176954342416</v>
      </c>
      <c r="N85" s="4">
        <v>-1.5025119952874468</v>
      </c>
      <c r="O85" s="1" t="str">
        <f>HYPERLINK(".\sm_car_250419_2207\sm_car_250419_2207_084_Ca220TrN_MaLSS_ode23t.png","figure")</f>
        <v>figure</v>
      </c>
      <c r="P85" t="s">
        <v>15</v>
      </c>
    </row>
    <row r="86" spans="1:16" x14ac:dyDescent="0.25">
      <c r="A86">
        <v>85</v>
      </c>
      <c r="B86">
        <v>223</v>
      </c>
      <c r="C86" t="s">
        <v>105</v>
      </c>
      <c r="D86" t="s">
        <v>124</v>
      </c>
      <c r="E86" t="s">
        <v>107</v>
      </c>
      <c r="F86" t="s">
        <v>19</v>
      </c>
      <c r="G86" t="s">
        <v>20</v>
      </c>
      <c r="H86" t="s">
        <v>21</v>
      </c>
      <c r="I86" t="s">
        <v>22</v>
      </c>
      <c r="J86" t="s">
        <v>23</v>
      </c>
      <c r="K86">
        <v>472</v>
      </c>
      <c r="L86" s="4">
        <v>12.0565921</v>
      </c>
      <c r="M86" s="4">
        <v>293.17113750064703</v>
      </c>
      <c r="N86" s="4">
        <v>3.7242743443262824E-5</v>
      </c>
      <c r="O86" s="1" t="str">
        <f>HYPERLINK(".\sm_car_250419_2207\sm_car_250419_2207_085_Ca223TrN_MaWOT_ode23t.png","figure")</f>
        <v>figure</v>
      </c>
      <c r="P86" t="s">
        <v>15</v>
      </c>
    </row>
    <row r="87" spans="1:16" x14ac:dyDescent="0.25">
      <c r="A87">
        <v>86</v>
      </c>
      <c r="B87">
        <v>223</v>
      </c>
      <c r="C87" t="s">
        <v>105</v>
      </c>
      <c r="D87" t="s">
        <v>124</v>
      </c>
      <c r="E87" t="s">
        <v>107</v>
      </c>
      <c r="F87" t="s">
        <v>19</v>
      </c>
      <c r="G87" t="s">
        <v>20</v>
      </c>
      <c r="H87" t="s">
        <v>21</v>
      </c>
      <c r="I87" t="s">
        <v>24</v>
      </c>
      <c r="J87" t="s">
        <v>23</v>
      </c>
      <c r="K87">
        <v>639</v>
      </c>
      <c r="L87" s="4">
        <v>11.7474078</v>
      </c>
      <c r="M87" s="4">
        <v>103.53711333962399</v>
      </c>
      <c r="N87" s="4">
        <v>-0.1534351599510845</v>
      </c>
      <c r="O87" s="1" t="str">
        <f>HYPERLINK(".\sm_car_250419_2207\sm_car_250419_2207_086_Ca223TrN_MaLSS_ode23t.png","figure")</f>
        <v>figure</v>
      </c>
      <c r="P87" t="s">
        <v>15</v>
      </c>
    </row>
    <row r="88" spans="1:16" x14ac:dyDescent="0.25">
      <c r="A88">
        <v>87</v>
      </c>
      <c r="B88">
        <v>227</v>
      </c>
      <c r="C88" t="s">
        <v>45</v>
      </c>
      <c r="D88" t="s">
        <v>125</v>
      </c>
      <c r="E88" t="s">
        <v>107</v>
      </c>
      <c r="F88" t="s">
        <v>19</v>
      </c>
      <c r="G88" t="s">
        <v>26</v>
      </c>
      <c r="H88" t="s">
        <v>21</v>
      </c>
      <c r="I88" t="s">
        <v>22</v>
      </c>
      <c r="J88" t="s">
        <v>23</v>
      </c>
      <c r="K88">
        <v>659</v>
      </c>
      <c r="L88" s="4">
        <v>34.574598100000003</v>
      </c>
      <c r="M88" s="4">
        <v>409.17997214102019</v>
      </c>
      <c r="N88" s="4">
        <v>1.6027045737251469</v>
      </c>
      <c r="O88" s="1" t="str">
        <f>HYPERLINK(".\sm_car_250419_2207\sm_car_250419_2207_087_Ca227TrN_MaWOT_ode23t.png","figure")</f>
        <v>figure</v>
      </c>
      <c r="P88" t="s">
        <v>15</v>
      </c>
    </row>
    <row r="89" spans="1:16" x14ac:dyDescent="0.25">
      <c r="A89">
        <v>88</v>
      </c>
      <c r="B89">
        <v>227</v>
      </c>
      <c r="C89" t="s">
        <v>45</v>
      </c>
      <c r="D89" t="s">
        <v>125</v>
      </c>
      <c r="E89" t="s">
        <v>107</v>
      </c>
      <c r="F89" t="s">
        <v>19</v>
      </c>
      <c r="G89" t="s">
        <v>26</v>
      </c>
      <c r="H89" t="s">
        <v>21</v>
      </c>
      <c r="I89" t="s">
        <v>24</v>
      </c>
      <c r="J89" t="s">
        <v>23</v>
      </c>
      <c r="K89">
        <v>642</v>
      </c>
      <c r="L89" s="4">
        <v>21.976965</v>
      </c>
      <c r="M89" s="4">
        <v>156.23444714058132</v>
      </c>
      <c r="N89" s="4">
        <v>-0.35750885881120925</v>
      </c>
      <c r="O89" s="1" t="str">
        <f>HYPERLINK(".\sm_car_250419_2207\sm_car_250419_2207_088_Ca227TrN_MaLSS_ode23t.png","figure")</f>
        <v>figure</v>
      </c>
      <c r="P89" t="s">
        <v>15</v>
      </c>
    </row>
    <row r="90" spans="1:16" x14ac:dyDescent="0.25">
      <c r="A90">
        <v>89</v>
      </c>
      <c r="B90">
        <v>8</v>
      </c>
      <c r="C90" t="s">
        <v>16</v>
      </c>
      <c r="D90" t="s">
        <v>17</v>
      </c>
      <c r="E90" t="s">
        <v>49</v>
      </c>
      <c r="F90" t="s">
        <v>19</v>
      </c>
      <c r="G90" t="s">
        <v>20</v>
      </c>
      <c r="H90" t="s">
        <v>21</v>
      </c>
      <c r="I90" t="s">
        <v>22</v>
      </c>
      <c r="J90" t="s">
        <v>23</v>
      </c>
      <c r="K90">
        <v>392</v>
      </c>
      <c r="L90" s="4">
        <v>17.0329707</v>
      </c>
      <c r="M90" s="4">
        <v>231.33147106075563</v>
      </c>
      <c r="N90" s="4">
        <v>-3.6510895676562837E-3</v>
      </c>
      <c r="O90" s="1" t="str">
        <f>HYPERLINK(".\sm_car_250419_2207\sm_car_250419_2207_089_Ca008TrN_MaWOT_ode23t_1.png","figure")</f>
        <v>figure</v>
      </c>
      <c r="P90" t="s">
        <v>15</v>
      </c>
    </row>
    <row r="91" spans="1:16" x14ac:dyDescent="0.25">
      <c r="A91">
        <v>90</v>
      </c>
      <c r="B91">
        <v>8</v>
      </c>
      <c r="C91" t="s">
        <v>16</v>
      </c>
      <c r="D91" t="s">
        <v>17</v>
      </c>
      <c r="E91" t="s">
        <v>49</v>
      </c>
      <c r="F91" t="s">
        <v>19</v>
      </c>
      <c r="G91" t="s">
        <v>20</v>
      </c>
      <c r="H91" t="s">
        <v>21</v>
      </c>
      <c r="I91" t="s">
        <v>24</v>
      </c>
      <c r="J91" t="s">
        <v>23</v>
      </c>
      <c r="K91">
        <v>547</v>
      </c>
      <c r="L91" s="4">
        <v>20.3609595</v>
      </c>
      <c r="M91" s="4">
        <v>71.256758018087169</v>
      </c>
      <c r="N91" s="4">
        <v>-0.53934552002467995</v>
      </c>
      <c r="O91" s="1" t="str">
        <f>HYPERLINK(".\sm_car_250419_2207\sm_car_250419_2207_090_Ca008TrN_MaLSS_ode23t_1.png","figure")</f>
        <v>figure</v>
      </c>
      <c r="P91" t="s">
        <v>15</v>
      </c>
    </row>
    <row r="92" spans="1:16" x14ac:dyDescent="0.25">
      <c r="A92">
        <v>91</v>
      </c>
      <c r="B92">
        <v>9</v>
      </c>
      <c r="C92" t="s">
        <v>16</v>
      </c>
      <c r="D92" t="s">
        <v>17</v>
      </c>
      <c r="E92" t="s">
        <v>49</v>
      </c>
      <c r="F92" t="s">
        <v>19</v>
      </c>
      <c r="G92" t="s">
        <v>25</v>
      </c>
      <c r="H92" t="s">
        <v>21</v>
      </c>
      <c r="I92" t="s">
        <v>22</v>
      </c>
      <c r="J92" t="s">
        <v>23</v>
      </c>
      <c r="K92">
        <v>384</v>
      </c>
      <c r="L92" s="4">
        <v>19.189294199999999</v>
      </c>
      <c r="M92" s="4">
        <v>230.24063688669187</v>
      </c>
      <c r="N92" s="4">
        <v>-1.2060582489864314E-2</v>
      </c>
      <c r="O92" s="1" t="str">
        <f>HYPERLINK(".\sm_car_250419_2207\sm_car_250419_2207_091_Ca009TrN_MaWOT_ode23t_1.png","figure")</f>
        <v>figure</v>
      </c>
      <c r="P92" t="s">
        <v>15</v>
      </c>
    </row>
    <row r="93" spans="1:16" x14ac:dyDescent="0.25">
      <c r="A93">
        <v>92</v>
      </c>
      <c r="B93">
        <v>9</v>
      </c>
      <c r="C93" t="s">
        <v>16</v>
      </c>
      <c r="D93" t="s">
        <v>17</v>
      </c>
      <c r="E93" t="s">
        <v>49</v>
      </c>
      <c r="F93" t="s">
        <v>19</v>
      </c>
      <c r="G93" t="s">
        <v>25</v>
      </c>
      <c r="H93" t="s">
        <v>21</v>
      </c>
      <c r="I93" t="s">
        <v>24</v>
      </c>
      <c r="J93" t="s">
        <v>23</v>
      </c>
      <c r="K93">
        <v>540</v>
      </c>
      <c r="L93" s="4">
        <v>22.8333832</v>
      </c>
      <c r="M93" s="4">
        <v>70.964971372445817</v>
      </c>
      <c r="N93" s="4">
        <v>-0.53153688578898373</v>
      </c>
      <c r="O93" s="1" t="str">
        <f>HYPERLINK(".\sm_car_250419_2207\sm_car_250419_2207_092_Ca009TrN_MaLSS_ode23t_1.png","figure")</f>
        <v>figure</v>
      </c>
      <c r="P93" t="s">
        <v>15</v>
      </c>
    </row>
    <row r="94" spans="1:16" x14ac:dyDescent="0.25">
      <c r="A94">
        <v>93</v>
      </c>
      <c r="B94">
        <v>10</v>
      </c>
      <c r="C94" t="s">
        <v>16</v>
      </c>
      <c r="D94" t="s">
        <v>17</v>
      </c>
      <c r="E94" t="s">
        <v>49</v>
      </c>
      <c r="F94" t="s">
        <v>19</v>
      </c>
      <c r="G94" t="s">
        <v>26</v>
      </c>
      <c r="H94" t="s">
        <v>21</v>
      </c>
      <c r="I94" t="s">
        <v>22</v>
      </c>
      <c r="J94" t="s">
        <v>23</v>
      </c>
      <c r="K94">
        <v>395</v>
      </c>
      <c r="L94" s="4">
        <v>20.269728199999999</v>
      </c>
      <c r="M94" s="4">
        <v>230.13211350781043</v>
      </c>
      <c r="N94" s="4">
        <v>5.2793892164661287E-2</v>
      </c>
      <c r="O94" s="1" t="str">
        <f>HYPERLINK(".\sm_car_250419_2207\sm_car_250419_2207_093_Ca010TrN_MaWOT_ode23t_1.png","figure")</f>
        <v>figure</v>
      </c>
      <c r="P94" t="s">
        <v>15</v>
      </c>
    </row>
    <row r="95" spans="1:16" x14ac:dyDescent="0.25">
      <c r="A95">
        <v>94</v>
      </c>
      <c r="B95">
        <v>10</v>
      </c>
      <c r="C95" t="s">
        <v>16</v>
      </c>
      <c r="D95" t="s">
        <v>17</v>
      </c>
      <c r="E95" t="s">
        <v>49</v>
      </c>
      <c r="F95" t="s">
        <v>19</v>
      </c>
      <c r="G95" t="s">
        <v>26</v>
      </c>
      <c r="H95" t="s">
        <v>21</v>
      </c>
      <c r="I95" t="s">
        <v>24</v>
      </c>
      <c r="J95" t="s">
        <v>23</v>
      </c>
      <c r="K95">
        <v>564</v>
      </c>
      <c r="L95" s="4">
        <v>26.1794057</v>
      </c>
      <c r="M95" s="4">
        <v>70.977269215798444</v>
      </c>
      <c r="N95" s="4">
        <v>-0.53088816772472625</v>
      </c>
      <c r="O95" s="1" t="str">
        <f>HYPERLINK(".\sm_car_250419_2207\sm_car_250419_2207_094_Ca010TrN_MaLSS_ode23t_1.png","figure")</f>
        <v>figure</v>
      </c>
      <c r="P95" t="s">
        <v>15</v>
      </c>
    </row>
    <row r="96" spans="1:16" x14ac:dyDescent="0.25">
      <c r="A96">
        <v>95</v>
      </c>
      <c r="B96">
        <v>11</v>
      </c>
      <c r="C96" t="s">
        <v>16</v>
      </c>
      <c r="D96" t="s">
        <v>17</v>
      </c>
      <c r="E96" t="s">
        <v>49</v>
      </c>
      <c r="F96" t="s">
        <v>19</v>
      </c>
      <c r="G96" t="s">
        <v>27</v>
      </c>
      <c r="H96" t="s">
        <v>21</v>
      </c>
      <c r="I96" t="s">
        <v>22</v>
      </c>
      <c r="J96" t="s">
        <v>23</v>
      </c>
      <c r="K96">
        <v>443</v>
      </c>
      <c r="L96" s="4">
        <v>22.2825898</v>
      </c>
      <c r="M96" s="4">
        <v>229.82175511519344</v>
      </c>
      <c r="N96" s="4">
        <v>5.4227344993905767E-2</v>
      </c>
      <c r="O96" s="1" t="str">
        <f>HYPERLINK(".\sm_car_250419_2207\sm_car_250419_2207_095_Ca011TrN_MaWOT_ode23t_1.png","figure")</f>
        <v>figure</v>
      </c>
      <c r="P96" t="s">
        <v>15</v>
      </c>
    </row>
    <row r="97" spans="1:16" x14ac:dyDescent="0.25">
      <c r="A97">
        <v>96</v>
      </c>
      <c r="B97">
        <v>11</v>
      </c>
      <c r="C97" t="s">
        <v>16</v>
      </c>
      <c r="D97" t="s">
        <v>17</v>
      </c>
      <c r="E97" t="s">
        <v>49</v>
      </c>
      <c r="F97" t="s">
        <v>19</v>
      </c>
      <c r="G97" t="s">
        <v>27</v>
      </c>
      <c r="H97" t="s">
        <v>21</v>
      </c>
      <c r="I97" t="s">
        <v>24</v>
      </c>
      <c r="J97" t="s">
        <v>23</v>
      </c>
      <c r="K97">
        <v>596</v>
      </c>
      <c r="L97" s="4">
        <v>28.289959499999998</v>
      </c>
      <c r="M97" s="4">
        <v>70.83972810151154</v>
      </c>
      <c r="N97" s="4">
        <v>-0.52126277761955742</v>
      </c>
      <c r="O97" s="1" t="str">
        <f>HYPERLINK(".\sm_car_250419_2207\sm_car_250419_2207_096_Ca011TrN_MaLSS_ode23t_1.png","figure")</f>
        <v>figure</v>
      </c>
      <c r="P97" t="s">
        <v>15</v>
      </c>
    </row>
    <row r="98" spans="1:16" x14ac:dyDescent="0.25">
      <c r="A98">
        <v>97</v>
      </c>
      <c r="B98">
        <v>12</v>
      </c>
      <c r="C98" t="s">
        <v>16</v>
      </c>
      <c r="D98" t="s">
        <v>17</v>
      </c>
      <c r="E98" t="s">
        <v>49</v>
      </c>
      <c r="F98" t="s">
        <v>28</v>
      </c>
      <c r="G98" t="s">
        <v>20</v>
      </c>
      <c r="H98" t="s">
        <v>21</v>
      </c>
      <c r="I98" t="s">
        <v>22</v>
      </c>
      <c r="J98" t="s">
        <v>23</v>
      </c>
      <c r="K98">
        <v>846</v>
      </c>
      <c r="L98" s="4">
        <v>18.722936399999998</v>
      </c>
      <c r="M98" s="4">
        <v>231.17479324928092</v>
      </c>
      <c r="N98" s="4">
        <v>-3.4723158075930538E-3</v>
      </c>
      <c r="O98" s="1" t="str">
        <f>HYPERLINK(".\sm_car_250419_2207\sm_car_250419_2207_097_Ca012TrN_MaWOT_ode23t_1.png","figure")</f>
        <v>figure</v>
      </c>
      <c r="P98" t="s">
        <v>15</v>
      </c>
    </row>
    <row r="99" spans="1:16" x14ac:dyDescent="0.25">
      <c r="A99">
        <v>98</v>
      </c>
      <c r="B99">
        <v>12</v>
      </c>
      <c r="C99" t="s">
        <v>16</v>
      </c>
      <c r="D99" t="s">
        <v>17</v>
      </c>
      <c r="E99" t="s">
        <v>49</v>
      </c>
      <c r="F99" t="s">
        <v>28</v>
      </c>
      <c r="G99" t="s">
        <v>20</v>
      </c>
      <c r="H99" t="s">
        <v>21</v>
      </c>
      <c r="I99" t="s">
        <v>24</v>
      </c>
      <c r="J99" t="s">
        <v>23</v>
      </c>
      <c r="K99">
        <v>992</v>
      </c>
      <c r="L99" s="4">
        <v>21.916291300000001</v>
      </c>
      <c r="M99" s="4">
        <v>71.259835365766008</v>
      </c>
      <c r="N99" s="4">
        <v>-0.54570824274626129</v>
      </c>
      <c r="O99" s="1" t="str">
        <f>HYPERLINK(".\sm_car_250419_2207\sm_car_250419_2207_098_Ca012TrN_MaLSS_ode23t_1.png","figure")</f>
        <v>figure</v>
      </c>
      <c r="P99" t="s">
        <v>15</v>
      </c>
    </row>
    <row r="100" spans="1:16" x14ac:dyDescent="0.25">
      <c r="A100">
        <v>99</v>
      </c>
      <c r="B100">
        <v>13</v>
      </c>
      <c r="C100" t="s">
        <v>16</v>
      </c>
      <c r="D100" t="s">
        <v>17</v>
      </c>
      <c r="E100" t="s">
        <v>49</v>
      </c>
      <c r="F100" t="s">
        <v>28</v>
      </c>
      <c r="G100" t="s">
        <v>25</v>
      </c>
      <c r="H100" t="s">
        <v>21</v>
      </c>
      <c r="I100" t="s">
        <v>22</v>
      </c>
      <c r="J100" t="s">
        <v>23</v>
      </c>
      <c r="K100">
        <v>855</v>
      </c>
      <c r="L100" s="4">
        <v>21.505924100000001</v>
      </c>
      <c r="M100" s="4">
        <v>230.15253188174046</v>
      </c>
      <c r="N100" s="4">
        <v>-1.1673393116660765E-2</v>
      </c>
      <c r="O100" s="1" t="str">
        <f>HYPERLINK(".\sm_car_250419_2207\sm_car_250419_2207_099_Ca013TrN_MaWOT_ode23t_1.png","figure")</f>
        <v>figure</v>
      </c>
      <c r="P100" t="s">
        <v>15</v>
      </c>
    </row>
    <row r="101" spans="1:16" x14ac:dyDescent="0.25">
      <c r="A101">
        <v>100</v>
      </c>
      <c r="B101">
        <v>13</v>
      </c>
      <c r="C101" t="s">
        <v>16</v>
      </c>
      <c r="D101" t="s">
        <v>17</v>
      </c>
      <c r="E101" t="s">
        <v>49</v>
      </c>
      <c r="F101" t="s">
        <v>28</v>
      </c>
      <c r="G101" t="s">
        <v>25</v>
      </c>
      <c r="H101" t="s">
        <v>21</v>
      </c>
      <c r="I101" t="s">
        <v>24</v>
      </c>
      <c r="J101" t="s">
        <v>23</v>
      </c>
      <c r="K101">
        <v>1008</v>
      </c>
      <c r="L101" s="4">
        <v>25.182413400000002</v>
      </c>
      <c r="M101" s="4">
        <v>70.96020968202042</v>
      </c>
      <c r="N101" s="4">
        <v>-0.53947317292295616</v>
      </c>
      <c r="O101" s="1" t="str">
        <f>HYPERLINK(".\sm_car_250419_2207\sm_car_250419_2207_100_Ca013TrN_MaLSS_ode23t_1.png","figure")</f>
        <v>figure</v>
      </c>
      <c r="P101" t="s">
        <v>15</v>
      </c>
    </row>
    <row r="102" spans="1:16" x14ac:dyDescent="0.25">
      <c r="A102">
        <v>101</v>
      </c>
      <c r="B102">
        <v>14</v>
      </c>
      <c r="C102" t="s">
        <v>16</v>
      </c>
      <c r="D102" t="s">
        <v>17</v>
      </c>
      <c r="E102" t="s">
        <v>49</v>
      </c>
      <c r="F102" t="s">
        <v>28</v>
      </c>
      <c r="G102" t="s">
        <v>26</v>
      </c>
      <c r="H102" t="s">
        <v>21</v>
      </c>
      <c r="I102" t="s">
        <v>22</v>
      </c>
      <c r="J102" t="s">
        <v>23</v>
      </c>
      <c r="K102">
        <v>884</v>
      </c>
      <c r="L102" s="4">
        <v>21.011168999999999</v>
      </c>
      <c r="M102" s="4">
        <v>230.39825579796045</v>
      </c>
      <c r="N102" s="4">
        <v>5.3790134406040337E-2</v>
      </c>
      <c r="O102" s="1" t="str">
        <f>HYPERLINK(".\sm_car_250419_2207\sm_car_250419_2207_101_Ca014TrN_MaWOT_ode23t_1.png","figure")</f>
        <v>figure</v>
      </c>
      <c r="P102" t="s">
        <v>15</v>
      </c>
    </row>
    <row r="103" spans="1:16" x14ac:dyDescent="0.25">
      <c r="A103">
        <v>102</v>
      </c>
      <c r="B103">
        <v>14</v>
      </c>
      <c r="C103" t="s">
        <v>16</v>
      </c>
      <c r="D103" t="s">
        <v>17</v>
      </c>
      <c r="E103" t="s">
        <v>49</v>
      </c>
      <c r="F103" t="s">
        <v>28</v>
      </c>
      <c r="G103" t="s">
        <v>26</v>
      </c>
      <c r="H103" t="s">
        <v>21</v>
      </c>
      <c r="I103" t="s">
        <v>24</v>
      </c>
      <c r="J103" t="s">
        <v>23</v>
      </c>
      <c r="K103">
        <v>1030</v>
      </c>
      <c r="L103" s="4">
        <v>25.515231700000001</v>
      </c>
      <c r="M103" s="4">
        <v>70.970001962822082</v>
      </c>
      <c r="N103" s="4">
        <v>-0.5347162134489778</v>
      </c>
      <c r="O103" s="1" t="str">
        <f>HYPERLINK(".\sm_car_250419_2207\sm_car_250419_2207_102_Ca014TrN_MaLSS_ode23t_1.png","figure")</f>
        <v>figure</v>
      </c>
      <c r="P103" t="s">
        <v>15</v>
      </c>
    </row>
    <row r="104" spans="1:16" x14ac:dyDescent="0.25">
      <c r="A104">
        <v>103</v>
      </c>
      <c r="B104">
        <v>15</v>
      </c>
      <c r="C104" t="s">
        <v>16</v>
      </c>
      <c r="D104" t="s">
        <v>17</v>
      </c>
      <c r="E104" t="s">
        <v>49</v>
      </c>
      <c r="F104" t="s">
        <v>28</v>
      </c>
      <c r="G104" t="s">
        <v>27</v>
      </c>
      <c r="H104" t="s">
        <v>21</v>
      </c>
      <c r="I104" t="s">
        <v>22</v>
      </c>
      <c r="J104" t="s">
        <v>23</v>
      </c>
      <c r="K104">
        <v>896</v>
      </c>
      <c r="L104" s="4">
        <v>22.198603200000001</v>
      </c>
      <c r="M104" s="4">
        <v>229.92239636033304</v>
      </c>
      <c r="N104" s="4">
        <v>5.2672107292781357E-2</v>
      </c>
      <c r="O104" s="1" t="str">
        <f>HYPERLINK(".\sm_car_250419_2207\sm_car_250419_2207_103_Ca015TrN_MaWOT_ode23t_1.png","figure")</f>
        <v>figure</v>
      </c>
      <c r="P104" t="s">
        <v>15</v>
      </c>
    </row>
    <row r="105" spans="1:16" x14ac:dyDescent="0.25">
      <c r="A105">
        <v>104</v>
      </c>
      <c r="B105">
        <v>15</v>
      </c>
      <c r="C105" t="s">
        <v>16</v>
      </c>
      <c r="D105" t="s">
        <v>17</v>
      </c>
      <c r="E105" t="s">
        <v>49</v>
      </c>
      <c r="F105" t="s">
        <v>28</v>
      </c>
      <c r="G105" t="s">
        <v>27</v>
      </c>
      <c r="H105" t="s">
        <v>21</v>
      </c>
      <c r="I105" t="s">
        <v>24</v>
      </c>
      <c r="J105" t="s">
        <v>23</v>
      </c>
      <c r="K105">
        <v>1045</v>
      </c>
      <c r="L105" s="4">
        <v>27.6503275</v>
      </c>
      <c r="M105" s="4">
        <v>70.835491940340418</v>
      </c>
      <c r="N105" s="4">
        <v>-0.53011735590826037</v>
      </c>
      <c r="O105" s="1" t="str">
        <f>HYPERLINK(".\sm_car_250419_2207\sm_car_250419_2207_104_Ca015TrN_MaLSS_ode23t_1.png","figure")</f>
        <v>figure</v>
      </c>
      <c r="P105" t="s">
        <v>15</v>
      </c>
    </row>
    <row r="106" spans="1:16" x14ac:dyDescent="0.25">
      <c r="A106">
        <v>105</v>
      </c>
      <c r="B106">
        <v>120</v>
      </c>
      <c r="C106" t="s">
        <v>16</v>
      </c>
      <c r="D106" t="s">
        <v>35</v>
      </c>
      <c r="E106" t="s">
        <v>49</v>
      </c>
      <c r="F106" t="s">
        <v>19</v>
      </c>
      <c r="G106" t="s">
        <v>20</v>
      </c>
      <c r="H106" t="s">
        <v>21</v>
      </c>
      <c r="I106" t="s">
        <v>22</v>
      </c>
      <c r="J106" t="s">
        <v>23</v>
      </c>
      <c r="K106">
        <v>400</v>
      </c>
      <c r="L106" s="4">
        <v>5.4779264999999997</v>
      </c>
      <c r="M106" s="4">
        <v>242.58934839007273</v>
      </c>
      <c r="N106" s="4">
        <v>0.23204803080071817</v>
      </c>
      <c r="O106" s="1" t="str">
        <f>HYPERLINK(".\sm_car_250419_2207\sm_car_250419_2207_105_Ca120TrN_MaWOT_ode23t_1.png","figure")</f>
        <v>figure</v>
      </c>
      <c r="P106" t="s">
        <v>15</v>
      </c>
    </row>
    <row r="107" spans="1:16" x14ac:dyDescent="0.25">
      <c r="A107">
        <v>106</v>
      </c>
      <c r="B107">
        <v>120</v>
      </c>
      <c r="C107" t="s">
        <v>16</v>
      </c>
      <c r="D107" t="s">
        <v>35</v>
      </c>
      <c r="E107" t="s">
        <v>49</v>
      </c>
      <c r="F107" t="s">
        <v>19</v>
      </c>
      <c r="G107" t="s">
        <v>20</v>
      </c>
      <c r="H107" t="s">
        <v>21</v>
      </c>
      <c r="I107" t="s">
        <v>24</v>
      </c>
      <c r="J107" t="s">
        <v>23</v>
      </c>
      <c r="K107">
        <v>523</v>
      </c>
      <c r="L107" s="4">
        <v>6.3206324</v>
      </c>
      <c r="M107" s="4">
        <v>74.668427791621369</v>
      </c>
      <c r="N107" s="4">
        <v>-0.33829315441325269</v>
      </c>
      <c r="O107" s="1" t="str">
        <f>HYPERLINK(".\sm_car_250419_2207\sm_car_250419_2207_106_Ca120TrN_MaLSS_ode23t_1.png","figure")</f>
        <v>figure</v>
      </c>
      <c r="P107" t="s">
        <v>15</v>
      </c>
    </row>
    <row r="108" spans="1:16" x14ac:dyDescent="0.25">
      <c r="A108">
        <v>107</v>
      </c>
      <c r="B108">
        <v>121</v>
      </c>
      <c r="C108" t="s">
        <v>16</v>
      </c>
      <c r="D108" t="s">
        <v>35</v>
      </c>
      <c r="E108" t="s">
        <v>49</v>
      </c>
      <c r="F108" t="s">
        <v>19</v>
      </c>
      <c r="G108" t="s">
        <v>25</v>
      </c>
      <c r="H108" t="s">
        <v>21</v>
      </c>
      <c r="I108" t="s">
        <v>22</v>
      </c>
      <c r="J108" t="s">
        <v>23</v>
      </c>
      <c r="K108">
        <v>417</v>
      </c>
      <c r="L108" s="4">
        <v>6.8074142999999996</v>
      </c>
      <c r="M108" s="4">
        <v>241.60741085969988</v>
      </c>
      <c r="N108" s="4">
        <v>0.22878587363230826</v>
      </c>
      <c r="O108" s="1" t="str">
        <f>HYPERLINK(".\sm_car_250419_2207\sm_car_250419_2207_107_Ca121TrN_MaWOT_ode23t_1.png","figure")</f>
        <v>figure</v>
      </c>
      <c r="P108" t="s">
        <v>15</v>
      </c>
    </row>
    <row r="109" spans="1:16" x14ac:dyDescent="0.25">
      <c r="A109">
        <v>108</v>
      </c>
      <c r="B109">
        <v>121</v>
      </c>
      <c r="C109" t="s">
        <v>16</v>
      </c>
      <c r="D109" t="s">
        <v>35</v>
      </c>
      <c r="E109" t="s">
        <v>49</v>
      </c>
      <c r="F109" t="s">
        <v>19</v>
      </c>
      <c r="G109" t="s">
        <v>25</v>
      </c>
      <c r="H109" t="s">
        <v>21</v>
      </c>
      <c r="I109" t="s">
        <v>24</v>
      </c>
      <c r="J109" t="s">
        <v>23</v>
      </c>
      <c r="K109">
        <v>523</v>
      </c>
      <c r="L109" s="4">
        <v>7.2979861000000001</v>
      </c>
      <c r="M109" s="4">
        <v>74.353921825258993</v>
      </c>
      <c r="N109" s="4">
        <v>-0.33070304458677108</v>
      </c>
      <c r="O109" s="1" t="str">
        <f>HYPERLINK(".\sm_car_250419_2207\sm_car_250419_2207_108_Ca121TrN_MaLSS_ode23t_1.png","figure")</f>
        <v>figure</v>
      </c>
      <c r="P109" t="s">
        <v>15</v>
      </c>
    </row>
    <row r="110" spans="1:16" x14ac:dyDescent="0.25">
      <c r="A110">
        <v>109</v>
      </c>
      <c r="B110">
        <v>122</v>
      </c>
      <c r="C110" t="s">
        <v>16</v>
      </c>
      <c r="D110" t="s">
        <v>35</v>
      </c>
      <c r="E110" t="s">
        <v>49</v>
      </c>
      <c r="F110" t="s">
        <v>19</v>
      </c>
      <c r="G110" t="s">
        <v>26</v>
      </c>
      <c r="H110" t="s">
        <v>21</v>
      </c>
      <c r="I110" t="s">
        <v>22</v>
      </c>
      <c r="J110" t="s">
        <v>23</v>
      </c>
      <c r="K110">
        <v>410</v>
      </c>
      <c r="L110" s="4">
        <v>7.0915488</v>
      </c>
      <c r="M110" s="4">
        <v>241.76119282571437</v>
      </c>
      <c r="N110" s="4">
        <v>0.22874437654766658</v>
      </c>
      <c r="O110" s="1" t="str">
        <f>HYPERLINK(".\sm_car_250419_2207\sm_car_250419_2207_109_Ca122TrN_MaWOT_ode23t_1.png","figure")</f>
        <v>figure</v>
      </c>
      <c r="P110" t="s">
        <v>15</v>
      </c>
    </row>
    <row r="111" spans="1:16" x14ac:dyDescent="0.25">
      <c r="A111">
        <v>110</v>
      </c>
      <c r="B111">
        <v>122</v>
      </c>
      <c r="C111" t="s">
        <v>16</v>
      </c>
      <c r="D111" t="s">
        <v>35</v>
      </c>
      <c r="E111" t="s">
        <v>49</v>
      </c>
      <c r="F111" t="s">
        <v>19</v>
      </c>
      <c r="G111" t="s">
        <v>26</v>
      </c>
      <c r="H111" t="s">
        <v>21</v>
      </c>
      <c r="I111" t="s">
        <v>24</v>
      </c>
      <c r="J111" t="s">
        <v>23</v>
      </c>
      <c r="K111">
        <v>521</v>
      </c>
      <c r="L111" s="4">
        <v>7.8583819999999998</v>
      </c>
      <c r="M111" s="4">
        <v>74.381253522717486</v>
      </c>
      <c r="N111" s="4">
        <v>-0.33361693210839788</v>
      </c>
      <c r="O111" s="1" t="str">
        <f>HYPERLINK(".\sm_car_250419_2207\sm_car_250419_2207_110_Ca122TrN_MaLSS_ode23t_1.png","figure")</f>
        <v>figure</v>
      </c>
      <c r="P111" t="s">
        <v>15</v>
      </c>
    </row>
    <row r="112" spans="1:16" x14ac:dyDescent="0.25">
      <c r="A112">
        <v>111</v>
      </c>
      <c r="B112">
        <v>123</v>
      </c>
      <c r="C112" t="s">
        <v>16</v>
      </c>
      <c r="D112" t="s">
        <v>35</v>
      </c>
      <c r="E112" t="s">
        <v>49</v>
      </c>
      <c r="F112" t="s">
        <v>19</v>
      </c>
      <c r="G112" t="s">
        <v>27</v>
      </c>
      <c r="H112" t="s">
        <v>21</v>
      </c>
      <c r="I112" t="s">
        <v>22</v>
      </c>
      <c r="J112" t="s">
        <v>23</v>
      </c>
      <c r="K112">
        <v>428</v>
      </c>
      <c r="L112" s="4">
        <v>7.0790702999999997</v>
      </c>
      <c r="M112" s="4">
        <v>241.15340980374413</v>
      </c>
      <c r="N112" s="4">
        <v>0.22483007290421073</v>
      </c>
      <c r="O112" s="1" t="str">
        <f>HYPERLINK(".\sm_car_250419_2207\sm_car_250419_2207_111_Ca123TrN_MaWOT_ode23t_1.png","figure")</f>
        <v>figure</v>
      </c>
      <c r="P112" t="s">
        <v>15</v>
      </c>
    </row>
    <row r="113" spans="1:16" x14ac:dyDescent="0.25">
      <c r="A113">
        <v>112</v>
      </c>
      <c r="B113">
        <v>123</v>
      </c>
      <c r="C113" t="s">
        <v>16</v>
      </c>
      <c r="D113" t="s">
        <v>35</v>
      </c>
      <c r="E113" t="s">
        <v>49</v>
      </c>
      <c r="F113" t="s">
        <v>19</v>
      </c>
      <c r="G113" t="s">
        <v>27</v>
      </c>
      <c r="H113" t="s">
        <v>21</v>
      </c>
      <c r="I113" t="s">
        <v>24</v>
      </c>
      <c r="J113" t="s">
        <v>23</v>
      </c>
      <c r="K113">
        <v>533</v>
      </c>
      <c r="L113" s="4">
        <v>8.0360572999999995</v>
      </c>
      <c r="M113" s="4">
        <v>74.215257223191742</v>
      </c>
      <c r="N113" s="4">
        <v>-0.32552407651183457</v>
      </c>
      <c r="O113" s="1" t="str">
        <f>HYPERLINK(".\sm_car_250419_2207\sm_car_250419_2207_112_Ca123TrN_MaLSS_ode23t_1.png","figure")</f>
        <v>figure</v>
      </c>
      <c r="P113" t="s">
        <v>15</v>
      </c>
    </row>
    <row r="114" spans="1:16" x14ac:dyDescent="0.25">
      <c r="A114">
        <v>113</v>
      </c>
      <c r="B114">
        <v>124</v>
      </c>
      <c r="C114" t="s">
        <v>16</v>
      </c>
      <c r="D114" t="s">
        <v>35</v>
      </c>
      <c r="E114" t="s">
        <v>49</v>
      </c>
      <c r="F114" t="s">
        <v>28</v>
      </c>
      <c r="G114" t="s">
        <v>20</v>
      </c>
      <c r="H114" t="s">
        <v>21</v>
      </c>
      <c r="I114" t="s">
        <v>22</v>
      </c>
      <c r="J114" t="s">
        <v>23</v>
      </c>
      <c r="K114">
        <v>1019</v>
      </c>
      <c r="L114" s="4">
        <v>7.2103748999999997</v>
      </c>
      <c r="M114" s="4">
        <v>242.55761503033963</v>
      </c>
      <c r="N114" s="4">
        <v>0.23285189659838673</v>
      </c>
      <c r="O114" s="1" t="str">
        <f>HYPERLINK(".\sm_car_250419_2207\sm_car_250419_2207_113_Ca124TrN_MaWOT_ode23t_1.png","figure")</f>
        <v>figure</v>
      </c>
      <c r="P114" t="s">
        <v>15</v>
      </c>
    </row>
    <row r="115" spans="1:16" x14ac:dyDescent="0.25">
      <c r="A115">
        <v>114</v>
      </c>
      <c r="B115">
        <v>124</v>
      </c>
      <c r="C115" t="s">
        <v>16</v>
      </c>
      <c r="D115" t="s">
        <v>35</v>
      </c>
      <c r="E115" t="s">
        <v>49</v>
      </c>
      <c r="F115" t="s">
        <v>28</v>
      </c>
      <c r="G115" t="s">
        <v>20</v>
      </c>
      <c r="H115" t="s">
        <v>21</v>
      </c>
      <c r="I115" t="s">
        <v>24</v>
      </c>
      <c r="J115" t="s">
        <v>23</v>
      </c>
      <c r="K115">
        <v>1128</v>
      </c>
      <c r="L115" s="4">
        <v>8.1997523000000001</v>
      </c>
      <c r="M115" s="4">
        <v>74.661131377413668</v>
      </c>
      <c r="N115" s="4">
        <v>-0.34138063442205635</v>
      </c>
      <c r="O115" s="1" t="str">
        <f>HYPERLINK(".\sm_car_250419_2207\sm_car_250419_2207_114_Ca124TrN_MaLSS_ode23t_1.png","figure")</f>
        <v>figure</v>
      </c>
      <c r="P115" t="s">
        <v>15</v>
      </c>
    </row>
    <row r="116" spans="1:16" x14ac:dyDescent="0.25">
      <c r="A116">
        <v>115</v>
      </c>
      <c r="B116">
        <v>125</v>
      </c>
      <c r="C116" t="s">
        <v>16</v>
      </c>
      <c r="D116" t="s">
        <v>35</v>
      </c>
      <c r="E116" t="s">
        <v>49</v>
      </c>
      <c r="F116" t="s">
        <v>28</v>
      </c>
      <c r="G116" t="s">
        <v>25</v>
      </c>
      <c r="H116" t="s">
        <v>21</v>
      </c>
      <c r="I116" t="s">
        <v>22</v>
      </c>
      <c r="J116" t="s">
        <v>23</v>
      </c>
      <c r="K116">
        <v>1009</v>
      </c>
      <c r="L116" s="4">
        <v>8.2331258999999992</v>
      </c>
      <c r="M116" s="4">
        <v>241.53723269481665</v>
      </c>
      <c r="N116" s="4">
        <v>0.22946462818848451</v>
      </c>
      <c r="O116" s="1" t="str">
        <f>HYPERLINK(".\sm_car_250419_2207\sm_car_250419_2207_115_Ca125TrN_MaWOT_ode23t_1.png","figure")</f>
        <v>figure</v>
      </c>
      <c r="P116" t="s">
        <v>15</v>
      </c>
    </row>
    <row r="117" spans="1:16" x14ac:dyDescent="0.25">
      <c r="A117">
        <v>116</v>
      </c>
      <c r="B117">
        <v>125</v>
      </c>
      <c r="C117" t="s">
        <v>16</v>
      </c>
      <c r="D117" t="s">
        <v>35</v>
      </c>
      <c r="E117" t="s">
        <v>49</v>
      </c>
      <c r="F117" t="s">
        <v>28</v>
      </c>
      <c r="G117" t="s">
        <v>25</v>
      </c>
      <c r="H117" t="s">
        <v>21</v>
      </c>
      <c r="I117" t="s">
        <v>24</v>
      </c>
      <c r="J117" t="s">
        <v>23</v>
      </c>
      <c r="K117">
        <v>1151</v>
      </c>
      <c r="L117" s="4">
        <v>9.3503574999999994</v>
      </c>
      <c r="M117" s="4">
        <v>74.345039840245605</v>
      </c>
      <c r="N117" s="4">
        <v>-0.33680972214980004</v>
      </c>
      <c r="O117" s="1" t="str">
        <f>HYPERLINK(".\sm_car_250419_2207\sm_car_250419_2207_116_Ca125TrN_MaLSS_ode23t_1.png","figure")</f>
        <v>figure</v>
      </c>
      <c r="P117" t="s">
        <v>15</v>
      </c>
    </row>
    <row r="118" spans="1:16" x14ac:dyDescent="0.25">
      <c r="A118">
        <v>117</v>
      </c>
      <c r="B118">
        <v>126</v>
      </c>
      <c r="C118" t="s">
        <v>16</v>
      </c>
      <c r="D118" t="s">
        <v>35</v>
      </c>
      <c r="E118" t="s">
        <v>49</v>
      </c>
      <c r="F118" t="s">
        <v>28</v>
      </c>
      <c r="G118" t="s">
        <v>26</v>
      </c>
      <c r="H118" t="s">
        <v>21</v>
      </c>
      <c r="I118" t="s">
        <v>22</v>
      </c>
      <c r="J118" t="s">
        <v>23</v>
      </c>
      <c r="K118">
        <v>1022</v>
      </c>
      <c r="L118" s="4">
        <v>8.5436359999999993</v>
      </c>
      <c r="M118" s="4">
        <v>241.64207491625507</v>
      </c>
      <c r="N118" s="4">
        <v>0.22964983143815992</v>
      </c>
      <c r="O118" s="1" t="str">
        <f>HYPERLINK(".\sm_car_250419_2207\sm_car_250419_2207_117_Ca126TrN_MaWOT_ode23t_1.png","figure")</f>
        <v>figure</v>
      </c>
      <c r="P118" t="s">
        <v>15</v>
      </c>
    </row>
    <row r="119" spans="1:16" x14ac:dyDescent="0.25">
      <c r="A119">
        <v>118</v>
      </c>
      <c r="B119">
        <v>126</v>
      </c>
      <c r="C119" t="s">
        <v>16</v>
      </c>
      <c r="D119" t="s">
        <v>35</v>
      </c>
      <c r="E119" t="s">
        <v>49</v>
      </c>
      <c r="F119" t="s">
        <v>28</v>
      </c>
      <c r="G119" t="s">
        <v>26</v>
      </c>
      <c r="H119" t="s">
        <v>21</v>
      </c>
      <c r="I119" t="s">
        <v>24</v>
      </c>
      <c r="J119" t="s">
        <v>23</v>
      </c>
      <c r="K119">
        <v>1143</v>
      </c>
      <c r="L119" s="4">
        <v>9.6422208999999999</v>
      </c>
      <c r="M119" s="4">
        <v>74.346034796678481</v>
      </c>
      <c r="N119" s="4">
        <v>-0.33728070854483311</v>
      </c>
      <c r="O119" s="1" t="str">
        <f>HYPERLINK(".\sm_car_250419_2207\sm_car_250419_2207_118_Ca126TrN_MaLSS_ode23t_1.png","figure")</f>
        <v>figure</v>
      </c>
      <c r="P119" t="s">
        <v>15</v>
      </c>
    </row>
    <row r="120" spans="1:16" x14ac:dyDescent="0.25">
      <c r="A120">
        <v>119</v>
      </c>
      <c r="B120">
        <v>127</v>
      </c>
      <c r="C120" t="s">
        <v>16</v>
      </c>
      <c r="D120" t="s">
        <v>35</v>
      </c>
      <c r="E120" t="s">
        <v>49</v>
      </c>
      <c r="F120" t="s">
        <v>28</v>
      </c>
      <c r="G120" t="s">
        <v>27</v>
      </c>
      <c r="H120" t="s">
        <v>21</v>
      </c>
      <c r="I120" t="s">
        <v>22</v>
      </c>
      <c r="J120" t="s">
        <v>23</v>
      </c>
      <c r="K120">
        <v>1047</v>
      </c>
      <c r="L120" s="4">
        <v>9.0162142999999997</v>
      </c>
      <c r="M120" s="4">
        <v>240.96586620758819</v>
      </c>
      <c r="N120" s="4">
        <v>0.22845343545279453</v>
      </c>
      <c r="O120" s="1" t="str">
        <f>HYPERLINK(".\sm_car_250419_2207\sm_car_250419_2207_119_Ca127TrN_MaWOT_ode23t_1.png","figure")</f>
        <v>figure</v>
      </c>
      <c r="P120" t="s">
        <v>15</v>
      </c>
    </row>
    <row r="121" spans="1:16" x14ac:dyDescent="0.25">
      <c r="A121">
        <v>120</v>
      </c>
      <c r="B121">
        <v>127</v>
      </c>
      <c r="C121" t="s">
        <v>16</v>
      </c>
      <c r="D121" t="s">
        <v>35</v>
      </c>
      <c r="E121" t="s">
        <v>49</v>
      </c>
      <c r="F121" t="s">
        <v>28</v>
      </c>
      <c r="G121" t="s">
        <v>27</v>
      </c>
      <c r="H121" t="s">
        <v>21</v>
      </c>
      <c r="I121" t="s">
        <v>24</v>
      </c>
      <c r="J121" t="s">
        <v>23</v>
      </c>
      <c r="K121">
        <v>1191</v>
      </c>
      <c r="L121" s="4">
        <v>10.7816183</v>
      </c>
      <c r="M121" s="4">
        <v>74.198825126450586</v>
      </c>
      <c r="N121" s="4">
        <v>-0.33267309666198902</v>
      </c>
      <c r="O121" s="1" t="str">
        <f>HYPERLINK(".\sm_car_250419_2207\sm_car_250419_2207_120_Ca127TrN_MaLSS_ode23t_1.png","figure")</f>
        <v>figure</v>
      </c>
      <c r="P121" t="s">
        <v>15</v>
      </c>
    </row>
    <row r="122" spans="1:16" x14ac:dyDescent="0.25">
      <c r="A122">
        <v>121</v>
      </c>
      <c r="B122">
        <v>140</v>
      </c>
      <c r="C122" t="s">
        <v>45</v>
      </c>
      <c r="D122" t="s">
        <v>17</v>
      </c>
      <c r="E122" t="s">
        <v>49</v>
      </c>
      <c r="F122" t="s">
        <v>19</v>
      </c>
      <c r="G122" t="s">
        <v>26</v>
      </c>
      <c r="H122" t="s">
        <v>21</v>
      </c>
      <c r="I122" t="s">
        <v>22</v>
      </c>
      <c r="J122" t="s">
        <v>23</v>
      </c>
      <c r="K122">
        <v>670</v>
      </c>
      <c r="L122" s="4">
        <v>61.322233799999999</v>
      </c>
      <c r="M122" s="4">
        <v>405.0352212946155</v>
      </c>
      <c r="N122" s="4">
        <v>1.4841656638844749</v>
      </c>
      <c r="O122" s="1" t="str">
        <f>HYPERLINK(".\sm_car_250419_2207\sm_car_250419_2207_121_Ca140TrN_MaWOT_ode23t_1.png","figure")</f>
        <v>figure</v>
      </c>
      <c r="P122" t="s">
        <v>15</v>
      </c>
    </row>
    <row r="123" spans="1:16" x14ac:dyDescent="0.25">
      <c r="A123">
        <v>122</v>
      </c>
      <c r="B123">
        <v>140</v>
      </c>
      <c r="C123" t="s">
        <v>45</v>
      </c>
      <c r="D123" t="s">
        <v>17</v>
      </c>
      <c r="E123" t="s">
        <v>49</v>
      </c>
      <c r="F123" t="s">
        <v>19</v>
      </c>
      <c r="G123" t="s">
        <v>26</v>
      </c>
      <c r="H123" t="s">
        <v>21</v>
      </c>
      <c r="I123" t="s">
        <v>24</v>
      </c>
      <c r="J123" t="s">
        <v>23</v>
      </c>
      <c r="K123">
        <v>648</v>
      </c>
      <c r="L123" s="4">
        <v>37.168708600000002</v>
      </c>
      <c r="M123" s="4">
        <v>154.35503812866128</v>
      </c>
      <c r="N123" s="4">
        <v>-0.58396367382625014</v>
      </c>
      <c r="O123" s="1" t="str">
        <f>HYPERLINK(".\sm_car_250419_2207\sm_car_250419_2207_122_Ca140TrN_MaLSS_ode23t_1.png","figure")</f>
        <v>figure</v>
      </c>
      <c r="P123" t="s">
        <v>15</v>
      </c>
    </row>
    <row r="124" spans="1:16" x14ac:dyDescent="0.25">
      <c r="A124">
        <v>123</v>
      </c>
      <c r="B124">
        <v>142</v>
      </c>
      <c r="C124" t="s">
        <v>45</v>
      </c>
      <c r="D124" t="s">
        <v>17</v>
      </c>
      <c r="E124" t="s">
        <v>49</v>
      </c>
      <c r="F124" t="s">
        <v>28</v>
      </c>
      <c r="G124" t="s">
        <v>26</v>
      </c>
      <c r="H124" t="s">
        <v>21</v>
      </c>
      <c r="I124" t="s">
        <v>22</v>
      </c>
      <c r="J124" t="s">
        <v>23</v>
      </c>
      <c r="K124">
        <v>1220</v>
      </c>
      <c r="L124" s="4">
        <v>60.346209899999998</v>
      </c>
      <c r="M124" s="4">
        <v>405.20022437970903</v>
      </c>
      <c r="N124" s="4">
        <v>1.732950320313559</v>
      </c>
      <c r="O124" s="1" t="str">
        <f>HYPERLINK(".\sm_car_250419_2207\sm_car_250419_2207_123_Ca142TrN_MaWOT_ode23t_1.png","figure")</f>
        <v>figure</v>
      </c>
      <c r="P124" t="s">
        <v>15</v>
      </c>
    </row>
    <row r="125" spans="1:16" x14ac:dyDescent="0.25">
      <c r="A125">
        <v>124</v>
      </c>
      <c r="B125">
        <v>142</v>
      </c>
      <c r="C125" t="s">
        <v>45</v>
      </c>
      <c r="D125" t="s">
        <v>17</v>
      </c>
      <c r="E125" t="s">
        <v>49</v>
      </c>
      <c r="F125" t="s">
        <v>28</v>
      </c>
      <c r="G125" t="s">
        <v>26</v>
      </c>
      <c r="H125" t="s">
        <v>21</v>
      </c>
      <c r="I125" t="s">
        <v>24</v>
      </c>
      <c r="J125" t="s">
        <v>23</v>
      </c>
      <c r="K125">
        <v>1217</v>
      </c>
      <c r="L125" s="4">
        <v>39.525418500000001</v>
      </c>
      <c r="M125" s="4">
        <v>154.45812079781834</v>
      </c>
      <c r="N125" s="4">
        <v>-0.59321726484987092</v>
      </c>
      <c r="O125" s="1" t="str">
        <f>HYPERLINK(".\sm_car_250419_2207\sm_car_250419_2207_124_Ca142TrN_MaLSS_ode23t_1.png","figure")</f>
        <v>figure</v>
      </c>
      <c r="P125" t="s">
        <v>15</v>
      </c>
    </row>
    <row r="126" spans="1:16" x14ac:dyDescent="0.25">
      <c r="A126">
        <v>125</v>
      </c>
      <c r="B126">
        <v>145</v>
      </c>
      <c r="C126" t="s">
        <v>46</v>
      </c>
      <c r="D126" t="s">
        <v>17</v>
      </c>
      <c r="E126" t="s">
        <v>50</v>
      </c>
      <c r="F126" t="s">
        <v>19</v>
      </c>
      <c r="G126" t="s">
        <v>26</v>
      </c>
      <c r="H126" t="s">
        <v>21</v>
      </c>
      <c r="I126" t="s">
        <v>22</v>
      </c>
      <c r="J126" t="s">
        <v>23</v>
      </c>
      <c r="K126">
        <v>359</v>
      </c>
      <c r="L126" s="4">
        <v>24.127202</v>
      </c>
      <c r="M126" s="4">
        <v>95.815286351901264</v>
      </c>
      <c r="N126" s="4">
        <v>-3.2854377652096797E-2</v>
      </c>
      <c r="O126" s="1" t="str">
        <f>HYPERLINK(".\sm_car_250419_2207\sm_car_250419_2207_125_Ca145TrN_MaWOT_ode23t_1.png","figure")</f>
        <v>figure</v>
      </c>
      <c r="P126" t="s">
        <v>15</v>
      </c>
    </row>
    <row r="127" spans="1:16" x14ac:dyDescent="0.25">
      <c r="A127">
        <v>126</v>
      </c>
      <c r="B127">
        <v>145</v>
      </c>
      <c r="C127" t="s">
        <v>46</v>
      </c>
      <c r="D127" t="s">
        <v>17</v>
      </c>
      <c r="E127" t="s">
        <v>50</v>
      </c>
      <c r="F127" t="s">
        <v>19</v>
      </c>
      <c r="G127" t="s">
        <v>26</v>
      </c>
      <c r="H127" t="s">
        <v>21</v>
      </c>
      <c r="I127" t="s">
        <v>24</v>
      </c>
      <c r="J127" t="s">
        <v>23</v>
      </c>
      <c r="K127">
        <v>469</v>
      </c>
      <c r="L127" s="4">
        <v>27.473292699999998</v>
      </c>
      <c r="M127" s="4">
        <v>25.010653765375093</v>
      </c>
      <c r="N127" s="4">
        <v>-4.9245809715669102E-2</v>
      </c>
      <c r="O127" s="1" t="str">
        <f>HYPERLINK(".\sm_car_250419_2207\sm_car_250419_2207_126_Ca145TrN_MaLSS_ode23t_1.png","figure")</f>
        <v>figure</v>
      </c>
      <c r="P127" t="s">
        <v>15</v>
      </c>
    </row>
    <row r="128" spans="1:16" x14ac:dyDescent="0.25">
      <c r="A128">
        <v>127</v>
      </c>
      <c r="B128">
        <v>146</v>
      </c>
      <c r="C128" t="s">
        <v>46</v>
      </c>
      <c r="D128" t="s">
        <v>17</v>
      </c>
      <c r="E128" t="s">
        <v>49</v>
      </c>
      <c r="F128" t="s">
        <v>19</v>
      </c>
      <c r="G128" t="s">
        <v>26</v>
      </c>
      <c r="H128" t="s">
        <v>21</v>
      </c>
      <c r="I128" t="s">
        <v>22</v>
      </c>
      <c r="J128" t="s">
        <v>23</v>
      </c>
      <c r="K128">
        <v>333</v>
      </c>
      <c r="L128" s="4">
        <v>16.783299</v>
      </c>
      <c r="M128" s="4">
        <v>113.98621332133493</v>
      </c>
      <c r="N128" s="4">
        <v>0.53240306945669236</v>
      </c>
      <c r="O128" s="1" t="str">
        <f>HYPERLINK(".\sm_car_250419_2207\sm_car_250419_2207_127_Ca146TrN_MaWOT_ode23t_1.png","figure")</f>
        <v>figure</v>
      </c>
      <c r="P128" t="s">
        <v>15</v>
      </c>
    </row>
    <row r="129" spans="1:16" x14ac:dyDescent="0.25">
      <c r="A129">
        <v>128</v>
      </c>
      <c r="B129">
        <v>146</v>
      </c>
      <c r="C129" t="s">
        <v>46</v>
      </c>
      <c r="D129" t="s">
        <v>17</v>
      </c>
      <c r="E129" t="s">
        <v>49</v>
      </c>
      <c r="F129" t="s">
        <v>19</v>
      </c>
      <c r="G129" t="s">
        <v>26</v>
      </c>
      <c r="H129" t="s">
        <v>21</v>
      </c>
      <c r="I129" t="s">
        <v>24</v>
      </c>
      <c r="J129" t="s">
        <v>23</v>
      </c>
      <c r="K129">
        <v>463</v>
      </c>
      <c r="L129" s="4">
        <v>20.6013731</v>
      </c>
      <c r="M129" s="4">
        <v>35.598148370218844</v>
      </c>
      <c r="N129" s="4">
        <v>-2.7955301882437136E-2</v>
      </c>
      <c r="O129" s="1" t="str">
        <f>HYPERLINK(".\sm_car_250419_2207\sm_car_250419_2207_128_Ca146TrN_MaLSS_ode23t_1.png","figure")</f>
        <v>figure</v>
      </c>
      <c r="P129" t="s">
        <v>15</v>
      </c>
    </row>
    <row r="130" spans="1:16" x14ac:dyDescent="0.25">
      <c r="A130">
        <v>129</v>
      </c>
      <c r="B130">
        <v>146</v>
      </c>
      <c r="C130" t="s">
        <v>46</v>
      </c>
      <c r="D130" t="s">
        <v>17</v>
      </c>
      <c r="E130" t="s">
        <v>49</v>
      </c>
      <c r="F130" t="s">
        <v>19</v>
      </c>
      <c r="G130" t="s">
        <v>26</v>
      </c>
      <c r="H130" t="s">
        <v>21</v>
      </c>
      <c r="I130" t="s">
        <v>22</v>
      </c>
      <c r="J130" t="s">
        <v>23</v>
      </c>
      <c r="K130">
        <v>333</v>
      </c>
      <c r="L130" s="4">
        <v>16.663475600000002</v>
      </c>
      <c r="M130" s="4">
        <v>113.98621332133493</v>
      </c>
      <c r="N130" s="4">
        <v>0.53240306945669236</v>
      </c>
      <c r="O130" s="1" t="str">
        <f>HYPERLINK(".\sm_car_250419_2207\sm_car_250419_2207_129_Ca146TrN_MaWOT_ode23t_1.png","figure")</f>
        <v>figure</v>
      </c>
      <c r="P130" t="s">
        <v>15</v>
      </c>
    </row>
    <row r="131" spans="1:16" x14ac:dyDescent="0.25">
      <c r="A131">
        <v>130</v>
      </c>
      <c r="B131">
        <v>146</v>
      </c>
      <c r="C131" t="s">
        <v>46</v>
      </c>
      <c r="D131" t="s">
        <v>17</v>
      </c>
      <c r="E131" t="s">
        <v>49</v>
      </c>
      <c r="F131" t="s">
        <v>19</v>
      </c>
      <c r="G131" t="s">
        <v>26</v>
      </c>
      <c r="H131" t="s">
        <v>21</v>
      </c>
      <c r="I131" t="s">
        <v>24</v>
      </c>
      <c r="J131" t="s">
        <v>23</v>
      </c>
      <c r="K131">
        <v>463</v>
      </c>
      <c r="L131" s="4">
        <v>20.4825044</v>
      </c>
      <c r="M131" s="4">
        <v>35.598148370218844</v>
      </c>
      <c r="N131" s="4">
        <v>-2.7955301882437136E-2</v>
      </c>
      <c r="O131" s="1" t="str">
        <f>HYPERLINK(".\sm_car_250419_2207\sm_car_250419_2207_130_Ca146TrN_MaLSS_ode23t_1.png","figure")</f>
        <v>figure</v>
      </c>
      <c r="P131" t="s">
        <v>15</v>
      </c>
    </row>
    <row r="132" spans="1:16" x14ac:dyDescent="0.25">
      <c r="A132">
        <v>131</v>
      </c>
      <c r="B132">
        <v>161</v>
      </c>
      <c r="C132" t="s">
        <v>45</v>
      </c>
      <c r="D132" t="s">
        <v>51</v>
      </c>
      <c r="E132" t="s">
        <v>49</v>
      </c>
      <c r="F132" t="s">
        <v>19</v>
      </c>
      <c r="G132" t="s">
        <v>26</v>
      </c>
      <c r="H132" t="s">
        <v>21</v>
      </c>
      <c r="I132" t="s">
        <v>22</v>
      </c>
      <c r="J132" t="s">
        <v>23</v>
      </c>
      <c r="K132">
        <v>536</v>
      </c>
      <c r="L132" s="4">
        <v>42.348971200000001</v>
      </c>
      <c r="M132" s="4">
        <v>179.80479298154137</v>
      </c>
      <c r="N132" s="4">
        <v>0.27380498469743753</v>
      </c>
      <c r="O132" s="1" t="str">
        <f>HYPERLINK(".\sm_car_250419_2207\sm_car_250419_2207_131_Ca161TrN_MaWOT_ode23t_1.png","figure")</f>
        <v>figure</v>
      </c>
      <c r="P132" t="s">
        <v>15</v>
      </c>
    </row>
    <row r="133" spans="1:16" x14ac:dyDescent="0.25">
      <c r="A133">
        <v>132</v>
      </c>
      <c r="B133">
        <v>161</v>
      </c>
      <c r="C133" t="s">
        <v>45</v>
      </c>
      <c r="D133" t="s">
        <v>51</v>
      </c>
      <c r="E133" t="s">
        <v>49</v>
      </c>
      <c r="F133" t="s">
        <v>19</v>
      </c>
      <c r="G133" t="s">
        <v>26</v>
      </c>
      <c r="H133" t="s">
        <v>21</v>
      </c>
      <c r="I133" t="s">
        <v>24</v>
      </c>
      <c r="J133" t="s">
        <v>23</v>
      </c>
      <c r="K133">
        <v>673</v>
      </c>
      <c r="L133" s="4">
        <v>43.772114700000003</v>
      </c>
      <c r="M133" s="4">
        <v>154.15758235390507</v>
      </c>
      <c r="N133" s="4">
        <v>-0.58863998802656736</v>
      </c>
      <c r="O133" s="1" t="str">
        <f>HYPERLINK(".\sm_car_250419_2207\sm_car_250419_2207_132_Ca161TrN_MaLSS_ode23t_1.png","figure")</f>
        <v>figure</v>
      </c>
      <c r="P133" t="s">
        <v>15</v>
      </c>
    </row>
    <row r="134" spans="1:16" x14ac:dyDescent="0.25">
      <c r="A134">
        <v>133</v>
      </c>
      <c r="B134">
        <v>163</v>
      </c>
      <c r="C134" t="s">
        <v>45</v>
      </c>
      <c r="D134" t="s">
        <v>52</v>
      </c>
      <c r="E134" t="s">
        <v>49</v>
      </c>
      <c r="F134" t="s">
        <v>19</v>
      </c>
      <c r="G134" t="s">
        <v>26</v>
      </c>
      <c r="H134" t="s">
        <v>21</v>
      </c>
      <c r="I134" t="s">
        <v>22</v>
      </c>
      <c r="J134" t="s">
        <v>23</v>
      </c>
      <c r="K134">
        <v>635</v>
      </c>
      <c r="L134" s="4">
        <v>56.421380200000002</v>
      </c>
      <c r="M134" s="4">
        <v>277.45228206101444</v>
      </c>
      <c r="N134" s="4">
        <v>0.69691088266241585</v>
      </c>
      <c r="O134" s="1" t="str">
        <f>HYPERLINK(".\sm_car_250419_2207\sm_car_250419_2207_133_Ca163TrN_MaWOT_ode23t_1.png","figure")</f>
        <v>figure</v>
      </c>
      <c r="P134" t="s">
        <v>15</v>
      </c>
    </row>
    <row r="135" spans="1:16" x14ac:dyDescent="0.25">
      <c r="A135">
        <v>134</v>
      </c>
      <c r="B135">
        <v>163</v>
      </c>
      <c r="C135" t="s">
        <v>45</v>
      </c>
      <c r="D135" t="s">
        <v>52</v>
      </c>
      <c r="E135" t="s">
        <v>49</v>
      </c>
      <c r="F135" t="s">
        <v>19</v>
      </c>
      <c r="G135" t="s">
        <v>26</v>
      </c>
      <c r="H135" t="s">
        <v>21</v>
      </c>
      <c r="I135" t="s">
        <v>24</v>
      </c>
      <c r="J135" t="s">
        <v>23</v>
      </c>
      <c r="K135">
        <v>833</v>
      </c>
      <c r="L135" s="4">
        <v>65.333205800000002</v>
      </c>
      <c r="M135" s="4">
        <v>256.39673174962059</v>
      </c>
      <c r="N135" s="4">
        <v>-0.85635727028308284</v>
      </c>
      <c r="O135" s="1" t="str">
        <f>HYPERLINK(".\sm_car_250419_2207\sm_car_250419_2207_134_Ca163TrN_MaLSS_ode23t_1.png","figure")</f>
        <v>figure</v>
      </c>
      <c r="P135" t="s">
        <v>15</v>
      </c>
    </row>
    <row r="136" spans="1:16" x14ac:dyDescent="0.25">
      <c r="A136">
        <v>135</v>
      </c>
      <c r="B136">
        <v>184</v>
      </c>
      <c r="C136" t="s">
        <v>105</v>
      </c>
      <c r="D136" t="s">
        <v>119</v>
      </c>
      <c r="E136" t="s">
        <v>49</v>
      </c>
      <c r="F136" t="s">
        <v>19</v>
      </c>
      <c r="G136" t="s">
        <v>20</v>
      </c>
      <c r="H136" t="s">
        <v>21</v>
      </c>
      <c r="I136" t="s">
        <v>22</v>
      </c>
      <c r="J136" t="s">
        <v>23</v>
      </c>
      <c r="K136">
        <v>304</v>
      </c>
      <c r="L136" s="4">
        <v>23.2903226</v>
      </c>
      <c r="M136" s="4">
        <v>294.61503258025385</v>
      </c>
      <c r="N136" s="4">
        <v>1.1793250706766164E-4</v>
      </c>
      <c r="O136" s="1" t="str">
        <f>HYPERLINK(".\sm_car_250419_2207\sm_car_250419_2207_135_Ca184TrN_MaWOT_ode23t_1.png","figure")</f>
        <v>figure</v>
      </c>
      <c r="P136" t="s">
        <v>15</v>
      </c>
    </row>
    <row r="137" spans="1:16" x14ac:dyDescent="0.25">
      <c r="A137">
        <v>136</v>
      </c>
      <c r="B137">
        <v>184</v>
      </c>
      <c r="C137" t="s">
        <v>105</v>
      </c>
      <c r="D137" t="s">
        <v>119</v>
      </c>
      <c r="E137" t="s">
        <v>49</v>
      </c>
      <c r="F137" t="s">
        <v>19</v>
      </c>
      <c r="G137" t="s">
        <v>20</v>
      </c>
      <c r="H137" t="s">
        <v>21</v>
      </c>
      <c r="I137" t="s">
        <v>24</v>
      </c>
      <c r="J137" t="s">
        <v>23</v>
      </c>
      <c r="K137">
        <v>482</v>
      </c>
      <c r="L137" s="4">
        <v>20.028106000000001</v>
      </c>
      <c r="M137" s="4">
        <v>103.55764012584365</v>
      </c>
      <c r="N137" s="4">
        <v>-0.20810011825132796</v>
      </c>
      <c r="O137" s="1" t="str">
        <f>HYPERLINK(".\sm_car_250419_2207\sm_car_250419_2207_136_Ca184TrN_MaLSS_ode23t_1.png","figure")</f>
        <v>figure</v>
      </c>
      <c r="P137" t="s">
        <v>15</v>
      </c>
    </row>
    <row r="138" spans="1:16" x14ac:dyDescent="0.25">
      <c r="A138">
        <v>137</v>
      </c>
      <c r="B138">
        <v>217</v>
      </c>
      <c r="C138" t="s">
        <v>45</v>
      </c>
      <c r="D138" t="s">
        <v>17</v>
      </c>
      <c r="E138" t="s">
        <v>107</v>
      </c>
      <c r="F138" t="s">
        <v>120</v>
      </c>
      <c r="G138" t="s">
        <v>26</v>
      </c>
      <c r="H138" t="s">
        <v>21</v>
      </c>
      <c r="I138" t="s">
        <v>22</v>
      </c>
      <c r="J138" t="s">
        <v>23</v>
      </c>
      <c r="K138">
        <v>742</v>
      </c>
      <c r="L138" s="4">
        <v>54.761897900000001</v>
      </c>
      <c r="M138" s="4">
        <v>278.59672594824076</v>
      </c>
      <c r="N138" s="4">
        <v>0.71521616788785414</v>
      </c>
      <c r="O138" s="1" t="str">
        <f>HYPERLINK(".\sm_car_250419_2207\sm_car_250419_2207_137_Ca217TrN_MaWOT_ode23t_1.png","figure")</f>
        <v>figure</v>
      </c>
      <c r="P138" t="s">
        <v>15</v>
      </c>
    </row>
    <row r="139" spans="1:16" x14ac:dyDescent="0.25">
      <c r="A139">
        <v>138</v>
      </c>
      <c r="B139">
        <v>217</v>
      </c>
      <c r="C139" t="s">
        <v>45</v>
      </c>
      <c r="D139" t="s">
        <v>17</v>
      </c>
      <c r="E139" t="s">
        <v>107</v>
      </c>
      <c r="F139" t="s">
        <v>120</v>
      </c>
      <c r="G139" t="s">
        <v>26</v>
      </c>
      <c r="H139" t="s">
        <v>21</v>
      </c>
      <c r="I139" t="s">
        <v>24</v>
      </c>
      <c r="J139" t="s">
        <v>23</v>
      </c>
      <c r="K139">
        <v>850</v>
      </c>
      <c r="L139" s="4">
        <v>58.973073900000003</v>
      </c>
      <c r="M139" s="4">
        <v>110.07354503237877</v>
      </c>
      <c r="N139" s="4">
        <v>-0.35681640156644462</v>
      </c>
      <c r="O139" s="1" t="str">
        <f>HYPERLINK(".\sm_car_250419_2207\sm_car_250419_2207_138_Ca217TrN_MaLSS_ode23t_1.png","figure")</f>
        <v>figure</v>
      </c>
      <c r="P139" t="s">
        <v>15</v>
      </c>
    </row>
    <row r="140" spans="1:16" x14ac:dyDescent="0.25">
      <c r="A140">
        <v>139</v>
      </c>
      <c r="B140">
        <v>12</v>
      </c>
      <c r="C140" t="s">
        <v>16</v>
      </c>
      <c r="D140" t="s">
        <v>17</v>
      </c>
      <c r="E140" t="s">
        <v>49</v>
      </c>
      <c r="F140" t="s">
        <v>28</v>
      </c>
      <c r="G140" t="s">
        <v>20</v>
      </c>
      <c r="H140" t="s">
        <v>21</v>
      </c>
      <c r="I140" t="s">
        <v>53</v>
      </c>
      <c r="J140" t="s">
        <v>23</v>
      </c>
      <c r="K140">
        <v>783</v>
      </c>
      <c r="L140" s="4">
        <v>18.453054300000002</v>
      </c>
      <c r="M140" s="4">
        <v>254.56749076352503</v>
      </c>
      <c r="N140" s="4">
        <v>3.4311263244708456E-3</v>
      </c>
      <c r="O140" s="1" t="str">
        <f>HYPERLINK(".\sm_car_250419_2207\sm_car_250419_2207_139_Ca012TrN_MaDLC_ode23t_1.png","figure")</f>
        <v>figure</v>
      </c>
      <c r="P140" t="s">
        <v>15</v>
      </c>
    </row>
    <row r="141" spans="1:16" x14ac:dyDescent="0.25">
      <c r="A141">
        <v>140</v>
      </c>
      <c r="B141">
        <v>12</v>
      </c>
      <c r="C141" t="s">
        <v>16</v>
      </c>
      <c r="D141" t="s">
        <v>17</v>
      </c>
      <c r="E141" t="s">
        <v>49</v>
      </c>
      <c r="F141" t="s">
        <v>28</v>
      </c>
      <c r="G141" t="s">
        <v>20</v>
      </c>
      <c r="H141" t="s">
        <v>21</v>
      </c>
      <c r="I141" t="s">
        <v>54</v>
      </c>
      <c r="J141" t="s">
        <v>23</v>
      </c>
      <c r="K141">
        <v>928</v>
      </c>
      <c r="L141" s="4">
        <v>23.0590917</v>
      </c>
      <c r="M141" s="4">
        <v>74.817396012653305</v>
      </c>
      <c r="N141" s="4">
        <v>0.72114502302314698</v>
      </c>
      <c r="O141" s="1" t="str">
        <f>HYPERLINK(".\sm_car_250419_2207\sm_car_250419_2207_140_Ca012TrN_MaIPA_ode23t_1.png","figure")</f>
        <v>figure</v>
      </c>
      <c r="P141" t="s">
        <v>15</v>
      </c>
    </row>
    <row r="142" spans="1:16" x14ac:dyDescent="0.25">
      <c r="A142">
        <v>141</v>
      </c>
      <c r="B142">
        <v>142</v>
      </c>
      <c r="C142" t="s">
        <v>45</v>
      </c>
      <c r="D142" t="s">
        <v>17</v>
      </c>
      <c r="E142" t="s">
        <v>49</v>
      </c>
      <c r="F142" t="s">
        <v>28</v>
      </c>
      <c r="G142" t="s">
        <v>26</v>
      </c>
      <c r="H142" t="s">
        <v>21</v>
      </c>
      <c r="I142" t="s">
        <v>53</v>
      </c>
      <c r="J142" t="s">
        <v>23</v>
      </c>
      <c r="K142">
        <v>783</v>
      </c>
      <c r="L142" s="4">
        <v>24.188458199999999</v>
      </c>
      <c r="M142" s="4">
        <v>255.11427415662121</v>
      </c>
      <c r="N142" s="4">
        <v>-5.1264499338543601E-3</v>
      </c>
      <c r="O142" s="1" t="str">
        <f>HYPERLINK(".\sm_car_250419_2207\sm_car_250419_2207_141_Ca142TrN_MaDLC_ode23t_1.png","figure")</f>
        <v>figure</v>
      </c>
      <c r="P142" t="s">
        <v>15</v>
      </c>
    </row>
    <row r="143" spans="1:16" x14ac:dyDescent="0.25">
      <c r="A143">
        <v>142</v>
      </c>
      <c r="B143">
        <v>142</v>
      </c>
      <c r="C143" t="s">
        <v>45</v>
      </c>
      <c r="D143" t="s">
        <v>17</v>
      </c>
      <c r="E143" t="s">
        <v>49</v>
      </c>
      <c r="F143" t="s">
        <v>28</v>
      </c>
      <c r="G143" t="s">
        <v>26</v>
      </c>
      <c r="H143" t="s">
        <v>21</v>
      </c>
      <c r="I143" t="s">
        <v>54</v>
      </c>
      <c r="J143" t="s">
        <v>23</v>
      </c>
      <c r="K143">
        <v>3369</v>
      </c>
      <c r="L143" s="4">
        <v>265.12821209999998</v>
      </c>
      <c r="M143" s="4">
        <v>83.419015985423613</v>
      </c>
      <c r="N143" s="4">
        <v>0.75682727490881219</v>
      </c>
      <c r="O143" s="1" t="str">
        <f>HYPERLINK(".\sm_car_250419_2207\sm_car_250419_2207_142_Ca142TrN_MaIPA_ode23t_1.png","figure")</f>
        <v>figure</v>
      </c>
      <c r="P143" t="s">
        <v>15</v>
      </c>
    </row>
    <row r="144" spans="1:16" x14ac:dyDescent="0.25">
      <c r="A144">
        <v>143</v>
      </c>
      <c r="B144">
        <v>145</v>
      </c>
      <c r="C144" t="s">
        <v>46</v>
      </c>
      <c r="D144" t="s">
        <v>17</v>
      </c>
      <c r="E144" t="s">
        <v>50</v>
      </c>
      <c r="F144" t="s">
        <v>19</v>
      </c>
      <c r="G144" t="s">
        <v>26</v>
      </c>
      <c r="H144" t="s">
        <v>21</v>
      </c>
      <c r="I144" t="s">
        <v>53</v>
      </c>
      <c r="J144" t="s">
        <v>23</v>
      </c>
      <c r="K144">
        <v>480</v>
      </c>
      <c r="L144" s="4">
        <v>28.370685099999999</v>
      </c>
      <c r="M144" s="4">
        <v>255.34620880762958</v>
      </c>
      <c r="N144" s="4">
        <v>4.1156671923276988E-2</v>
      </c>
      <c r="O144" s="1" t="str">
        <f>HYPERLINK(".\sm_car_250419_2207\sm_car_250419_2207_143_Ca145TrN_MaDLC_ode23t_1.png","figure")</f>
        <v>figure</v>
      </c>
      <c r="P144" t="s">
        <v>15</v>
      </c>
    </row>
    <row r="145" spans="1:16" x14ac:dyDescent="0.25">
      <c r="A145">
        <v>144</v>
      </c>
      <c r="B145">
        <v>145</v>
      </c>
      <c r="C145" t="s">
        <v>46</v>
      </c>
      <c r="D145" t="s">
        <v>17</v>
      </c>
      <c r="E145" t="s">
        <v>50</v>
      </c>
      <c r="F145" t="s">
        <v>19</v>
      </c>
      <c r="G145" t="s">
        <v>26</v>
      </c>
      <c r="H145" t="s">
        <v>21</v>
      </c>
      <c r="I145" t="s">
        <v>54</v>
      </c>
      <c r="J145" t="s">
        <v>23</v>
      </c>
      <c r="K145">
        <v>321</v>
      </c>
      <c r="L145" s="4">
        <v>18.605592900000001</v>
      </c>
      <c r="M145" s="4">
        <v>28.089577559541944</v>
      </c>
      <c r="N145" s="4">
        <v>1.5871470264400351E-2</v>
      </c>
      <c r="O145" s="1" t="str">
        <f>HYPERLINK(".\sm_car_250419_2207\sm_car_250419_2207_144_Ca145TrN_MaIPA_ode23t_1.png","figure")</f>
        <v>figure</v>
      </c>
      <c r="P145" t="s">
        <v>15</v>
      </c>
    </row>
    <row r="146" spans="1:16" x14ac:dyDescent="0.25">
      <c r="A146">
        <v>145</v>
      </c>
      <c r="B146">
        <v>184</v>
      </c>
      <c r="C146" t="s">
        <v>105</v>
      </c>
      <c r="D146" t="s">
        <v>119</v>
      </c>
      <c r="E146" t="s">
        <v>49</v>
      </c>
      <c r="F146" t="s">
        <v>19</v>
      </c>
      <c r="G146" t="s">
        <v>20</v>
      </c>
      <c r="H146" t="s">
        <v>21</v>
      </c>
      <c r="I146" t="s">
        <v>53</v>
      </c>
      <c r="J146" t="s">
        <v>23</v>
      </c>
      <c r="K146">
        <v>413</v>
      </c>
      <c r="L146" s="4">
        <v>18.434776400000001</v>
      </c>
      <c r="M146" s="4">
        <v>254.78912772422149</v>
      </c>
      <c r="N146" s="4">
        <v>1.1784061472128293E-2</v>
      </c>
      <c r="O146" s="1" t="str">
        <f>HYPERLINK(".\sm_car_250419_2207\sm_car_250419_2207_145_Ca184TrN_MaDLC_ode23t_1.png","figure")</f>
        <v>figure</v>
      </c>
      <c r="P146" t="s">
        <v>15</v>
      </c>
    </row>
    <row r="147" spans="1:16" x14ac:dyDescent="0.25">
      <c r="A147">
        <v>146</v>
      </c>
      <c r="B147">
        <v>184</v>
      </c>
      <c r="C147" t="s">
        <v>105</v>
      </c>
      <c r="D147" t="s">
        <v>119</v>
      </c>
      <c r="E147" t="s">
        <v>49</v>
      </c>
      <c r="F147" t="s">
        <v>19</v>
      </c>
      <c r="G147" t="s">
        <v>20</v>
      </c>
      <c r="H147" t="s">
        <v>21</v>
      </c>
      <c r="I147" t="s">
        <v>54</v>
      </c>
      <c r="J147" t="s">
        <v>23</v>
      </c>
      <c r="K147">
        <v>337</v>
      </c>
      <c r="L147" s="4">
        <v>21.8423868</v>
      </c>
      <c r="M147" s="4">
        <v>55.271572856408717</v>
      </c>
      <c r="N147" s="4">
        <v>5.7694528892826289E-3</v>
      </c>
      <c r="O147" s="1" t="str">
        <f>HYPERLINK(".\sm_car_250419_2207\sm_car_250419_2207_146_Ca184TrN_MaIPA_ode23t_1.png","figure")</f>
        <v>figure</v>
      </c>
      <c r="P147" t="s">
        <v>15</v>
      </c>
    </row>
    <row r="148" spans="1:16" x14ac:dyDescent="0.25">
      <c r="A148">
        <v>147</v>
      </c>
      <c r="B148">
        <v>204</v>
      </c>
      <c r="C148" t="s">
        <v>105</v>
      </c>
      <c r="D148" t="s">
        <v>106</v>
      </c>
      <c r="E148" t="s">
        <v>18</v>
      </c>
      <c r="F148" t="s">
        <v>19</v>
      </c>
      <c r="G148" t="s">
        <v>20</v>
      </c>
      <c r="H148" t="s">
        <v>21</v>
      </c>
      <c r="I148" t="s">
        <v>53</v>
      </c>
      <c r="J148" t="s">
        <v>23</v>
      </c>
      <c r="K148">
        <v>1950</v>
      </c>
      <c r="L148" s="4">
        <v>43.878258799999998</v>
      </c>
      <c r="M148" s="4">
        <v>253.88198523843147</v>
      </c>
      <c r="N148" s="4">
        <v>1.6849815864092399E-2</v>
      </c>
      <c r="O148" s="1" t="str">
        <f>HYPERLINK(".\sm_car_250419_2207\sm_car_250419_2207_147_Ca204TrN_MaDLC_ode23t_1.png","figure")</f>
        <v>figure</v>
      </c>
      <c r="P148" t="s">
        <v>15</v>
      </c>
    </row>
    <row r="149" spans="1:16" x14ac:dyDescent="0.25">
      <c r="A149">
        <v>148</v>
      </c>
      <c r="B149">
        <v>204</v>
      </c>
      <c r="C149" t="s">
        <v>105</v>
      </c>
      <c r="D149" t="s">
        <v>106</v>
      </c>
      <c r="E149" t="s">
        <v>18</v>
      </c>
      <c r="F149" t="s">
        <v>19</v>
      </c>
      <c r="G149" t="s">
        <v>20</v>
      </c>
      <c r="H149" t="s">
        <v>21</v>
      </c>
      <c r="I149" t="s">
        <v>54</v>
      </c>
      <c r="J149" t="s">
        <v>23</v>
      </c>
      <c r="K149">
        <v>696</v>
      </c>
      <c r="L149" s="4">
        <v>20.820618</v>
      </c>
      <c r="M149" s="4">
        <v>26.038416601950011</v>
      </c>
      <c r="N149" s="4">
        <v>9.6497034880768141E-3</v>
      </c>
      <c r="O149" s="1" t="str">
        <f>HYPERLINK(".\sm_car_250419_2207\sm_car_250419_2207_148_Ca204TrN_MaIPA_ode23t_1.png","figure")</f>
        <v>figure</v>
      </c>
      <c r="P149" t="s">
        <v>15</v>
      </c>
    </row>
    <row r="150" spans="1:16" x14ac:dyDescent="0.25">
      <c r="A150">
        <v>149</v>
      </c>
      <c r="B150">
        <v>12</v>
      </c>
      <c r="C150" t="s">
        <v>16</v>
      </c>
      <c r="D150" t="s">
        <v>17</v>
      </c>
      <c r="E150" t="s">
        <v>49</v>
      </c>
      <c r="F150" t="s">
        <v>28</v>
      </c>
      <c r="G150" t="s">
        <v>20</v>
      </c>
      <c r="H150" t="s">
        <v>21</v>
      </c>
      <c r="I150" t="s">
        <v>55</v>
      </c>
      <c r="J150" t="s">
        <v>23</v>
      </c>
      <c r="K150">
        <v>2716</v>
      </c>
      <c r="L150" s="4">
        <v>52.813790300000001</v>
      </c>
      <c r="M150" s="4">
        <v>-2.0396880601589229E-2</v>
      </c>
      <c r="N150" s="4">
        <v>-0.62224105249811623</v>
      </c>
      <c r="O150" s="1" t="str">
        <f>HYPERLINK(".\sm_car_250419_2207\sm_car_250419_2207_149_Ca012TrN_MaMPK_ode23t_1.png","figure")</f>
        <v>figure</v>
      </c>
      <c r="P150" t="s">
        <v>15</v>
      </c>
    </row>
    <row r="151" spans="1:16" x14ac:dyDescent="0.25">
      <c r="A151">
        <v>150</v>
      </c>
      <c r="B151">
        <v>12</v>
      </c>
      <c r="C151" t="s">
        <v>16</v>
      </c>
      <c r="D151" t="s">
        <v>17</v>
      </c>
      <c r="E151" t="s">
        <v>49</v>
      </c>
      <c r="F151" t="s">
        <v>28</v>
      </c>
      <c r="G151" t="s">
        <v>20</v>
      </c>
      <c r="H151" t="s">
        <v>21</v>
      </c>
      <c r="I151" t="s">
        <v>56</v>
      </c>
      <c r="J151" t="s">
        <v>23</v>
      </c>
      <c r="K151">
        <v>3120</v>
      </c>
      <c r="L151" s="4">
        <v>59.324862899999999</v>
      </c>
      <c r="M151" s="4">
        <v>0.7865657148635492</v>
      </c>
      <c r="N151" s="4">
        <v>-0.32243230539683365</v>
      </c>
      <c r="O151" s="1" t="str">
        <f>HYPERLINK(".\sm_car_250419_2207\sm_car_250419_2207_150_Ca012TrN_MaMPC_ode23t_1.png","figure")</f>
        <v>figure</v>
      </c>
      <c r="P151" t="s">
        <v>15</v>
      </c>
    </row>
    <row r="152" spans="1:16" x14ac:dyDescent="0.25">
      <c r="A152">
        <v>151</v>
      </c>
      <c r="B152">
        <v>142</v>
      </c>
      <c r="C152" t="s">
        <v>45</v>
      </c>
      <c r="D152" t="s">
        <v>17</v>
      </c>
      <c r="E152" t="s">
        <v>49</v>
      </c>
      <c r="F152" t="s">
        <v>28</v>
      </c>
      <c r="G152" t="s">
        <v>26</v>
      </c>
      <c r="H152" t="s">
        <v>21</v>
      </c>
      <c r="I152" t="s">
        <v>55</v>
      </c>
      <c r="J152" t="s">
        <v>23</v>
      </c>
      <c r="K152">
        <v>2592</v>
      </c>
      <c r="L152" s="4">
        <v>112.9347889</v>
      </c>
      <c r="M152" s="4">
        <v>-7.0531838504402644E-3</v>
      </c>
      <c r="N152" s="4">
        <v>-0.5465911673375381</v>
      </c>
      <c r="O152" s="1" t="str">
        <f>HYPERLINK(".\sm_car_250419_2207\sm_car_250419_2207_151_Ca142TrN_MaMPK_ode23t_1.png","figure")</f>
        <v>figure</v>
      </c>
      <c r="P152" t="s">
        <v>15</v>
      </c>
    </row>
    <row r="153" spans="1:16" x14ac:dyDescent="0.25">
      <c r="A153">
        <v>152</v>
      </c>
      <c r="B153">
        <v>142</v>
      </c>
      <c r="C153" t="s">
        <v>45</v>
      </c>
      <c r="D153" t="s">
        <v>17</v>
      </c>
      <c r="E153" t="s">
        <v>49</v>
      </c>
      <c r="F153" t="s">
        <v>28</v>
      </c>
      <c r="G153" t="s">
        <v>26</v>
      </c>
      <c r="H153" t="s">
        <v>21</v>
      </c>
      <c r="I153" t="s">
        <v>56</v>
      </c>
      <c r="J153" t="s">
        <v>23</v>
      </c>
      <c r="K153">
        <v>3205</v>
      </c>
      <c r="L153" s="4">
        <v>135.93065419999999</v>
      </c>
      <c r="M153" s="4">
        <v>0.78869245074787742</v>
      </c>
      <c r="N153" s="4">
        <v>-0.36599133576634157</v>
      </c>
      <c r="O153" s="1" t="str">
        <f>HYPERLINK(".\sm_car_250419_2207\sm_car_250419_2207_152_Ca142TrN_MaMPC_ode23t_1.png","figure")</f>
        <v>figure</v>
      </c>
      <c r="P153" t="s">
        <v>15</v>
      </c>
    </row>
    <row r="154" spans="1:16" x14ac:dyDescent="0.25">
      <c r="A154">
        <v>153</v>
      </c>
      <c r="B154">
        <v>116</v>
      </c>
      <c r="C154" t="s">
        <v>16</v>
      </c>
      <c r="D154" t="s">
        <v>35</v>
      </c>
      <c r="E154" t="s">
        <v>18</v>
      </c>
      <c r="F154" t="s">
        <v>28</v>
      </c>
      <c r="G154" t="s">
        <v>20</v>
      </c>
      <c r="H154" t="s">
        <v>21</v>
      </c>
      <c r="I154" t="s">
        <v>55</v>
      </c>
      <c r="J154" t="s">
        <v>23</v>
      </c>
      <c r="K154">
        <v>2872</v>
      </c>
      <c r="L154" s="4">
        <v>25.652732</v>
      </c>
      <c r="M154" s="4">
        <v>-1.7009762451176483E-2</v>
      </c>
      <c r="N154" s="4">
        <v>-0.52484024733744905</v>
      </c>
      <c r="O154" s="1" t="str">
        <f>HYPERLINK(".\sm_car_250419_2207\sm_car_250419_2207_153_Ca116TrN_MaMPK_ode23t_1.png","figure")</f>
        <v>figure</v>
      </c>
      <c r="P154" t="s">
        <v>15</v>
      </c>
    </row>
    <row r="155" spans="1:16" x14ac:dyDescent="0.25">
      <c r="A155">
        <v>154</v>
      </c>
      <c r="B155">
        <v>116</v>
      </c>
      <c r="C155" t="s">
        <v>16</v>
      </c>
      <c r="D155" t="s">
        <v>35</v>
      </c>
      <c r="E155" t="s">
        <v>18</v>
      </c>
      <c r="F155" t="s">
        <v>28</v>
      </c>
      <c r="G155" t="s">
        <v>20</v>
      </c>
      <c r="H155" t="s">
        <v>21</v>
      </c>
      <c r="I155" t="s">
        <v>56</v>
      </c>
      <c r="J155" t="s">
        <v>23</v>
      </c>
      <c r="K155">
        <v>3366</v>
      </c>
      <c r="L155" s="4">
        <v>26.7000095</v>
      </c>
      <c r="M155" s="4">
        <v>0.78777276892973447</v>
      </c>
      <c r="N155" s="4">
        <v>-0.35490619050324107</v>
      </c>
      <c r="O155" s="1" t="str">
        <f>HYPERLINK(".\sm_car_250419_2207\sm_car_250419_2207_154_Ca116TrN_MaMPC_ode23t_1.png","figure")</f>
        <v>figure</v>
      </c>
      <c r="P155" t="s">
        <v>15</v>
      </c>
    </row>
    <row r="156" spans="1:16" x14ac:dyDescent="0.25">
      <c r="A156">
        <v>155</v>
      </c>
      <c r="B156">
        <v>143</v>
      </c>
      <c r="C156" t="s">
        <v>46</v>
      </c>
      <c r="D156" t="s">
        <v>17</v>
      </c>
      <c r="E156" t="s">
        <v>47</v>
      </c>
      <c r="F156" t="s">
        <v>19</v>
      </c>
      <c r="G156" t="s">
        <v>26</v>
      </c>
      <c r="H156" t="s">
        <v>21</v>
      </c>
      <c r="I156" t="s">
        <v>55</v>
      </c>
      <c r="J156" t="s">
        <v>23</v>
      </c>
      <c r="K156">
        <v>2733</v>
      </c>
      <c r="L156" s="4">
        <v>87.829669100000004</v>
      </c>
      <c r="M156" s="4">
        <v>-1.6058635762112902E-2</v>
      </c>
      <c r="N156" s="4">
        <v>-0.38957128990197853</v>
      </c>
      <c r="O156" s="1" t="str">
        <f>HYPERLINK(".\sm_car_250419_2207\sm_car_250419_2207_155_Ca143TrN_MaMPK_ode23t_1.png","figure")</f>
        <v>figure</v>
      </c>
      <c r="P156" t="s">
        <v>15</v>
      </c>
    </row>
    <row r="157" spans="1:16" x14ac:dyDescent="0.25">
      <c r="A157">
        <v>156</v>
      </c>
      <c r="B157">
        <v>143</v>
      </c>
      <c r="C157" t="s">
        <v>46</v>
      </c>
      <c r="D157" t="s">
        <v>17</v>
      </c>
      <c r="E157" t="s">
        <v>47</v>
      </c>
      <c r="F157" t="s">
        <v>19</v>
      </c>
      <c r="G157" t="s">
        <v>26</v>
      </c>
      <c r="H157" t="s">
        <v>21</v>
      </c>
      <c r="I157" t="s">
        <v>56</v>
      </c>
      <c r="J157" t="s">
        <v>23</v>
      </c>
      <c r="K157">
        <v>2877</v>
      </c>
      <c r="L157" s="4">
        <v>105.7096911</v>
      </c>
      <c r="M157" s="4">
        <v>0.78945150718712753</v>
      </c>
      <c r="N157" s="4">
        <v>-0.25883131205556814</v>
      </c>
      <c r="O157" s="1" t="str">
        <f>HYPERLINK(".\sm_car_250419_2207\sm_car_250419_2207_156_Ca143TrN_MaMPC_ode23t_1.png","figure")</f>
        <v>figure</v>
      </c>
      <c r="P157" t="s">
        <v>15</v>
      </c>
    </row>
    <row r="158" spans="1:16" x14ac:dyDescent="0.25">
      <c r="A158">
        <v>157</v>
      </c>
      <c r="B158">
        <v>166</v>
      </c>
      <c r="C158" t="s">
        <v>45</v>
      </c>
      <c r="D158" t="s">
        <v>57</v>
      </c>
      <c r="E158" t="s">
        <v>18</v>
      </c>
      <c r="F158" t="s">
        <v>19</v>
      </c>
      <c r="G158" t="s">
        <v>26</v>
      </c>
      <c r="H158" t="s">
        <v>21</v>
      </c>
      <c r="I158" t="s">
        <v>55</v>
      </c>
      <c r="J158" t="s">
        <v>23</v>
      </c>
      <c r="K158">
        <v>3174</v>
      </c>
      <c r="L158" s="4">
        <v>85.143493800000002</v>
      </c>
      <c r="M158" s="4">
        <v>-1.984180028581807E-2</v>
      </c>
      <c r="N158" s="4">
        <v>-0.55560861622726376</v>
      </c>
      <c r="O158" s="1" t="str">
        <f>HYPERLINK(".\sm_car_250419_2207\sm_car_250419_2207_157_Ca166TrN_MaMPK_ode23t_1.png","figure")</f>
        <v>figure</v>
      </c>
      <c r="P158" t="s">
        <v>15</v>
      </c>
    </row>
    <row r="159" spans="1:16" x14ac:dyDescent="0.25">
      <c r="A159">
        <v>158</v>
      </c>
      <c r="B159">
        <v>166</v>
      </c>
      <c r="C159" t="s">
        <v>45</v>
      </c>
      <c r="D159" t="s">
        <v>57</v>
      </c>
      <c r="E159" t="s">
        <v>18</v>
      </c>
      <c r="F159" t="s">
        <v>19</v>
      </c>
      <c r="G159" t="s">
        <v>26</v>
      </c>
      <c r="H159" t="s">
        <v>21</v>
      </c>
      <c r="I159" t="s">
        <v>56</v>
      </c>
      <c r="J159" t="s">
        <v>23</v>
      </c>
      <c r="K159">
        <v>3547</v>
      </c>
      <c r="L159" s="4">
        <v>89.497425199999995</v>
      </c>
      <c r="M159" s="4">
        <v>0.78606167637606816</v>
      </c>
      <c r="N159" s="4">
        <v>-0.35630637279390154</v>
      </c>
      <c r="O159" s="1" t="str">
        <f>HYPERLINK(".\sm_car_250419_2207\sm_car_250419_2207_158_Ca166TrN_MaMPC_ode23t_1.png","figure")</f>
        <v>figure</v>
      </c>
      <c r="P159" t="s">
        <v>15</v>
      </c>
    </row>
    <row r="160" spans="1:16" x14ac:dyDescent="0.25">
      <c r="A160">
        <v>159</v>
      </c>
      <c r="B160">
        <v>169</v>
      </c>
      <c r="C160" t="s">
        <v>45</v>
      </c>
      <c r="D160" t="s">
        <v>58</v>
      </c>
      <c r="E160" t="s">
        <v>49</v>
      </c>
      <c r="F160" t="s">
        <v>19</v>
      </c>
      <c r="G160" t="s">
        <v>26</v>
      </c>
      <c r="H160" t="s">
        <v>21</v>
      </c>
      <c r="I160" t="s">
        <v>55</v>
      </c>
      <c r="J160" t="s">
        <v>23</v>
      </c>
      <c r="K160">
        <v>3155</v>
      </c>
      <c r="L160" s="4">
        <v>71.285762700000006</v>
      </c>
      <c r="M160" s="4">
        <v>-1.3519466918922904E-2</v>
      </c>
      <c r="N160" s="4">
        <v>-0.55654565882850138</v>
      </c>
      <c r="O160" s="1" t="str">
        <f>HYPERLINK(".\sm_car_250419_2207\sm_car_250419_2207_159_Ca169TrN_MaMPK_ode23t_1.png","figure")</f>
        <v>figure</v>
      </c>
      <c r="P160" t="s">
        <v>15</v>
      </c>
    </row>
    <row r="161" spans="1:16" x14ac:dyDescent="0.25">
      <c r="A161">
        <v>160</v>
      </c>
      <c r="B161">
        <v>169</v>
      </c>
      <c r="C161" t="s">
        <v>45</v>
      </c>
      <c r="D161" t="s">
        <v>58</v>
      </c>
      <c r="E161" t="s">
        <v>49</v>
      </c>
      <c r="F161" t="s">
        <v>19</v>
      </c>
      <c r="G161" t="s">
        <v>26</v>
      </c>
      <c r="H161" t="s">
        <v>21</v>
      </c>
      <c r="I161" t="s">
        <v>56</v>
      </c>
      <c r="J161" t="s">
        <v>23</v>
      </c>
      <c r="K161">
        <v>3397</v>
      </c>
      <c r="L161" s="4">
        <v>72.831766299999998</v>
      </c>
      <c r="M161" s="4">
        <v>0.78804094359327159</v>
      </c>
      <c r="N161" s="4">
        <v>-0.35562499440565465</v>
      </c>
      <c r="O161" s="1" t="str">
        <f>HYPERLINK(".\sm_car_250419_2207\sm_car_250419_2207_160_Ca169TrN_MaMPC_ode23t_1.png","figure")</f>
        <v>figure</v>
      </c>
      <c r="P161" t="s">
        <v>15</v>
      </c>
    </row>
    <row r="162" spans="1:16" x14ac:dyDescent="0.25">
      <c r="A162">
        <v>161</v>
      </c>
      <c r="B162">
        <v>184</v>
      </c>
      <c r="C162" t="s">
        <v>105</v>
      </c>
      <c r="D162" t="s">
        <v>119</v>
      </c>
      <c r="E162" t="s">
        <v>49</v>
      </c>
      <c r="F162" t="s">
        <v>19</v>
      </c>
      <c r="G162" t="s">
        <v>20</v>
      </c>
      <c r="H162" t="s">
        <v>21</v>
      </c>
      <c r="I162" t="s">
        <v>55</v>
      </c>
      <c r="J162" t="s">
        <v>23</v>
      </c>
      <c r="K162">
        <v>2097</v>
      </c>
      <c r="L162" s="4">
        <v>89.905072000000004</v>
      </c>
      <c r="M162" s="4">
        <v>6.408517332402594E-3</v>
      </c>
      <c r="N162" s="4">
        <v>-0.69731076330967923</v>
      </c>
      <c r="O162" s="1" t="str">
        <f>HYPERLINK(".\sm_car_250419_2207\sm_car_250419_2207_161_Ca184TrN_MaMPK_ode23t_1.png","figure")</f>
        <v>figure</v>
      </c>
      <c r="P162" t="s">
        <v>15</v>
      </c>
    </row>
    <row r="163" spans="1:16" x14ac:dyDescent="0.25">
      <c r="A163">
        <v>162</v>
      </c>
      <c r="B163">
        <v>184</v>
      </c>
      <c r="C163" t="s">
        <v>105</v>
      </c>
      <c r="D163" t="s">
        <v>119</v>
      </c>
      <c r="E163" t="s">
        <v>49</v>
      </c>
      <c r="F163" t="s">
        <v>19</v>
      </c>
      <c r="G163" t="s">
        <v>20</v>
      </c>
      <c r="H163" t="s">
        <v>21</v>
      </c>
      <c r="I163" t="s">
        <v>56</v>
      </c>
      <c r="J163" t="s">
        <v>23</v>
      </c>
      <c r="K163">
        <v>2152</v>
      </c>
      <c r="L163" s="4">
        <v>84.004459499999996</v>
      </c>
      <c r="M163" s="4">
        <v>0.78856473189526</v>
      </c>
      <c r="N163" s="4">
        <v>-0.32948899606388127</v>
      </c>
      <c r="O163" s="1" t="str">
        <f>HYPERLINK(".\sm_car_250419_2207\sm_car_250419_2207_162_Ca184TrN_MaMPC_ode23t_1.png","figure")</f>
        <v>figure</v>
      </c>
      <c r="P163" t="s">
        <v>15</v>
      </c>
    </row>
    <row r="164" spans="1:16" x14ac:dyDescent="0.25">
      <c r="A164">
        <v>163</v>
      </c>
      <c r="B164">
        <v>195</v>
      </c>
      <c r="C164" t="s">
        <v>45</v>
      </c>
      <c r="D164" t="s">
        <v>58</v>
      </c>
      <c r="E164" t="s">
        <v>107</v>
      </c>
      <c r="F164" t="s">
        <v>19</v>
      </c>
      <c r="G164" t="s">
        <v>26</v>
      </c>
      <c r="H164" t="s">
        <v>21</v>
      </c>
      <c r="I164" t="s">
        <v>55</v>
      </c>
      <c r="J164" t="s">
        <v>23</v>
      </c>
      <c r="K164">
        <v>3159</v>
      </c>
      <c r="L164" s="4">
        <v>70.452561200000005</v>
      </c>
      <c r="M164" s="4">
        <v>-1.5293287711441811E-2</v>
      </c>
      <c r="N164" s="4">
        <v>-0.55649885149782352</v>
      </c>
      <c r="O164" s="1" t="str">
        <f>HYPERLINK(".\sm_car_250419_2207\sm_car_250419_2207_163_Ca195TrN_MaMPK_ode23t_1.png","figure")</f>
        <v>figure</v>
      </c>
      <c r="P164" t="s">
        <v>15</v>
      </c>
    </row>
    <row r="165" spans="1:16" x14ac:dyDescent="0.25">
      <c r="A165">
        <v>164</v>
      </c>
      <c r="B165">
        <v>195</v>
      </c>
      <c r="C165" t="s">
        <v>45</v>
      </c>
      <c r="D165" t="s">
        <v>58</v>
      </c>
      <c r="E165" t="s">
        <v>107</v>
      </c>
      <c r="F165" t="s">
        <v>19</v>
      </c>
      <c r="G165" t="s">
        <v>26</v>
      </c>
      <c r="H165" t="s">
        <v>21</v>
      </c>
      <c r="I165" t="s">
        <v>56</v>
      </c>
      <c r="J165" t="s">
        <v>23</v>
      </c>
      <c r="K165">
        <v>3391</v>
      </c>
      <c r="L165" s="4">
        <v>69.056607700000001</v>
      </c>
      <c r="M165" s="4">
        <v>0.78905046853584082</v>
      </c>
      <c r="N165" s="4">
        <v>-0.35563415861857478</v>
      </c>
      <c r="O165" s="1" t="str">
        <f>HYPERLINK(".\sm_car_250419_2207\sm_car_250419_2207_164_Ca195TrN_MaMPC_ode23t_1.png","figure")</f>
        <v>figure</v>
      </c>
      <c r="P165" t="s">
        <v>15</v>
      </c>
    </row>
    <row r="166" spans="1:16" x14ac:dyDescent="0.25">
      <c r="A166">
        <v>165</v>
      </c>
      <c r="B166">
        <v>198</v>
      </c>
      <c r="C166" t="s">
        <v>105</v>
      </c>
      <c r="D166" t="s">
        <v>119</v>
      </c>
      <c r="E166" t="s">
        <v>107</v>
      </c>
      <c r="F166" t="s">
        <v>19</v>
      </c>
      <c r="G166" t="s">
        <v>20</v>
      </c>
      <c r="H166" t="s">
        <v>21</v>
      </c>
      <c r="I166" t="s">
        <v>55</v>
      </c>
      <c r="J166" t="s">
        <v>23</v>
      </c>
      <c r="K166">
        <v>2115</v>
      </c>
      <c r="L166" s="4">
        <v>56.439778400000002</v>
      </c>
      <c r="M166" s="4">
        <v>-2.1272834075709388E-2</v>
      </c>
      <c r="N166" s="4">
        <v>-0.69680057239394144</v>
      </c>
      <c r="O166" s="1" t="str">
        <f>HYPERLINK(".\sm_car_250419_2207\sm_car_250419_2207_165_Ca198TrN_MaMPK_ode23t_1.png","figure")</f>
        <v>figure</v>
      </c>
      <c r="P166" t="s">
        <v>15</v>
      </c>
    </row>
    <row r="167" spans="1:16" x14ac:dyDescent="0.25">
      <c r="A167">
        <v>166</v>
      </c>
      <c r="B167">
        <v>198</v>
      </c>
      <c r="C167" t="s">
        <v>105</v>
      </c>
      <c r="D167" t="s">
        <v>119</v>
      </c>
      <c r="E167" t="s">
        <v>107</v>
      </c>
      <c r="F167" t="s">
        <v>19</v>
      </c>
      <c r="G167" t="s">
        <v>20</v>
      </c>
      <c r="H167" t="s">
        <v>21</v>
      </c>
      <c r="I167" t="s">
        <v>56</v>
      </c>
      <c r="J167" t="s">
        <v>23</v>
      </c>
      <c r="K167">
        <v>2167</v>
      </c>
      <c r="L167" s="4">
        <v>58.313608799999997</v>
      </c>
      <c r="M167" s="4">
        <v>0.78899044648266781</v>
      </c>
      <c r="N167" s="4">
        <v>-0.32939130989377702</v>
      </c>
      <c r="O167" s="1" t="str">
        <f>HYPERLINK(".\sm_car_250419_2207\sm_car_250419_2207_166_Ca198TrN_MaMPC_ode23t_1.png","figure")</f>
        <v>figure</v>
      </c>
      <c r="P167" t="s">
        <v>15</v>
      </c>
    </row>
    <row r="168" spans="1:16" x14ac:dyDescent="0.25">
      <c r="A168">
        <v>167</v>
      </c>
      <c r="B168">
        <v>151</v>
      </c>
      <c r="C168" t="s">
        <v>16</v>
      </c>
      <c r="D168" t="s">
        <v>17</v>
      </c>
      <c r="E168" t="s">
        <v>18</v>
      </c>
      <c r="F168" t="s">
        <v>19</v>
      </c>
      <c r="G168" t="s">
        <v>59</v>
      </c>
      <c r="H168" t="s">
        <v>21</v>
      </c>
      <c r="I168" t="s">
        <v>24</v>
      </c>
      <c r="J168" t="s">
        <v>23</v>
      </c>
      <c r="K168">
        <v>510</v>
      </c>
      <c r="L168" s="4">
        <v>21.674771100000001</v>
      </c>
      <c r="M168" s="4">
        <v>72.59254131143598</v>
      </c>
      <c r="N168" s="4">
        <v>-0.80400607333528373</v>
      </c>
      <c r="O168" s="1" t="str">
        <f>HYPERLINK(".\sm_car_250419_2207\sm_car_250419_2207_167_Ca151TrN_MaLSS_ode23t_1.png","figure")</f>
        <v>figure</v>
      </c>
      <c r="P168" t="s">
        <v>15</v>
      </c>
    </row>
    <row r="169" spans="1:16" x14ac:dyDescent="0.25">
      <c r="A169">
        <v>168</v>
      </c>
      <c r="B169">
        <v>152</v>
      </c>
      <c r="C169" t="s">
        <v>16</v>
      </c>
      <c r="D169" t="s">
        <v>17</v>
      </c>
      <c r="E169" t="s">
        <v>18</v>
      </c>
      <c r="F169" t="s">
        <v>19</v>
      </c>
      <c r="G169" t="s">
        <v>60</v>
      </c>
      <c r="H169" t="s">
        <v>21</v>
      </c>
      <c r="I169" t="s">
        <v>24</v>
      </c>
      <c r="J169" t="s">
        <v>23</v>
      </c>
      <c r="K169">
        <v>530</v>
      </c>
      <c r="L169" s="4">
        <v>21.231960999999998</v>
      </c>
      <c r="M169" s="4">
        <v>70.956782091709215</v>
      </c>
      <c r="N169" s="4">
        <v>-0.52879492911994441</v>
      </c>
      <c r="O169" s="1" t="str">
        <f>HYPERLINK(".\sm_car_250419_2207\sm_car_250419_2207_168_Ca152TrN_MaLSS_ode23t_1.png","figure")</f>
        <v>figure</v>
      </c>
      <c r="P169" t="s">
        <v>15</v>
      </c>
    </row>
    <row r="170" spans="1:16" x14ac:dyDescent="0.25">
      <c r="A170">
        <v>169</v>
      </c>
      <c r="B170">
        <v>153</v>
      </c>
      <c r="C170" t="s">
        <v>16</v>
      </c>
      <c r="D170" t="s">
        <v>17</v>
      </c>
      <c r="E170" t="s">
        <v>18</v>
      </c>
      <c r="F170" t="s">
        <v>19</v>
      </c>
      <c r="G170" t="s">
        <v>61</v>
      </c>
      <c r="H170" t="s">
        <v>21</v>
      </c>
      <c r="I170" t="s">
        <v>24</v>
      </c>
      <c r="J170" t="s">
        <v>23</v>
      </c>
      <c r="K170">
        <v>559</v>
      </c>
      <c r="L170" s="4">
        <v>22.5580131</v>
      </c>
      <c r="M170" s="4">
        <v>70.796389238468933</v>
      </c>
      <c r="N170" s="4">
        <v>-0.86805644350429978</v>
      </c>
      <c r="O170" s="1" t="str">
        <f>HYPERLINK(".\sm_car_250419_2207\sm_car_250419_2207_169_Ca153TrN_MaLSS_ode23t_1.png","figure")</f>
        <v>figure</v>
      </c>
      <c r="P170" t="s">
        <v>15</v>
      </c>
    </row>
    <row r="171" spans="1:16" x14ac:dyDescent="0.25">
      <c r="A171">
        <v>170</v>
      </c>
      <c r="B171">
        <v>154</v>
      </c>
      <c r="C171" t="s">
        <v>16</v>
      </c>
      <c r="D171" t="s">
        <v>17</v>
      </c>
      <c r="E171" t="s">
        <v>18</v>
      </c>
      <c r="F171" t="s">
        <v>19</v>
      </c>
      <c r="G171" t="s">
        <v>108</v>
      </c>
      <c r="H171" t="s">
        <v>21</v>
      </c>
      <c r="I171" t="s">
        <v>24</v>
      </c>
      <c r="J171" t="s">
        <v>23</v>
      </c>
      <c r="K171">
        <v>480</v>
      </c>
      <c r="L171" s="4">
        <v>25.864266199999999</v>
      </c>
      <c r="M171" s="4">
        <v>70.981483329043769</v>
      </c>
      <c r="N171" s="4">
        <v>-0.35866872046311954</v>
      </c>
      <c r="O171" s="1" t="str">
        <f>HYPERLINK(".\sm_car_250419_2207\sm_car_250419_2207_170_Ca154TrN_MaLSS_ode23t_1.png","figure")</f>
        <v>figure</v>
      </c>
      <c r="P171" t="s">
        <v>15</v>
      </c>
    </row>
    <row r="172" spans="1:16" x14ac:dyDescent="0.25">
      <c r="A172">
        <v>171</v>
      </c>
      <c r="B172">
        <v>155</v>
      </c>
      <c r="C172" t="s">
        <v>16</v>
      </c>
      <c r="D172" t="s">
        <v>17</v>
      </c>
      <c r="E172" t="s">
        <v>18</v>
      </c>
      <c r="F172" t="s">
        <v>19</v>
      </c>
      <c r="G172" t="s">
        <v>62</v>
      </c>
      <c r="H172" t="s">
        <v>21</v>
      </c>
      <c r="I172" t="s">
        <v>24</v>
      </c>
      <c r="J172" t="s">
        <v>23</v>
      </c>
      <c r="K172">
        <v>539</v>
      </c>
      <c r="L172" s="4">
        <v>28.872465800000001</v>
      </c>
      <c r="M172" s="4">
        <v>70.846282753542795</v>
      </c>
      <c r="N172" s="4">
        <v>-0.84565456029650976</v>
      </c>
      <c r="O172" s="1" t="str">
        <f>HYPERLINK(".\sm_car_250419_2207\sm_car_250419_2207_171_Ca155TrN_MaLSS_ode23t_1.png","figure")</f>
        <v>figure</v>
      </c>
      <c r="P172" t="s">
        <v>15</v>
      </c>
    </row>
    <row r="173" spans="1:16" x14ac:dyDescent="0.25">
      <c r="A173">
        <v>172</v>
      </c>
      <c r="B173">
        <v>4</v>
      </c>
      <c r="C173" t="s">
        <v>16</v>
      </c>
      <c r="D173" t="s">
        <v>17</v>
      </c>
      <c r="E173" t="s">
        <v>18</v>
      </c>
      <c r="F173" t="s">
        <v>28</v>
      </c>
      <c r="G173" t="s">
        <v>20</v>
      </c>
      <c r="H173" t="s">
        <v>21</v>
      </c>
      <c r="I173" t="s">
        <v>22</v>
      </c>
      <c r="J173" t="s">
        <v>63</v>
      </c>
      <c r="K173">
        <v>3247</v>
      </c>
      <c r="L173" s="4">
        <v>14.681094</v>
      </c>
      <c r="M173" s="4">
        <v>231.38923252163076</v>
      </c>
      <c r="N173" s="4">
        <v>2.2944610708496901E-3</v>
      </c>
      <c r="O173" s="1" t="str">
        <f>HYPERLINK(".\sm_car_250419_2207\sm_car_250419_2207_172_Ca004TrN_MaWOT_ode3_1.png","figure")</f>
        <v>figure</v>
      </c>
      <c r="P173" t="s">
        <v>15</v>
      </c>
    </row>
    <row r="174" spans="1:16" x14ac:dyDescent="0.25">
      <c r="A174">
        <v>173</v>
      </c>
      <c r="B174">
        <v>4</v>
      </c>
      <c r="C174" t="s">
        <v>16</v>
      </c>
      <c r="D174" t="s">
        <v>17</v>
      </c>
      <c r="E174" t="s">
        <v>18</v>
      </c>
      <c r="F174" t="s">
        <v>28</v>
      </c>
      <c r="G174" t="s">
        <v>20</v>
      </c>
      <c r="H174" t="s">
        <v>21</v>
      </c>
      <c r="I174" t="s">
        <v>24</v>
      </c>
      <c r="J174" t="s">
        <v>63</v>
      </c>
      <c r="K174">
        <v>2564</v>
      </c>
      <c r="L174" s="4">
        <v>11.8800694</v>
      </c>
      <c r="M174" s="4">
        <v>71.253969951402098</v>
      </c>
      <c r="N174" s="4">
        <v>-0.54014322697826567</v>
      </c>
      <c r="O174" s="1" t="str">
        <f>HYPERLINK(".\sm_car_250419_2207\sm_car_250419_2207_173_Ca004TrN_MaLSS_ode3_1.png","figure")</f>
        <v>figure</v>
      </c>
      <c r="P174" t="s">
        <v>15</v>
      </c>
    </row>
    <row r="175" spans="1:16" x14ac:dyDescent="0.25">
      <c r="A175">
        <v>174</v>
      </c>
      <c r="B175">
        <v>4</v>
      </c>
      <c r="C175" t="s">
        <v>16</v>
      </c>
      <c r="D175" t="s">
        <v>17</v>
      </c>
      <c r="E175" t="s">
        <v>18</v>
      </c>
      <c r="F175" t="s">
        <v>28</v>
      </c>
      <c r="G175" t="s">
        <v>20</v>
      </c>
      <c r="H175" t="s">
        <v>21</v>
      </c>
      <c r="I175" t="s">
        <v>64</v>
      </c>
      <c r="J175" t="s">
        <v>63</v>
      </c>
      <c r="K175">
        <v>2562</v>
      </c>
      <c r="L175" s="4">
        <v>11.871891099999999</v>
      </c>
      <c r="M175" s="4">
        <v>63.785889456714656</v>
      </c>
      <c r="N175" s="4">
        <v>-25.043861215377692</v>
      </c>
      <c r="O175" s="1" t="str">
        <f>HYPERLINK(".\sm_car_250419_2207\sm_car_250419_2207_174_Ca004TrN_MaTUR_ode3_1.png","figure")</f>
        <v>figure</v>
      </c>
      <c r="P175" t="s">
        <v>15</v>
      </c>
    </row>
    <row r="176" spans="1:16" x14ac:dyDescent="0.25">
      <c r="A176">
        <v>175</v>
      </c>
      <c r="B176">
        <v>116</v>
      </c>
      <c r="C176" t="s">
        <v>16</v>
      </c>
      <c r="D176" t="s">
        <v>35</v>
      </c>
      <c r="E176" t="s">
        <v>18</v>
      </c>
      <c r="F176" t="s">
        <v>28</v>
      </c>
      <c r="G176" t="s">
        <v>20</v>
      </c>
      <c r="H176" t="s">
        <v>21</v>
      </c>
      <c r="I176" t="s">
        <v>22</v>
      </c>
      <c r="J176" t="s">
        <v>63</v>
      </c>
      <c r="K176">
        <v>3244</v>
      </c>
      <c r="L176" s="4">
        <v>6.4610348999999996</v>
      </c>
      <c r="M176" s="4">
        <v>242.70379428436041</v>
      </c>
      <c r="N176" s="4">
        <v>0.23327324309701689</v>
      </c>
      <c r="O176" s="1" t="str">
        <f>HYPERLINK(".\sm_car_250419_2207\sm_car_250419_2207_175_Ca116TrN_MaWOT_ode3_1.png","figure")</f>
        <v>figure</v>
      </c>
      <c r="P176" t="s">
        <v>15</v>
      </c>
    </row>
    <row r="177" spans="1:16" x14ac:dyDescent="0.25">
      <c r="A177">
        <v>176</v>
      </c>
      <c r="B177">
        <v>116</v>
      </c>
      <c r="C177" t="s">
        <v>16</v>
      </c>
      <c r="D177" t="s">
        <v>35</v>
      </c>
      <c r="E177" t="s">
        <v>18</v>
      </c>
      <c r="F177" t="s">
        <v>28</v>
      </c>
      <c r="G177" t="s">
        <v>20</v>
      </c>
      <c r="H177" t="s">
        <v>21</v>
      </c>
      <c r="I177" t="s">
        <v>24</v>
      </c>
      <c r="J177" t="s">
        <v>63</v>
      </c>
      <c r="K177">
        <v>2564</v>
      </c>
      <c r="L177" s="4">
        <v>5.4133361000000004</v>
      </c>
      <c r="M177" s="4">
        <v>74.659491982450774</v>
      </c>
      <c r="N177" s="4">
        <v>-0.34093758006291858</v>
      </c>
      <c r="O177" s="1" t="str">
        <f>HYPERLINK(".\sm_car_250419_2207\sm_car_250419_2207_176_Ca116TrN_MaLSS_ode3_1.png","figure")</f>
        <v>figure</v>
      </c>
      <c r="P177" t="s">
        <v>15</v>
      </c>
    </row>
    <row r="178" spans="1:16" x14ac:dyDescent="0.25">
      <c r="A178">
        <v>177</v>
      </c>
      <c r="B178">
        <v>116</v>
      </c>
      <c r="C178" t="s">
        <v>16</v>
      </c>
      <c r="D178" t="s">
        <v>35</v>
      </c>
      <c r="E178" t="s">
        <v>18</v>
      </c>
      <c r="F178" t="s">
        <v>28</v>
      </c>
      <c r="G178" t="s">
        <v>20</v>
      </c>
      <c r="H178" t="s">
        <v>21</v>
      </c>
      <c r="I178" t="s">
        <v>64</v>
      </c>
      <c r="J178" t="s">
        <v>63</v>
      </c>
      <c r="K178">
        <v>2563</v>
      </c>
      <c r="L178" s="4">
        <v>5.4572184000000004</v>
      </c>
      <c r="M178" s="4">
        <v>71.32397117118802</v>
      </c>
      <c r="N178" s="4">
        <v>-17.591551103430934</v>
      </c>
      <c r="O178" s="1" t="str">
        <f>HYPERLINK(".\sm_car_250419_2207\sm_car_250419_2207_177_Ca116TrN_MaTUR_ode3_1.png","figure")</f>
        <v>figure</v>
      </c>
      <c r="P178" t="s">
        <v>15</v>
      </c>
    </row>
    <row r="179" spans="1:16" x14ac:dyDescent="0.25">
      <c r="A179">
        <v>178</v>
      </c>
      <c r="B179">
        <v>124</v>
      </c>
      <c r="C179" t="s">
        <v>16</v>
      </c>
      <c r="D179" t="s">
        <v>35</v>
      </c>
      <c r="E179" t="s">
        <v>49</v>
      </c>
      <c r="F179" t="s">
        <v>28</v>
      </c>
      <c r="G179" t="s">
        <v>20</v>
      </c>
      <c r="H179" t="s">
        <v>21</v>
      </c>
      <c r="I179" t="s">
        <v>22</v>
      </c>
      <c r="J179" t="s">
        <v>63</v>
      </c>
      <c r="K179">
        <v>3244</v>
      </c>
      <c r="L179" s="4">
        <v>4.0528741999999998</v>
      </c>
      <c r="M179" s="4">
        <v>242.88013068819623</v>
      </c>
      <c r="N179" s="4">
        <v>0.23307974035338433</v>
      </c>
      <c r="O179" s="1" t="str">
        <f>HYPERLINK(".\sm_car_250419_2207\sm_car_250419_2207_178_Ca124TrN_MaWOT_ode3_1.png","figure")</f>
        <v>figure</v>
      </c>
      <c r="P179" t="s">
        <v>15</v>
      </c>
    </row>
    <row r="180" spans="1:16" x14ac:dyDescent="0.25">
      <c r="A180">
        <v>179</v>
      </c>
      <c r="B180">
        <v>124</v>
      </c>
      <c r="C180" t="s">
        <v>16</v>
      </c>
      <c r="D180" t="s">
        <v>35</v>
      </c>
      <c r="E180" t="s">
        <v>49</v>
      </c>
      <c r="F180" t="s">
        <v>28</v>
      </c>
      <c r="G180" t="s">
        <v>20</v>
      </c>
      <c r="H180" t="s">
        <v>21</v>
      </c>
      <c r="I180" t="s">
        <v>24</v>
      </c>
      <c r="J180" t="s">
        <v>63</v>
      </c>
      <c r="K180">
        <v>2565</v>
      </c>
      <c r="L180" s="4">
        <v>3.2214642000000002</v>
      </c>
      <c r="M180" s="4">
        <v>74.798394612599097</v>
      </c>
      <c r="N180" s="4">
        <v>-0.34251622055333664</v>
      </c>
      <c r="O180" s="1" t="str">
        <f>HYPERLINK(".\sm_car_250419_2207\sm_car_250419_2207_179_Ca124TrN_MaLSS_ode3_1.png","figure")</f>
        <v>figure</v>
      </c>
      <c r="P180" t="s">
        <v>15</v>
      </c>
    </row>
    <row r="181" spans="1:16" x14ac:dyDescent="0.25">
      <c r="A181">
        <v>180</v>
      </c>
      <c r="B181">
        <v>124</v>
      </c>
      <c r="C181" t="s">
        <v>16</v>
      </c>
      <c r="D181" t="s">
        <v>35</v>
      </c>
      <c r="E181" t="s">
        <v>49</v>
      </c>
      <c r="F181" t="s">
        <v>28</v>
      </c>
      <c r="G181" t="s">
        <v>20</v>
      </c>
      <c r="H181" t="s">
        <v>21</v>
      </c>
      <c r="I181" t="s">
        <v>64</v>
      </c>
      <c r="J181" t="s">
        <v>63</v>
      </c>
      <c r="K181">
        <v>2564</v>
      </c>
      <c r="L181" s="4">
        <v>3.1993383999999998</v>
      </c>
      <c r="M181" s="4">
        <v>71.449352968456878</v>
      </c>
      <c r="N181" s="4">
        <v>-17.63759605520924</v>
      </c>
      <c r="O181" s="1" t="str">
        <f>HYPERLINK(".\sm_car_250419_2207\sm_car_250419_2207_180_Ca124TrN_MaTUR_ode3_1.png","figure")</f>
        <v>figure</v>
      </c>
      <c r="P181" t="s">
        <v>15</v>
      </c>
    </row>
    <row r="182" spans="1:16" x14ac:dyDescent="0.25">
      <c r="A182">
        <v>181</v>
      </c>
      <c r="B182">
        <v>141</v>
      </c>
      <c r="C182" t="s">
        <v>45</v>
      </c>
      <c r="D182" t="s">
        <v>17</v>
      </c>
      <c r="E182" t="s">
        <v>18</v>
      </c>
      <c r="F182" t="s">
        <v>28</v>
      </c>
      <c r="G182" t="s">
        <v>26</v>
      </c>
      <c r="H182" t="s">
        <v>21</v>
      </c>
      <c r="I182" t="s">
        <v>22</v>
      </c>
      <c r="J182" t="s">
        <v>63</v>
      </c>
      <c r="K182">
        <v>3837</v>
      </c>
      <c r="L182" s="4">
        <v>19.9481371</v>
      </c>
      <c r="M182" s="4">
        <v>405.30632146139419</v>
      </c>
      <c r="N182" s="4">
        <v>1.5698091478697282</v>
      </c>
      <c r="O182" s="1" t="str">
        <f>HYPERLINK(".\sm_car_250419_2207\sm_car_250419_2207_181_Ca141TrN_MaWOT_ode3_1.png","figure")</f>
        <v>figure</v>
      </c>
      <c r="P182" t="s">
        <v>15</v>
      </c>
    </row>
    <row r="183" spans="1:16" x14ac:dyDescent="0.25">
      <c r="A183">
        <v>182</v>
      </c>
      <c r="B183">
        <v>141</v>
      </c>
      <c r="C183" t="s">
        <v>45</v>
      </c>
      <c r="D183" t="s">
        <v>17</v>
      </c>
      <c r="E183" t="s">
        <v>18</v>
      </c>
      <c r="F183" t="s">
        <v>28</v>
      </c>
      <c r="G183" t="s">
        <v>26</v>
      </c>
      <c r="H183" t="s">
        <v>21</v>
      </c>
      <c r="I183" t="s">
        <v>24</v>
      </c>
      <c r="J183" t="s">
        <v>63</v>
      </c>
      <c r="K183">
        <v>3192</v>
      </c>
      <c r="L183" s="4">
        <v>16.8174657</v>
      </c>
      <c r="M183" s="4">
        <v>154.47541570703356</v>
      </c>
      <c r="N183" s="4">
        <v>-0.58371013006078798</v>
      </c>
      <c r="O183" s="1" t="str">
        <f>HYPERLINK(".\sm_car_250419_2207\sm_car_250419_2207_182_Ca141TrN_MaLSS_ode3_1.png","figure")</f>
        <v>figure</v>
      </c>
      <c r="P183" t="s">
        <v>15</v>
      </c>
    </row>
    <row r="184" spans="1:16" x14ac:dyDescent="0.25">
      <c r="A184">
        <v>183</v>
      </c>
      <c r="B184">
        <v>141</v>
      </c>
      <c r="C184" t="s">
        <v>45</v>
      </c>
      <c r="D184" t="s">
        <v>17</v>
      </c>
      <c r="E184" t="s">
        <v>18</v>
      </c>
      <c r="F184" t="s">
        <v>28</v>
      </c>
      <c r="G184" t="s">
        <v>26</v>
      </c>
      <c r="H184" t="s">
        <v>21</v>
      </c>
      <c r="I184" t="s">
        <v>64</v>
      </c>
      <c r="J184" t="s">
        <v>63</v>
      </c>
      <c r="K184">
        <v>3160</v>
      </c>
      <c r="L184" s="4">
        <v>16.6601283</v>
      </c>
      <c r="M184" s="4">
        <v>98.34609098441716</v>
      </c>
      <c r="N184" s="4">
        <v>-87.528834315745812</v>
      </c>
      <c r="O184" s="1" t="str">
        <f>HYPERLINK(".\sm_car_250419_2207\sm_car_250419_2207_183_Ca141TrN_MaTUR_ode3_1.png","figure")</f>
        <v>figure</v>
      </c>
      <c r="P184" t="s">
        <v>15</v>
      </c>
    </row>
    <row r="185" spans="1:16" x14ac:dyDescent="0.25">
      <c r="A185">
        <v>184</v>
      </c>
      <c r="B185">
        <v>145</v>
      </c>
      <c r="C185" t="s">
        <v>46</v>
      </c>
      <c r="D185" t="s">
        <v>17</v>
      </c>
      <c r="E185" t="s">
        <v>50</v>
      </c>
      <c r="F185" t="s">
        <v>19</v>
      </c>
      <c r="G185" t="s">
        <v>26</v>
      </c>
      <c r="H185" t="s">
        <v>21</v>
      </c>
      <c r="I185" t="s">
        <v>22</v>
      </c>
      <c r="J185" t="s">
        <v>63</v>
      </c>
      <c r="K185">
        <v>2852</v>
      </c>
      <c r="L185" s="4">
        <v>12.8789985</v>
      </c>
      <c r="M185" s="4">
        <v>96.209184494552233</v>
      </c>
      <c r="N185" s="4">
        <v>-6.2658213780580313E-2</v>
      </c>
      <c r="O185" s="1" t="str">
        <f>HYPERLINK(".\sm_car_250419_2207\sm_car_250419_2207_184_Ca145TrN_MaWOT_ode3_1.png","figure")</f>
        <v>figure</v>
      </c>
      <c r="P185" t="s">
        <v>15</v>
      </c>
    </row>
    <row r="186" spans="1:16" x14ac:dyDescent="0.25">
      <c r="A186">
        <v>185</v>
      </c>
      <c r="B186">
        <v>145</v>
      </c>
      <c r="C186" t="s">
        <v>46</v>
      </c>
      <c r="D186" t="s">
        <v>17</v>
      </c>
      <c r="E186" t="s">
        <v>50</v>
      </c>
      <c r="F186" t="s">
        <v>19</v>
      </c>
      <c r="G186" t="s">
        <v>26</v>
      </c>
      <c r="H186" t="s">
        <v>21</v>
      </c>
      <c r="I186" t="s">
        <v>24</v>
      </c>
      <c r="J186" t="s">
        <v>63</v>
      </c>
      <c r="K186">
        <v>2379</v>
      </c>
      <c r="L186" s="4">
        <v>11.062098900000001</v>
      </c>
      <c r="M186" s="4">
        <v>25.34577185651434</v>
      </c>
      <c r="N186" s="4">
        <v>-5.5557779286251149E-2</v>
      </c>
      <c r="O186" s="1" t="str">
        <f>HYPERLINK(".\sm_car_250419_2207\sm_car_250419_2207_185_Ca145TrN_MaLSS_ode3_1.png","figure")</f>
        <v>figure</v>
      </c>
      <c r="P186" t="s">
        <v>15</v>
      </c>
    </row>
    <row r="187" spans="1:16" x14ac:dyDescent="0.25">
      <c r="A187">
        <v>186</v>
      </c>
      <c r="B187">
        <v>145</v>
      </c>
      <c r="C187" t="s">
        <v>46</v>
      </c>
      <c r="D187" t="s">
        <v>17</v>
      </c>
      <c r="E187" t="s">
        <v>50</v>
      </c>
      <c r="F187" t="s">
        <v>19</v>
      </c>
      <c r="G187" t="s">
        <v>26</v>
      </c>
      <c r="H187" t="s">
        <v>21</v>
      </c>
      <c r="I187" t="s">
        <v>64</v>
      </c>
      <c r="J187" t="s">
        <v>63</v>
      </c>
      <c r="K187">
        <v>2381</v>
      </c>
      <c r="L187" s="4">
        <v>10.7545264</v>
      </c>
      <c r="M187" s="4">
        <v>25.187072900127831</v>
      </c>
      <c r="N187" s="4">
        <v>-2.6264773257736613</v>
      </c>
      <c r="O187" s="1" t="str">
        <f>HYPERLINK(".\sm_car_250419_2207\sm_car_250419_2207_186_Ca145TrN_MaTUR_ode3_1.png","figure")</f>
        <v>figure</v>
      </c>
      <c r="P187" t="s">
        <v>15</v>
      </c>
    </row>
    <row r="188" spans="1:16" x14ac:dyDescent="0.25">
      <c r="A188">
        <v>187</v>
      </c>
      <c r="B188">
        <v>199</v>
      </c>
      <c r="C188" t="s">
        <v>46</v>
      </c>
      <c r="D188" t="s">
        <v>17</v>
      </c>
      <c r="E188" t="s">
        <v>109</v>
      </c>
      <c r="F188" t="s">
        <v>19</v>
      </c>
      <c r="G188" t="s">
        <v>26</v>
      </c>
      <c r="H188" t="s">
        <v>21</v>
      </c>
      <c r="I188" t="s">
        <v>22</v>
      </c>
      <c r="J188" t="s">
        <v>63</v>
      </c>
      <c r="K188">
        <v>2857</v>
      </c>
      <c r="L188" s="4">
        <v>15.111513</v>
      </c>
      <c r="M188" s="4">
        <v>96.879869854711799</v>
      </c>
      <c r="N188" s="4">
        <v>0.14649362080475317</v>
      </c>
      <c r="O188" s="1" t="str">
        <f>HYPERLINK(".\sm_car_250419_2207\sm_car_250419_2207_187_Ca199TrN_MaWOT_ode3_1.png","figure")</f>
        <v>figure</v>
      </c>
      <c r="P188" t="s">
        <v>15</v>
      </c>
    </row>
    <row r="189" spans="1:16" x14ac:dyDescent="0.25">
      <c r="A189">
        <v>188</v>
      </c>
      <c r="B189">
        <v>199</v>
      </c>
      <c r="C189" t="s">
        <v>46</v>
      </c>
      <c r="D189" t="s">
        <v>17</v>
      </c>
      <c r="E189" t="s">
        <v>109</v>
      </c>
      <c r="F189" t="s">
        <v>19</v>
      </c>
      <c r="G189" t="s">
        <v>26</v>
      </c>
      <c r="H189" t="s">
        <v>21</v>
      </c>
      <c r="I189" t="s">
        <v>24</v>
      </c>
      <c r="J189" t="s">
        <v>63</v>
      </c>
      <c r="K189">
        <v>2381</v>
      </c>
      <c r="L189" s="4">
        <v>12.2100597</v>
      </c>
      <c r="M189" s="4">
        <v>25.961858178650331</v>
      </c>
      <c r="N189" s="4">
        <v>-2.8545665472503836E-2</v>
      </c>
      <c r="O189" s="1" t="str">
        <f>HYPERLINK(".\sm_car_250419_2207\sm_car_250419_2207_188_Ca199TrN_MaLSS_ode3_1.png","figure")</f>
        <v>figure</v>
      </c>
      <c r="P189" t="s">
        <v>15</v>
      </c>
    </row>
    <row r="190" spans="1:16" x14ac:dyDescent="0.25">
      <c r="A190">
        <v>189</v>
      </c>
      <c r="B190">
        <v>199</v>
      </c>
      <c r="C190" t="s">
        <v>46</v>
      </c>
      <c r="D190" t="s">
        <v>17</v>
      </c>
      <c r="E190" t="s">
        <v>109</v>
      </c>
      <c r="F190" t="s">
        <v>19</v>
      </c>
      <c r="G190" t="s">
        <v>26</v>
      </c>
      <c r="H190" t="s">
        <v>21</v>
      </c>
      <c r="I190" t="s">
        <v>64</v>
      </c>
      <c r="J190" t="s">
        <v>63</v>
      </c>
      <c r="K190">
        <v>2383</v>
      </c>
      <c r="L190" s="4">
        <v>12.144379600000001</v>
      </c>
      <c r="M190" s="4">
        <v>25.754349123408758</v>
      </c>
      <c r="N190" s="4">
        <v>-2.6782060540286721</v>
      </c>
      <c r="O190" s="1" t="str">
        <f>HYPERLINK(".\sm_car_250419_2207\sm_car_250419_2207_189_Ca199TrN_MaTUR_ode3_1.png","figure")</f>
        <v>figure</v>
      </c>
      <c r="P190" t="s">
        <v>15</v>
      </c>
    </row>
    <row r="191" spans="1:16" x14ac:dyDescent="0.25">
      <c r="A191">
        <v>190</v>
      </c>
      <c r="B191">
        <v>139</v>
      </c>
      <c r="C191" t="s">
        <v>45</v>
      </c>
      <c r="D191" t="s">
        <v>17</v>
      </c>
      <c r="E191" t="s">
        <v>18</v>
      </c>
      <c r="F191" t="s">
        <v>19</v>
      </c>
      <c r="G191" t="s">
        <v>26</v>
      </c>
      <c r="H191" t="s">
        <v>21</v>
      </c>
      <c r="I191" t="s">
        <v>53</v>
      </c>
      <c r="J191" t="s">
        <v>23</v>
      </c>
      <c r="K191">
        <v>548</v>
      </c>
      <c r="L191" s="4">
        <v>17.621998600000001</v>
      </c>
      <c r="M191" s="4">
        <v>253.76085823175669</v>
      </c>
      <c r="N191" s="4">
        <v>-6.3937890715006773E-3</v>
      </c>
      <c r="O191" s="1" t="str">
        <f>HYPERLINK(".\sm_car_250419_2207\sm_car_250419_2207_190_Ca139TrN_MaDLC_ode23t_1.png","figure")</f>
        <v>figure</v>
      </c>
      <c r="P191" t="s">
        <v>15</v>
      </c>
    </row>
    <row r="192" spans="1:16" x14ac:dyDescent="0.25">
      <c r="A192">
        <v>191</v>
      </c>
      <c r="B192">
        <v>139</v>
      </c>
      <c r="C192" t="s">
        <v>45</v>
      </c>
      <c r="D192" t="s">
        <v>17</v>
      </c>
      <c r="E192" t="s">
        <v>18</v>
      </c>
      <c r="F192" t="s">
        <v>19</v>
      </c>
      <c r="G192" t="s">
        <v>26</v>
      </c>
      <c r="H192" t="s">
        <v>65</v>
      </c>
      <c r="I192" t="s">
        <v>53</v>
      </c>
      <c r="J192" t="s">
        <v>23</v>
      </c>
      <c r="K192">
        <v>912</v>
      </c>
      <c r="L192" s="4">
        <v>51.605071500000001</v>
      </c>
      <c r="M192" s="4">
        <v>253.31532348009966</v>
      </c>
      <c r="N192" s="4">
        <v>0.17838337459318332</v>
      </c>
      <c r="O192" s="1" t="str">
        <f>HYPERLINK(".\sm_car_250419_2207\sm_car_250419_2207_191_Ca139TrE_MaDLC_ode23t_1.png","figure")</f>
        <v>figure</v>
      </c>
      <c r="P192" t="s">
        <v>15</v>
      </c>
    </row>
    <row r="193" spans="1:16" x14ac:dyDescent="0.25">
      <c r="A193">
        <v>192</v>
      </c>
      <c r="B193">
        <v>139</v>
      </c>
      <c r="C193" t="s">
        <v>45</v>
      </c>
      <c r="D193" t="s">
        <v>17</v>
      </c>
      <c r="E193" t="s">
        <v>18</v>
      </c>
      <c r="F193" t="s">
        <v>19</v>
      </c>
      <c r="G193" t="s">
        <v>26</v>
      </c>
      <c r="H193" t="s">
        <v>66</v>
      </c>
      <c r="I193" t="s">
        <v>53</v>
      </c>
      <c r="J193" t="s">
        <v>23</v>
      </c>
      <c r="K193">
        <v>867</v>
      </c>
      <c r="L193" s="4">
        <v>47.492121599999997</v>
      </c>
      <c r="M193" s="4">
        <v>255.00237439465775</v>
      </c>
      <c r="N193" s="4">
        <v>-5.6498566419813656E-3</v>
      </c>
      <c r="O193" s="1" t="str">
        <f>HYPERLINK(".\sm_car_250419_2207\sm_car_250419_2207_192_Ca139TrT_MaDLC_ode23t_1.png","figure")</f>
        <v>figure</v>
      </c>
      <c r="P193" t="s">
        <v>15</v>
      </c>
    </row>
    <row r="194" spans="1:16" x14ac:dyDescent="0.25">
      <c r="A194">
        <v>193</v>
      </c>
      <c r="B194">
        <v>139</v>
      </c>
      <c r="C194" t="s">
        <v>45</v>
      </c>
      <c r="D194" t="s">
        <v>17</v>
      </c>
      <c r="E194" t="s">
        <v>18</v>
      </c>
      <c r="F194" t="s">
        <v>19</v>
      </c>
      <c r="G194" t="s">
        <v>26</v>
      </c>
      <c r="H194" t="s">
        <v>65</v>
      </c>
      <c r="I194" t="s">
        <v>53</v>
      </c>
      <c r="J194" t="s">
        <v>23</v>
      </c>
      <c r="K194">
        <v>778</v>
      </c>
      <c r="L194" s="4">
        <v>35.5037053</v>
      </c>
      <c r="M194" s="4">
        <v>254.08948567386886</v>
      </c>
      <c r="N194" s="4">
        <v>1.2114326033562328E-2</v>
      </c>
      <c r="O194" s="1" t="str">
        <f>HYPERLINK(".\sm_car_250419_2207\sm_car_250419_2207_193_Ca139TrE_MaDLC_ode23t_1.png","figure")</f>
        <v>figure</v>
      </c>
      <c r="P194" t="s">
        <v>15</v>
      </c>
    </row>
    <row r="195" spans="1:16" x14ac:dyDescent="0.25">
      <c r="A195">
        <v>194</v>
      </c>
      <c r="B195">
        <v>2</v>
      </c>
      <c r="C195" t="s">
        <v>16</v>
      </c>
      <c r="D195" t="s">
        <v>17</v>
      </c>
      <c r="E195" t="s">
        <v>18</v>
      </c>
      <c r="F195" t="s">
        <v>19</v>
      </c>
      <c r="G195" t="s">
        <v>26</v>
      </c>
      <c r="H195" t="s">
        <v>21</v>
      </c>
      <c r="I195" t="s">
        <v>53</v>
      </c>
      <c r="J195" t="s">
        <v>23</v>
      </c>
      <c r="K195">
        <v>626</v>
      </c>
      <c r="L195" s="4">
        <v>15.9819125</v>
      </c>
      <c r="M195" s="4">
        <v>253.87058693313543</v>
      </c>
      <c r="N195" s="4">
        <v>3.3630978356447017E-3</v>
      </c>
      <c r="O195" s="1" t="str">
        <f>HYPERLINK(".\sm_car_250419_2207\sm_car_250419_2207_194_Ca002TrN_MaDLC_ode23t_1.png","figure")</f>
        <v>figure</v>
      </c>
      <c r="P195" t="s">
        <v>15</v>
      </c>
    </row>
    <row r="196" spans="1:16" x14ac:dyDescent="0.25">
      <c r="A196">
        <v>195</v>
      </c>
      <c r="B196">
        <v>2</v>
      </c>
      <c r="C196" t="s">
        <v>16</v>
      </c>
      <c r="D196" t="s">
        <v>17</v>
      </c>
      <c r="E196" t="s">
        <v>18</v>
      </c>
      <c r="F196" t="s">
        <v>19</v>
      </c>
      <c r="G196" t="s">
        <v>26</v>
      </c>
      <c r="H196" t="s">
        <v>65</v>
      </c>
      <c r="I196" t="s">
        <v>53</v>
      </c>
      <c r="J196" t="s">
        <v>23</v>
      </c>
      <c r="K196">
        <v>788</v>
      </c>
      <c r="L196" s="4">
        <v>36.846193399999997</v>
      </c>
      <c r="M196" s="4">
        <v>253.32718366888969</v>
      </c>
      <c r="N196" s="4">
        <v>3.6615259580834447E-3</v>
      </c>
      <c r="O196" s="1" t="str">
        <f>HYPERLINK(".\sm_car_250419_2207\sm_car_250419_2207_195_Ca002TrE_MaDLC_ode23t_1.png","figure")</f>
        <v>figure</v>
      </c>
      <c r="P196" t="s">
        <v>15</v>
      </c>
    </row>
    <row r="197" spans="1:16" x14ac:dyDescent="0.25">
      <c r="A197">
        <v>196</v>
      </c>
      <c r="B197">
        <v>2</v>
      </c>
      <c r="C197" t="s">
        <v>16</v>
      </c>
      <c r="D197" t="s">
        <v>17</v>
      </c>
      <c r="E197" t="s">
        <v>18</v>
      </c>
      <c r="F197" t="s">
        <v>19</v>
      </c>
      <c r="G197" t="s">
        <v>26</v>
      </c>
      <c r="H197" t="s">
        <v>66</v>
      </c>
      <c r="I197" t="s">
        <v>53</v>
      </c>
      <c r="J197" t="s">
        <v>23</v>
      </c>
      <c r="K197">
        <v>947</v>
      </c>
      <c r="L197" s="4">
        <v>45.915446299999999</v>
      </c>
      <c r="M197" s="4">
        <v>254.41854070635088</v>
      </c>
      <c r="N197" s="4">
        <v>3.1044107794846454E-3</v>
      </c>
      <c r="O197" s="1" t="str">
        <f>HYPERLINK(".\sm_car_250419_2207\sm_car_250419_2207_196_Ca002TrT_MaDLC_ode23t_1.png","figure")</f>
        <v>figure</v>
      </c>
      <c r="P197" t="s">
        <v>15</v>
      </c>
    </row>
    <row r="198" spans="1:16" x14ac:dyDescent="0.25">
      <c r="A198">
        <v>197</v>
      </c>
      <c r="B198">
        <v>2</v>
      </c>
      <c r="C198" t="s">
        <v>16</v>
      </c>
      <c r="D198" t="s">
        <v>17</v>
      </c>
      <c r="E198" t="s">
        <v>18</v>
      </c>
      <c r="F198" t="s">
        <v>19</v>
      </c>
      <c r="G198" t="s">
        <v>26</v>
      </c>
      <c r="H198" t="s">
        <v>65</v>
      </c>
      <c r="I198" t="s">
        <v>53</v>
      </c>
      <c r="J198" t="s">
        <v>23</v>
      </c>
      <c r="K198">
        <v>789</v>
      </c>
      <c r="L198" s="4">
        <v>27.201914800000001</v>
      </c>
      <c r="M198" s="4">
        <v>253.74964037026717</v>
      </c>
      <c r="N198" s="4">
        <v>3.433044084760084E-3</v>
      </c>
      <c r="O198" s="1" t="str">
        <f>HYPERLINK(".\sm_car_250419_2207\sm_car_250419_2207_197_Ca002TrE_MaDLC_ode23t_1.png","figure")</f>
        <v>figure</v>
      </c>
      <c r="P198" t="s">
        <v>15</v>
      </c>
    </row>
    <row r="199" spans="1:16" x14ac:dyDescent="0.25">
      <c r="A199">
        <v>198</v>
      </c>
      <c r="B199">
        <v>145</v>
      </c>
      <c r="C199" t="s">
        <v>46</v>
      </c>
      <c r="D199" t="s">
        <v>17</v>
      </c>
      <c r="E199" t="s">
        <v>50</v>
      </c>
      <c r="F199" t="s">
        <v>19</v>
      </c>
      <c r="G199" t="s">
        <v>26</v>
      </c>
      <c r="H199" t="s">
        <v>21</v>
      </c>
      <c r="I199" t="s">
        <v>53</v>
      </c>
      <c r="J199" t="s">
        <v>23</v>
      </c>
      <c r="K199">
        <v>480</v>
      </c>
      <c r="L199" s="4">
        <v>29.1879466</v>
      </c>
      <c r="M199" s="4">
        <v>255.34620880762958</v>
      </c>
      <c r="N199" s="4">
        <v>4.1156671923276988E-2</v>
      </c>
      <c r="O199" s="1" t="str">
        <f>HYPERLINK(".\sm_car_250419_2207\sm_car_250419_2207_198_Ca145TrN_MaDLC_ode23t_1.png","figure")</f>
        <v>figure</v>
      </c>
      <c r="P199" t="s">
        <v>15</v>
      </c>
    </row>
    <row r="200" spans="1:16" x14ac:dyDescent="0.25">
      <c r="A200">
        <v>199</v>
      </c>
      <c r="B200">
        <v>145</v>
      </c>
      <c r="C200" t="s">
        <v>46</v>
      </c>
      <c r="D200" t="s">
        <v>17</v>
      </c>
      <c r="E200" t="s">
        <v>50</v>
      </c>
      <c r="F200" t="s">
        <v>19</v>
      </c>
      <c r="G200" t="s">
        <v>26</v>
      </c>
      <c r="H200" t="s">
        <v>65</v>
      </c>
      <c r="I200" t="s">
        <v>53</v>
      </c>
      <c r="J200" t="s">
        <v>23</v>
      </c>
      <c r="K200">
        <v>557</v>
      </c>
      <c r="L200" s="4">
        <v>54.2618747</v>
      </c>
      <c r="M200" s="4">
        <v>254.12665854157871</v>
      </c>
      <c r="N200" s="4">
        <v>4.6282818954040295E-2</v>
      </c>
      <c r="O200" s="1" t="str">
        <f>HYPERLINK(".\sm_car_250419_2207\sm_car_250419_2207_199_Ca145TrE_MaDLC_ode23t_1.png","figure")</f>
        <v>figure</v>
      </c>
      <c r="P200" t="s">
        <v>15</v>
      </c>
    </row>
    <row r="201" spans="1:16" x14ac:dyDescent="0.25">
      <c r="A201">
        <v>200</v>
      </c>
      <c r="B201">
        <v>145</v>
      </c>
      <c r="C201" t="s">
        <v>46</v>
      </c>
      <c r="D201" t="s">
        <v>17</v>
      </c>
      <c r="E201" t="s">
        <v>50</v>
      </c>
      <c r="F201" t="s">
        <v>19</v>
      </c>
      <c r="G201" t="s">
        <v>26</v>
      </c>
      <c r="H201" t="s">
        <v>66</v>
      </c>
      <c r="I201" t="s">
        <v>53</v>
      </c>
      <c r="J201" t="s">
        <v>23</v>
      </c>
      <c r="K201">
        <v>624</v>
      </c>
      <c r="L201" s="4">
        <v>67.142296700000003</v>
      </c>
      <c r="M201" s="4">
        <v>253.58063507940926</v>
      </c>
      <c r="N201" s="4">
        <v>4.7926098646339454E-2</v>
      </c>
      <c r="O201" s="1" t="str">
        <f>HYPERLINK(".\sm_car_250419_2207\sm_car_250419_2207_200_Ca145TrT_MaDLC_ode23t_1.png","figure")</f>
        <v>figure</v>
      </c>
      <c r="P201" t="s">
        <v>15</v>
      </c>
    </row>
    <row r="202" spans="1:16" x14ac:dyDescent="0.25">
      <c r="A202">
        <v>201</v>
      </c>
      <c r="B202">
        <v>145</v>
      </c>
      <c r="C202" t="s">
        <v>46</v>
      </c>
      <c r="D202" t="s">
        <v>17</v>
      </c>
      <c r="E202" t="s">
        <v>50</v>
      </c>
      <c r="F202" t="s">
        <v>19</v>
      </c>
      <c r="G202" t="s">
        <v>26</v>
      </c>
      <c r="H202" t="s">
        <v>65</v>
      </c>
      <c r="I202" t="s">
        <v>53</v>
      </c>
      <c r="J202" t="s">
        <v>23</v>
      </c>
      <c r="K202">
        <v>559</v>
      </c>
      <c r="L202" s="4">
        <v>48.018607699999997</v>
      </c>
      <c r="M202" s="4">
        <v>253.3118256036708</v>
      </c>
      <c r="N202" s="4">
        <v>4.9356258703175726E-2</v>
      </c>
      <c r="O202" s="1" t="str">
        <f>HYPERLINK(".\sm_car_250419_2207\sm_car_250419_2207_201_Ca145TrE_MaDLC_ode23t_1.png","figure")</f>
        <v>figure</v>
      </c>
      <c r="P202" t="s">
        <v>15</v>
      </c>
    </row>
    <row r="203" spans="1:16" x14ac:dyDescent="0.25">
      <c r="A203">
        <v>202</v>
      </c>
      <c r="B203">
        <v>199</v>
      </c>
      <c r="C203" t="s">
        <v>46</v>
      </c>
      <c r="D203" t="s">
        <v>17</v>
      </c>
      <c r="E203" t="s">
        <v>109</v>
      </c>
      <c r="F203" t="s">
        <v>19</v>
      </c>
      <c r="G203" t="s">
        <v>26</v>
      </c>
      <c r="H203" t="s">
        <v>21</v>
      </c>
      <c r="I203" t="s">
        <v>53</v>
      </c>
      <c r="J203" t="s">
        <v>23</v>
      </c>
      <c r="K203">
        <v>480</v>
      </c>
      <c r="L203" s="4">
        <v>12.5479153</v>
      </c>
      <c r="M203" s="4">
        <v>255.34537131923287</v>
      </c>
      <c r="N203" s="4">
        <v>4.1193991048076306E-2</v>
      </c>
      <c r="O203" s="1" t="str">
        <f>HYPERLINK(".\sm_car_250419_2207\sm_car_250419_2207_202_Ca199TrN_MaDLC_ode23t_1.png","figure")</f>
        <v>figure</v>
      </c>
      <c r="P203" t="s">
        <v>15</v>
      </c>
    </row>
    <row r="204" spans="1:16" x14ac:dyDescent="0.25">
      <c r="A204">
        <v>203</v>
      </c>
      <c r="B204">
        <v>199</v>
      </c>
      <c r="C204" t="s">
        <v>46</v>
      </c>
      <c r="D204" t="s">
        <v>17</v>
      </c>
      <c r="E204" t="s">
        <v>109</v>
      </c>
      <c r="F204" t="s">
        <v>19</v>
      </c>
      <c r="G204" t="s">
        <v>26</v>
      </c>
      <c r="H204" t="s">
        <v>65</v>
      </c>
      <c r="I204" t="s">
        <v>53</v>
      </c>
      <c r="J204" t="s">
        <v>23</v>
      </c>
      <c r="K204">
        <v>554</v>
      </c>
      <c r="L204" s="4">
        <v>30.7065448</v>
      </c>
      <c r="M204" s="4">
        <v>254.12786387828169</v>
      </c>
      <c r="N204" s="4">
        <v>4.6191229668219869E-2</v>
      </c>
      <c r="O204" s="1" t="str">
        <f>HYPERLINK(".\sm_car_250419_2207\sm_car_250419_2207_203_Ca199TrE_MaDLC_ode23t_1.png","figure")</f>
        <v>figure</v>
      </c>
      <c r="P204" t="s">
        <v>15</v>
      </c>
    </row>
    <row r="205" spans="1:16" x14ac:dyDescent="0.25">
      <c r="A205">
        <v>204</v>
      </c>
      <c r="B205">
        <v>199</v>
      </c>
      <c r="C205" t="s">
        <v>46</v>
      </c>
      <c r="D205" t="s">
        <v>17</v>
      </c>
      <c r="E205" t="s">
        <v>109</v>
      </c>
      <c r="F205" t="s">
        <v>19</v>
      </c>
      <c r="G205" t="s">
        <v>26</v>
      </c>
      <c r="H205" t="s">
        <v>66</v>
      </c>
      <c r="I205" t="s">
        <v>53</v>
      </c>
      <c r="J205" t="s">
        <v>23</v>
      </c>
      <c r="K205">
        <v>621</v>
      </c>
      <c r="L205" s="4">
        <v>28.592560899999999</v>
      </c>
      <c r="M205" s="4">
        <v>254.98859359794085</v>
      </c>
      <c r="N205" s="4">
        <v>4.2933906080897977E-2</v>
      </c>
      <c r="O205" s="1" t="str">
        <f>HYPERLINK(".\sm_car_250419_2207\sm_car_250419_2207_204_Ca199TrT_MaDLC_ode23t_1.png","figure")</f>
        <v>figure</v>
      </c>
      <c r="P205" t="s">
        <v>15</v>
      </c>
    </row>
    <row r="206" spans="1:16" x14ac:dyDescent="0.25">
      <c r="A206">
        <v>205</v>
      </c>
      <c r="B206">
        <v>199</v>
      </c>
      <c r="C206" t="s">
        <v>46</v>
      </c>
      <c r="D206" t="s">
        <v>17</v>
      </c>
      <c r="E206" t="s">
        <v>109</v>
      </c>
      <c r="F206" t="s">
        <v>19</v>
      </c>
      <c r="G206" t="s">
        <v>26</v>
      </c>
      <c r="H206" t="s">
        <v>65</v>
      </c>
      <c r="I206" t="s">
        <v>53</v>
      </c>
      <c r="J206" t="s">
        <v>23</v>
      </c>
      <c r="K206">
        <v>565</v>
      </c>
      <c r="L206" s="4">
        <v>21.471206299999999</v>
      </c>
      <c r="M206" s="4">
        <v>254.12791987644971</v>
      </c>
      <c r="N206" s="4">
        <v>4.6273199432032897E-2</v>
      </c>
      <c r="O206" s="1" t="str">
        <f>HYPERLINK(".\sm_car_250419_2207\sm_car_250419_2207_205_Ca199TrE_MaDLC_ode23t_1.png","figure")</f>
        <v>figure</v>
      </c>
      <c r="P206" t="s">
        <v>15</v>
      </c>
    </row>
    <row r="207" spans="1:16" x14ac:dyDescent="0.25">
      <c r="A207">
        <v>206</v>
      </c>
      <c r="B207">
        <v>189</v>
      </c>
      <c r="C207" t="s">
        <v>45</v>
      </c>
      <c r="D207" t="s">
        <v>17</v>
      </c>
      <c r="E207" t="s">
        <v>107</v>
      </c>
      <c r="F207" t="s">
        <v>19</v>
      </c>
      <c r="G207" t="s">
        <v>26</v>
      </c>
      <c r="H207" t="s">
        <v>65</v>
      </c>
      <c r="I207" t="s">
        <v>67</v>
      </c>
      <c r="J207" t="s">
        <v>23</v>
      </c>
      <c r="K207">
        <v>470</v>
      </c>
      <c r="L207" s="4">
        <v>19.113744199999999</v>
      </c>
      <c r="M207" s="4">
        <v>259.59862439617643</v>
      </c>
      <c r="N207" s="4">
        <v>5.0012490521724056</v>
      </c>
      <c r="O207" s="1" t="str">
        <f>HYPERLINK(".\sm_car_250419_2207\sm_car_250419_2207_206_Ca189TrE_MaTRD_ode23t_1.png","figure")</f>
        <v>figure</v>
      </c>
      <c r="P207" t="s">
        <v>15</v>
      </c>
    </row>
    <row r="208" spans="1:16" x14ac:dyDescent="0.25">
      <c r="A208">
        <v>207</v>
      </c>
      <c r="B208">
        <v>189</v>
      </c>
      <c r="C208" t="s">
        <v>45</v>
      </c>
      <c r="D208" t="s">
        <v>17</v>
      </c>
      <c r="E208" t="s">
        <v>107</v>
      </c>
      <c r="F208" t="s">
        <v>19</v>
      </c>
      <c r="G208" t="s">
        <v>26</v>
      </c>
      <c r="H208" t="s">
        <v>65</v>
      </c>
      <c r="I208" t="s">
        <v>67</v>
      </c>
      <c r="J208" t="s">
        <v>23</v>
      </c>
      <c r="K208">
        <v>626</v>
      </c>
      <c r="L208" s="4">
        <v>23.8082806</v>
      </c>
      <c r="M208" s="4">
        <v>259.57217127371393</v>
      </c>
      <c r="N208" s="4">
        <v>4.9162647452895412</v>
      </c>
      <c r="O208" s="1" t="str">
        <f>HYPERLINK(".\sm_car_250419_2207\sm_car_250419_2207_207_Ca189TrU_MaTRD_ode23t_1.png","figure")</f>
        <v>figure</v>
      </c>
      <c r="P208" t="s">
        <v>15</v>
      </c>
    </row>
    <row r="209" spans="1:16" x14ac:dyDescent="0.25">
      <c r="A209">
        <v>208</v>
      </c>
      <c r="B209">
        <v>149</v>
      </c>
      <c r="C209" t="s">
        <v>46</v>
      </c>
      <c r="D209" t="s">
        <v>17</v>
      </c>
      <c r="E209" t="s">
        <v>68</v>
      </c>
      <c r="F209" t="s">
        <v>19</v>
      </c>
      <c r="G209" t="s">
        <v>26</v>
      </c>
      <c r="H209" t="s">
        <v>21</v>
      </c>
      <c r="I209" t="s">
        <v>69</v>
      </c>
      <c r="J209" t="s">
        <v>23</v>
      </c>
      <c r="K209">
        <v>670</v>
      </c>
      <c r="L209" s="4">
        <v>15.6650908</v>
      </c>
      <c r="M209" s="4">
        <v>-5.5961267368336287E-3</v>
      </c>
      <c r="N209" s="4">
        <v>-3.1900114475105767E-4</v>
      </c>
      <c r="O209" s="1" t="str">
        <f>HYPERLINK(".\sm_car_250419_2207\sm_car_250419_2207_208_Ca149TrN_MaPST_ode23t_1.png","figure")</f>
        <v>figure</v>
      </c>
      <c r="P209" t="s">
        <v>15</v>
      </c>
    </row>
    <row r="210" spans="1:16" x14ac:dyDescent="0.25">
      <c r="A210">
        <v>209</v>
      </c>
      <c r="B210">
        <v>139</v>
      </c>
      <c r="C210" t="s">
        <v>45</v>
      </c>
      <c r="D210" t="s">
        <v>17</v>
      </c>
      <c r="E210" t="s">
        <v>18</v>
      </c>
      <c r="F210" t="s">
        <v>19</v>
      </c>
      <c r="G210" t="s">
        <v>26</v>
      </c>
      <c r="H210" t="s">
        <v>21</v>
      </c>
      <c r="I210" t="s">
        <v>70</v>
      </c>
      <c r="J210" t="s">
        <v>23</v>
      </c>
      <c r="K210">
        <v>1607</v>
      </c>
      <c r="L210" s="4">
        <v>70.721508600000007</v>
      </c>
      <c r="M210" s="4">
        <v>36.443363984058379</v>
      </c>
      <c r="N210" s="4">
        <v>0.34848623789233585</v>
      </c>
      <c r="O210" s="1" t="str">
        <f>HYPERLINK(".\sm_car_250419_2207\sm_car_250419_2207_209_Ca139TrN_MaSKD_ode23t_1.png","figure")</f>
        <v>figure</v>
      </c>
      <c r="P210" t="s">
        <v>15</v>
      </c>
    </row>
    <row r="211" spans="1:16" x14ac:dyDescent="0.25">
      <c r="A211">
        <v>210</v>
      </c>
      <c r="B211">
        <v>139</v>
      </c>
      <c r="C211" t="s">
        <v>45</v>
      </c>
      <c r="D211" t="s">
        <v>17</v>
      </c>
      <c r="E211" t="s">
        <v>18</v>
      </c>
      <c r="F211" t="s">
        <v>19</v>
      </c>
      <c r="G211" t="s">
        <v>26</v>
      </c>
      <c r="H211" t="s">
        <v>21</v>
      </c>
      <c r="I211" t="s">
        <v>71</v>
      </c>
      <c r="J211" t="s">
        <v>23</v>
      </c>
      <c r="K211">
        <v>1073</v>
      </c>
      <c r="L211" s="4">
        <v>57.778568</v>
      </c>
      <c r="M211" s="4">
        <v>3.4812156926571589</v>
      </c>
      <c r="N211" s="4">
        <v>27.063265245381455</v>
      </c>
      <c r="O211" s="1" t="str">
        <f>HYPERLINK(".\sm_car_250419_2207\sm_car_250419_2207_210_Ca139TrN_MaRAD_ode23t_1.png","figure")</f>
        <v>figure</v>
      </c>
      <c r="P211" t="s">
        <v>15</v>
      </c>
    </row>
    <row r="212" spans="1:16" x14ac:dyDescent="0.25">
      <c r="A212">
        <v>211</v>
      </c>
      <c r="B212">
        <v>184</v>
      </c>
      <c r="C212" t="s">
        <v>105</v>
      </c>
      <c r="D212" t="s">
        <v>119</v>
      </c>
      <c r="E212" t="s">
        <v>49</v>
      </c>
      <c r="F212" t="s">
        <v>19</v>
      </c>
      <c r="G212" t="s">
        <v>20</v>
      </c>
      <c r="H212" t="s">
        <v>21</v>
      </c>
      <c r="I212" t="s">
        <v>70</v>
      </c>
      <c r="J212" t="s">
        <v>23</v>
      </c>
      <c r="K212">
        <v>1326</v>
      </c>
      <c r="L212" s="4">
        <v>87.507455800000002</v>
      </c>
      <c r="M212" s="4">
        <v>36.65668435430662</v>
      </c>
      <c r="N212" s="4">
        <v>0.23964954791487972</v>
      </c>
      <c r="O212" s="1" t="str">
        <f>HYPERLINK(".\sm_car_250419_2207\sm_car_250419_2207_211_Ca184TrN_MaSKD_ode23t_1.png","figure")</f>
        <v>figure</v>
      </c>
      <c r="P212" t="s">
        <v>15</v>
      </c>
    </row>
    <row r="213" spans="1:16" x14ac:dyDescent="0.25">
      <c r="A213">
        <v>212</v>
      </c>
      <c r="B213">
        <v>184</v>
      </c>
      <c r="C213" t="s">
        <v>105</v>
      </c>
      <c r="D213" t="s">
        <v>119</v>
      </c>
      <c r="E213" t="s">
        <v>49</v>
      </c>
      <c r="F213" t="s">
        <v>19</v>
      </c>
      <c r="G213" t="s">
        <v>20</v>
      </c>
      <c r="H213" t="s">
        <v>21</v>
      </c>
      <c r="I213" t="s">
        <v>71</v>
      </c>
      <c r="J213" t="s">
        <v>23</v>
      </c>
      <c r="K213">
        <v>626</v>
      </c>
      <c r="L213" s="4">
        <v>38.261020799999997</v>
      </c>
      <c r="M213" s="4">
        <v>13.884770448163954</v>
      </c>
      <c r="N213" s="4">
        <v>23.76345329938292</v>
      </c>
      <c r="O213" s="1" t="str">
        <f>HYPERLINK(".\sm_car_250419_2207\sm_car_250419_2207_212_Ca184TrN_MaRAD_ode23t_1.png","figure")</f>
        <v>figure</v>
      </c>
      <c r="P213" t="s">
        <v>15</v>
      </c>
    </row>
    <row r="214" spans="1:16" x14ac:dyDescent="0.25">
      <c r="A214">
        <v>213</v>
      </c>
      <c r="B214">
        <v>198</v>
      </c>
      <c r="C214" t="s">
        <v>105</v>
      </c>
      <c r="D214" t="s">
        <v>119</v>
      </c>
      <c r="E214" t="s">
        <v>107</v>
      </c>
      <c r="F214" t="s">
        <v>19</v>
      </c>
      <c r="G214" t="s">
        <v>20</v>
      </c>
      <c r="H214" t="s">
        <v>21</v>
      </c>
      <c r="I214" t="s">
        <v>70</v>
      </c>
      <c r="J214" t="s">
        <v>23</v>
      </c>
      <c r="K214">
        <v>1409</v>
      </c>
      <c r="L214" s="4">
        <v>54.3942421</v>
      </c>
      <c r="M214" s="4">
        <v>36.661450321107544</v>
      </c>
      <c r="N214" s="4">
        <v>0.2393551803041169</v>
      </c>
      <c r="O214" s="1" t="str">
        <f>HYPERLINK(".\sm_car_250419_2207\sm_car_250419_2207_213_Ca198TrN_MaSKD_ode23t_1.png","figure")</f>
        <v>figure</v>
      </c>
      <c r="P214" t="s">
        <v>15</v>
      </c>
    </row>
    <row r="215" spans="1:16" x14ac:dyDescent="0.25">
      <c r="A215">
        <v>214</v>
      </c>
      <c r="B215">
        <v>198</v>
      </c>
      <c r="C215" t="s">
        <v>105</v>
      </c>
      <c r="D215" t="s">
        <v>119</v>
      </c>
      <c r="E215" t="s">
        <v>107</v>
      </c>
      <c r="F215" t="s">
        <v>19</v>
      </c>
      <c r="G215" t="s">
        <v>20</v>
      </c>
      <c r="H215" t="s">
        <v>21</v>
      </c>
      <c r="I215" t="s">
        <v>71</v>
      </c>
      <c r="J215" t="s">
        <v>23</v>
      </c>
      <c r="K215">
        <v>662</v>
      </c>
      <c r="L215" s="4">
        <v>23.7615883</v>
      </c>
      <c r="M215" s="4">
        <v>13.858556582554614</v>
      </c>
      <c r="N215" s="4">
        <v>23.711520311545161</v>
      </c>
      <c r="O215" s="1" t="str">
        <f>HYPERLINK(".\sm_car_250419_2207\sm_car_250419_2207_214_Ca198TrN_MaRAD_ode23t_1.png","figure")</f>
        <v>figure</v>
      </c>
      <c r="P215" t="s">
        <v>15</v>
      </c>
    </row>
    <row r="216" spans="1:16" x14ac:dyDescent="0.25">
      <c r="A216">
        <v>215</v>
      </c>
      <c r="B216">
        <v>189</v>
      </c>
      <c r="C216" t="s">
        <v>45</v>
      </c>
      <c r="D216" t="s">
        <v>17</v>
      </c>
      <c r="E216" t="s">
        <v>107</v>
      </c>
      <c r="F216" t="s">
        <v>19</v>
      </c>
      <c r="G216" t="s">
        <v>26</v>
      </c>
      <c r="H216" t="s">
        <v>21</v>
      </c>
      <c r="I216" t="s">
        <v>126</v>
      </c>
      <c r="J216" t="s">
        <v>23</v>
      </c>
      <c r="K216">
        <v>746</v>
      </c>
      <c r="L216" s="4">
        <v>21.184210199999999</v>
      </c>
      <c r="M216" s="4">
        <v>120.08559837089443</v>
      </c>
      <c r="N216" s="4">
        <v>-15.853931259988926</v>
      </c>
      <c r="O216" s="1" t="str">
        <f>HYPERLINK(".\sm_car_250419_2207\sm_car_250419_2207_215_Ca189TrN_MaFSH_ode23t_1.png","figure")</f>
        <v>figure</v>
      </c>
      <c r="P216" t="s">
        <v>15</v>
      </c>
    </row>
    <row r="217" spans="1:16" x14ac:dyDescent="0.25">
      <c r="A217">
        <v>216</v>
      </c>
      <c r="B217">
        <v>189</v>
      </c>
      <c r="C217" t="s">
        <v>45</v>
      </c>
      <c r="D217" t="s">
        <v>17</v>
      </c>
      <c r="E217" t="s">
        <v>107</v>
      </c>
      <c r="F217" t="s">
        <v>19</v>
      </c>
      <c r="G217" t="s">
        <v>26</v>
      </c>
      <c r="H217" t="s">
        <v>21</v>
      </c>
      <c r="I217" t="s">
        <v>127</v>
      </c>
      <c r="J217" t="s">
        <v>23</v>
      </c>
      <c r="K217">
        <v>533</v>
      </c>
      <c r="L217" s="4">
        <v>12.837100400000001</v>
      </c>
      <c r="M217" s="4">
        <v>117.0039330976862</v>
      </c>
      <c r="N217" s="4">
        <v>-9.4424864781047546</v>
      </c>
      <c r="O217" s="1" t="str">
        <f>HYPERLINK(".\sm_car_250419_2207\sm_car_250419_2207_216_Ca189TrN_MaSWD_ode23t_1.png","figure")</f>
        <v>figure</v>
      </c>
      <c r="P217" t="s">
        <v>15</v>
      </c>
    </row>
    <row r="218" spans="1:16" x14ac:dyDescent="0.25">
      <c r="A218">
        <v>217</v>
      </c>
      <c r="B218">
        <v>189</v>
      </c>
      <c r="C218" t="s">
        <v>45</v>
      </c>
      <c r="D218" t="s">
        <v>17</v>
      </c>
      <c r="E218" t="s">
        <v>107</v>
      </c>
      <c r="F218" t="s">
        <v>19</v>
      </c>
      <c r="G218" t="s">
        <v>26</v>
      </c>
      <c r="H218" t="s">
        <v>21</v>
      </c>
      <c r="I218" t="s">
        <v>128</v>
      </c>
      <c r="J218" t="s">
        <v>23</v>
      </c>
      <c r="K218">
        <v>517</v>
      </c>
      <c r="L218" s="4">
        <v>13.9608889</v>
      </c>
      <c r="M218" s="4">
        <v>100.63378053407376</v>
      </c>
      <c r="N218" s="4">
        <v>18.071747845788472</v>
      </c>
      <c r="O218" s="1" t="str">
        <f>HYPERLINK(".\sm_car_250419_2207\sm_car_250419_2207_217_Ca189TrN_MaRST_ode23t_1.png","figure")</f>
        <v>figure</v>
      </c>
      <c r="P218" t="s">
        <v>15</v>
      </c>
    </row>
    <row r="219" spans="1:16" x14ac:dyDescent="0.25">
      <c r="A219">
        <v>218</v>
      </c>
      <c r="B219">
        <v>189</v>
      </c>
      <c r="C219" t="s">
        <v>45</v>
      </c>
      <c r="D219" t="s">
        <v>17</v>
      </c>
      <c r="E219" t="s">
        <v>107</v>
      </c>
      <c r="F219" t="s">
        <v>19</v>
      </c>
      <c r="G219" t="s">
        <v>26</v>
      </c>
      <c r="H219" t="s">
        <v>21</v>
      </c>
      <c r="I219" t="s">
        <v>129</v>
      </c>
      <c r="J219" t="s">
        <v>23</v>
      </c>
      <c r="K219">
        <v>610</v>
      </c>
      <c r="L219" s="4">
        <v>30.9506677</v>
      </c>
      <c r="M219" s="4">
        <v>230.88423628611778</v>
      </c>
      <c r="N219" s="4">
        <v>6.3405423598272226E-2</v>
      </c>
      <c r="O219" s="1" t="str">
        <f>HYPERLINK(".\sm_car_250419_2207\sm_car_250419_2207_218_Ca189TrN_MaSLA_ode23t_1.png","figure")</f>
        <v>figure</v>
      </c>
      <c r="P219" t="s">
        <v>15</v>
      </c>
    </row>
    <row r="220" spans="1:16" x14ac:dyDescent="0.25">
      <c r="A220">
        <v>219</v>
      </c>
      <c r="B220">
        <v>218</v>
      </c>
      <c r="C220" t="s">
        <v>16</v>
      </c>
      <c r="D220" t="s">
        <v>122</v>
      </c>
      <c r="E220" t="s">
        <v>107</v>
      </c>
      <c r="F220" t="s">
        <v>19</v>
      </c>
      <c r="G220" t="s">
        <v>26</v>
      </c>
      <c r="H220" t="s">
        <v>21</v>
      </c>
      <c r="I220" t="s">
        <v>126</v>
      </c>
      <c r="J220" t="s">
        <v>23</v>
      </c>
      <c r="K220">
        <v>682</v>
      </c>
      <c r="L220" s="4">
        <v>11.3036721</v>
      </c>
      <c r="M220" s="4">
        <v>90.644321867676496</v>
      </c>
      <c r="N220" s="4">
        <v>-21.973777446027274</v>
      </c>
      <c r="O220" s="1" t="str">
        <f>HYPERLINK(".\sm_car_250419_2207\sm_car_250419_2207_219_Ca218TrN_MaFSH_ode23t_1.png","figure")</f>
        <v>figure</v>
      </c>
      <c r="P220" t="s">
        <v>15</v>
      </c>
    </row>
    <row r="221" spans="1:16" x14ac:dyDescent="0.25">
      <c r="A221">
        <v>220</v>
      </c>
      <c r="B221">
        <v>218</v>
      </c>
      <c r="C221" t="s">
        <v>16</v>
      </c>
      <c r="D221" t="s">
        <v>122</v>
      </c>
      <c r="E221" t="s">
        <v>107</v>
      </c>
      <c r="F221" t="s">
        <v>19</v>
      </c>
      <c r="G221" t="s">
        <v>26</v>
      </c>
      <c r="H221" t="s">
        <v>21</v>
      </c>
      <c r="I221" t="s">
        <v>127</v>
      </c>
      <c r="J221" t="s">
        <v>23</v>
      </c>
      <c r="K221">
        <v>549</v>
      </c>
      <c r="L221" s="4">
        <v>8.4346542000000007</v>
      </c>
      <c r="M221" s="4">
        <v>125.30826802394503</v>
      </c>
      <c r="N221" s="4">
        <v>-8.5983958032562775</v>
      </c>
      <c r="O221" s="1" t="str">
        <f>HYPERLINK(".\sm_car_250419_2207\sm_car_250419_2207_220_Ca218TrN_MaSWD_ode23t_1.png","figure")</f>
        <v>figure</v>
      </c>
      <c r="P221" t="s">
        <v>15</v>
      </c>
    </row>
    <row r="222" spans="1:16" x14ac:dyDescent="0.25">
      <c r="A222">
        <v>221</v>
      </c>
      <c r="B222">
        <v>218</v>
      </c>
      <c r="C222" t="s">
        <v>16</v>
      </c>
      <c r="D222" t="s">
        <v>122</v>
      </c>
      <c r="E222" t="s">
        <v>107</v>
      </c>
      <c r="F222" t="s">
        <v>19</v>
      </c>
      <c r="G222" t="s">
        <v>26</v>
      </c>
      <c r="H222" t="s">
        <v>21</v>
      </c>
      <c r="I222" t="s">
        <v>128</v>
      </c>
      <c r="J222" t="s">
        <v>23</v>
      </c>
      <c r="K222">
        <v>474</v>
      </c>
      <c r="L222" s="4">
        <v>8.2711053999999997</v>
      </c>
      <c r="M222" s="4">
        <v>90.663991742472277</v>
      </c>
      <c r="N222" s="4">
        <v>28.882146171929811</v>
      </c>
      <c r="O222" s="1" t="str">
        <f>HYPERLINK(".\sm_car_250419_2207\sm_car_250419_2207_221_Ca218TrN_MaRST_ode23t_1.png","figure")</f>
        <v>figure</v>
      </c>
      <c r="P222" t="s">
        <v>15</v>
      </c>
    </row>
    <row r="223" spans="1:16" x14ac:dyDescent="0.25">
      <c r="A223">
        <v>222</v>
      </c>
      <c r="B223">
        <v>218</v>
      </c>
      <c r="C223" t="s">
        <v>16</v>
      </c>
      <c r="D223" t="s">
        <v>122</v>
      </c>
      <c r="E223" t="s">
        <v>107</v>
      </c>
      <c r="F223" t="s">
        <v>19</v>
      </c>
      <c r="G223" t="s">
        <v>26</v>
      </c>
      <c r="H223" t="s">
        <v>21</v>
      </c>
      <c r="I223" t="s">
        <v>129</v>
      </c>
      <c r="J223" t="s">
        <v>23</v>
      </c>
      <c r="K223">
        <v>556</v>
      </c>
      <c r="L223" s="4">
        <v>17.720999800000001</v>
      </c>
      <c r="M223" s="4">
        <v>230.17946170310768</v>
      </c>
      <c r="N223" s="4">
        <v>6.6745667081379342E-2</v>
      </c>
      <c r="O223" s="1" t="str">
        <f>HYPERLINK(".\sm_car_250419_2207\sm_car_250419_2207_222_Ca218TrN_MaSLA_ode23t_1.png","figure")</f>
        <v>figure</v>
      </c>
      <c r="P223" t="s">
        <v>15</v>
      </c>
    </row>
    <row r="224" spans="1:16" x14ac:dyDescent="0.25">
      <c r="A224">
        <v>223</v>
      </c>
      <c r="B224">
        <v>156</v>
      </c>
      <c r="C224" t="s">
        <v>45</v>
      </c>
      <c r="D224" t="s">
        <v>17</v>
      </c>
      <c r="E224" t="s">
        <v>18</v>
      </c>
      <c r="F224" t="s">
        <v>19</v>
      </c>
      <c r="G224" t="s">
        <v>38</v>
      </c>
      <c r="H224" t="s">
        <v>21</v>
      </c>
      <c r="I224" t="s">
        <v>54</v>
      </c>
      <c r="J224" t="s">
        <v>23</v>
      </c>
      <c r="K224">
        <v>26604</v>
      </c>
      <c r="L224" s="4">
        <v>646.93822929999999</v>
      </c>
      <c r="M224" s="4">
        <v>19.462076096297963</v>
      </c>
      <c r="N224" s="4">
        <v>2.5906472566728218</v>
      </c>
      <c r="O224" s="1" t="str">
        <f>HYPERLINK(".\sm_car_250419_2207\sm_car_250419_2207_223_Ca156TrN_MaIPA_ode23t.png","figure")</f>
        <v>figure</v>
      </c>
      <c r="P224" t="s">
        <v>15</v>
      </c>
    </row>
    <row r="225" spans="1:16" x14ac:dyDescent="0.25">
      <c r="A225">
        <v>224</v>
      </c>
      <c r="B225">
        <v>130</v>
      </c>
      <c r="C225" t="s">
        <v>16</v>
      </c>
      <c r="D225" t="s">
        <v>17</v>
      </c>
      <c r="E225" t="s">
        <v>18</v>
      </c>
      <c r="F225" t="s">
        <v>19</v>
      </c>
      <c r="G225" t="s">
        <v>38</v>
      </c>
      <c r="H225" t="s">
        <v>21</v>
      </c>
      <c r="I225" t="s">
        <v>54</v>
      </c>
      <c r="J225" t="s">
        <v>23</v>
      </c>
      <c r="K225">
        <v>17151</v>
      </c>
      <c r="L225" s="4">
        <v>417.5604419</v>
      </c>
      <c r="M225" s="4">
        <v>16.343601672154534</v>
      </c>
      <c r="N225" s="4">
        <v>0.56696364252367404</v>
      </c>
      <c r="O225" s="1" t="str">
        <f>HYPERLINK(".\sm_car_250419_2207\sm_car_250419_2207_224_Ca130TrN_MaIPA_ode23t.png","figure")</f>
        <v>figure</v>
      </c>
      <c r="P225" t="s">
        <v>15</v>
      </c>
    </row>
    <row r="226" spans="1:16" x14ac:dyDescent="0.25">
      <c r="A226">
        <v>225</v>
      </c>
      <c r="B226">
        <v>171</v>
      </c>
      <c r="C226" t="s">
        <v>45</v>
      </c>
      <c r="D226" t="s">
        <v>17</v>
      </c>
      <c r="E226" t="s">
        <v>72</v>
      </c>
      <c r="F226" t="s">
        <v>19</v>
      </c>
      <c r="G226" t="s">
        <v>26</v>
      </c>
      <c r="H226" t="s">
        <v>21</v>
      </c>
      <c r="I226" t="s">
        <v>73</v>
      </c>
      <c r="J226" t="s">
        <v>23</v>
      </c>
      <c r="K226">
        <v>1369</v>
      </c>
      <c r="L226" s="4">
        <v>37.335835299999999</v>
      </c>
      <c r="M226" s="4">
        <v>338.39500216244062</v>
      </c>
      <c r="N226" s="4">
        <v>0.61988488870377967</v>
      </c>
      <c r="O226" s="1" t="str">
        <f>HYPERLINK(".\sm_car_250419_2207\sm_car_250419_2207_225_Ca171TrN_MaRDP_ode23t_1.png","figure")</f>
        <v>figure</v>
      </c>
      <c r="P226" t="s">
        <v>15</v>
      </c>
    </row>
    <row r="227" spans="1:16" x14ac:dyDescent="0.25">
      <c r="A227">
        <v>226</v>
      </c>
      <c r="B227">
        <v>172</v>
      </c>
      <c r="C227" t="s">
        <v>46</v>
      </c>
      <c r="D227" t="s">
        <v>17</v>
      </c>
      <c r="E227" t="s">
        <v>72</v>
      </c>
      <c r="F227" t="s">
        <v>19</v>
      </c>
      <c r="G227" t="s">
        <v>26</v>
      </c>
      <c r="H227" t="s">
        <v>21</v>
      </c>
      <c r="I227" t="s">
        <v>73</v>
      </c>
      <c r="J227" t="s">
        <v>23</v>
      </c>
      <c r="K227">
        <v>1231</v>
      </c>
      <c r="L227" s="4">
        <v>18.801366099999999</v>
      </c>
      <c r="M227" s="4">
        <v>138.14408811817097</v>
      </c>
      <c r="N227" s="4">
        <v>3.7146141814699711E-2</v>
      </c>
      <c r="O227" s="1" t="str">
        <f>HYPERLINK(".\sm_car_250419_2207\sm_car_250419_2207_226_Ca172TrN_MaRDP_ode23t_1.png","figure")</f>
        <v>figure</v>
      </c>
      <c r="P227" t="s">
        <v>15</v>
      </c>
    </row>
    <row r="228" spans="1:16" x14ac:dyDescent="0.25">
      <c r="A228">
        <v>227</v>
      </c>
      <c r="B228">
        <v>139</v>
      </c>
      <c r="C228" t="s">
        <v>45</v>
      </c>
      <c r="D228" t="s">
        <v>17</v>
      </c>
      <c r="E228" t="s">
        <v>18</v>
      </c>
      <c r="F228" t="s">
        <v>19</v>
      </c>
      <c r="G228" t="s">
        <v>26</v>
      </c>
      <c r="H228" t="s">
        <v>21</v>
      </c>
      <c r="I228" t="s">
        <v>74</v>
      </c>
      <c r="J228" t="s">
        <v>23</v>
      </c>
      <c r="K228">
        <v>1468</v>
      </c>
      <c r="L228" s="4">
        <v>32.206954899999999</v>
      </c>
      <c r="M228" s="4">
        <v>364.46750916642208</v>
      </c>
      <c r="N228" s="4">
        <v>0.73238886714140783</v>
      </c>
      <c r="O228" s="1" t="str">
        <f>HYPERLINK(".\sm_car_250419_2207\sm_car_250419_2207_227_Ca139TrN_MaZPL_ode23t_1.png","figure")</f>
        <v>figure</v>
      </c>
      <c r="P228" t="s">
        <v>15</v>
      </c>
    </row>
    <row r="229" spans="1:16" x14ac:dyDescent="0.25">
      <c r="A229">
        <v>228</v>
      </c>
      <c r="B229">
        <v>165</v>
      </c>
      <c r="C229" t="s">
        <v>45</v>
      </c>
      <c r="D229" t="s">
        <v>35</v>
      </c>
      <c r="E229" t="s">
        <v>49</v>
      </c>
      <c r="F229" t="s">
        <v>19</v>
      </c>
      <c r="G229" t="s">
        <v>26</v>
      </c>
      <c r="H229" t="s">
        <v>21</v>
      </c>
      <c r="I229" t="s">
        <v>74</v>
      </c>
      <c r="J229" t="s">
        <v>23</v>
      </c>
      <c r="K229">
        <v>2112</v>
      </c>
      <c r="L229" s="4">
        <v>16.556815400000001</v>
      </c>
      <c r="M229" s="4">
        <v>397.66397342664675</v>
      </c>
      <c r="N229" s="4">
        <v>0.3348367842314367</v>
      </c>
      <c r="O229" s="1" t="str">
        <f>HYPERLINK(".\sm_car_250419_2207\sm_car_250419_2207_228_Ca165TrN_MaZPL_ode23t_1.png","figure")</f>
        <v>figure</v>
      </c>
      <c r="P229" t="s">
        <v>15</v>
      </c>
    </row>
    <row r="230" spans="1:16" x14ac:dyDescent="0.25">
      <c r="A230">
        <v>229</v>
      </c>
      <c r="B230">
        <v>171</v>
      </c>
      <c r="C230" t="s">
        <v>45</v>
      </c>
      <c r="D230" t="s">
        <v>17</v>
      </c>
      <c r="E230" t="s">
        <v>72</v>
      </c>
      <c r="F230" t="s">
        <v>19</v>
      </c>
      <c r="G230" t="s">
        <v>26</v>
      </c>
      <c r="H230" t="s">
        <v>21</v>
      </c>
      <c r="I230" t="s">
        <v>74</v>
      </c>
      <c r="J230" t="s">
        <v>23</v>
      </c>
      <c r="K230">
        <v>1448</v>
      </c>
      <c r="L230" s="4">
        <v>36.984316700000001</v>
      </c>
      <c r="M230" s="4">
        <v>364.02568117054415</v>
      </c>
      <c r="N230" s="4">
        <v>0.68671675155525314</v>
      </c>
      <c r="O230" s="1" t="str">
        <f>HYPERLINK(".\sm_car_250419_2207\sm_car_250419_2207_229_Ca171TrN_MaZPL_ode23t_1.png","figure")</f>
        <v>figure</v>
      </c>
      <c r="P230" t="s">
        <v>15</v>
      </c>
    </row>
    <row r="231" spans="1:16" x14ac:dyDescent="0.25">
      <c r="A231">
        <v>230</v>
      </c>
      <c r="B231">
        <v>165</v>
      </c>
      <c r="C231" t="s">
        <v>45</v>
      </c>
      <c r="D231" t="s">
        <v>35</v>
      </c>
      <c r="E231" t="s">
        <v>49</v>
      </c>
      <c r="F231" t="s">
        <v>19</v>
      </c>
      <c r="G231" t="s">
        <v>26</v>
      </c>
      <c r="H231" t="s">
        <v>21</v>
      </c>
      <c r="I231" t="s">
        <v>75</v>
      </c>
      <c r="J231" t="s">
        <v>23</v>
      </c>
      <c r="K231">
        <v>501</v>
      </c>
      <c r="L231" s="4">
        <v>7.0985297000000003</v>
      </c>
      <c r="M231" s="4">
        <v>378.3422698051105</v>
      </c>
      <c r="N231" s="4">
        <v>0.32219380153144195</v>
      </c>
      <c r="O231" s="1" t="str">
        <f>HYPERLINK(".\sm_car_250419_2207\sm_car_250419_2207_230_Ca165TrN_MaCPL_ode23t_1.png","figure")</f>
        <v>figure</v>
      </c>
      <c r="P231" t="s">
        <v>15</v>
      </c>
    </row>
    <row r="232" spans="1:16" x14ac:dyDescent="0.25">
      <c r="A232">
        <v>231</v>
      </c>
      <c r="B232">
        <v>170</v>
      </c>
      <c r="C232" t="s">
        <v>45</v>
      </c>
      <c r="D232" t="s">
        <v>35</v>
      </c>
      <c r="E232" t="s">
        <v>49</v>
      </c>
      <c r="F232" t="s">
        <v>19</v>
      </c>
      <c r="G232" t="s">
        <v>20</v>
      </c>
      <c r="H232" t="s">
        <v>21</v>
      </c>
      <c r="I232" t="s">
        <v>75</v>
      </c>
      <c r="J232" t="s">
        <v>23</v>
      </c>
      <c r="K232">
        <v>469</v>
      </c>
      <c r="L232" s="4">
        <v>4.6783014999999999</v>
      </c>
      <c r="M232" s="4">
        <v>380.91783156370263</v>
      </c>
      <c r="N232" s="4">
        <v>0.32787368934773187</v>
      </c>
      <c r="O232" s="1" t="str">
        <f>HYPERLINK(".\sm_car_250419_2207\sm_car_250419_2207_231_Ca170TrN_MaCPL_ode23t_1.png","figure")</f>
        <v>figure</v>
      </c>
      <c r="P232" t="s">
        <v>15</v>
      </c>
    </row>
    <row r="233" spans="1:16" x14ac:dyDescent="0.25">
      <c r="A233">
        <v>232</v>
      </c>
      <c r="B233">
        <v>171</v>
      </c>
      <c r="C233" t="s">
        <v>45</v>
      </c>
      <c r="D233" t="s">
        <v>17</v>
      </c>
      <c r="E233" t="s">
        <v>72</v>
      </c>
      <c r="F233" t="s">
        <v>19</v>
      </c>
      <c r="G233" t="s">
        <v>26</v>
      </c>
      <c r="H233" t="s">
        <v>21</v>
      </c>
      <c r="I233" t="s">
        <v>76</v>
      </c>
      <c r="J233" t="s">
        <v>23</v>
      </c>
      <c r="K233">
        <v>2459</v>
      </c>
      <c r="L233" s="4">
        <v>68.700529700000004</v>
      </c>
      <c r="M233" s="4">
        <v>152.37142366565746</v>
      </c>
      <c r="N233" s="4">
        <v>1.9120568526710213E-3</v>
      </c>
      <c r="O233" s="1" t="str">
        <f>HYPERLINK(".\sm_car_250419_2207\sm_car_250419_2207_232_Ca171TrN_MaRDR_ode23t_1.png","figure")</f>
        <v>figure</v>
      </c>
      <c r="P233" t="s">
        <v>15</v>
      </c>
    </row>
    <row r="234" spans="1:16" x14ac:dyDescent="0.25">
      <c r="A234">
        <v>233</v>
      </c>
      <c r="B234">
        <v>172</v>
      </c>
      <c r="C234" t="s">
        <v>46</v>
      </c>
      <c r="D234" t="s">
        <v>17</v>
      </c>
      <c r="E234" t="s">
        <v>72</v>
      </c>
      <c r="F234" t="s">
        <v>19</v>
      </c>
      <c r="G234" t="s">
        <v>26</v>
      </c>
      <c r="H234" t="s">
        <v>21</v>
      </c>
      <c r="I234" t="s">
        <v>76</v>
      </c>
      <c r="J234" t="s">
        <v>23</v>
      </c>
      <c r="K234">
        <v>2948</v>
      </c>
      <c r="L234" s="4">
        <v>46.786464199999998</v>
      </c>
      <c r="M234" s="4">
        <v>146.50528923929676</v>
      </c>
      <c r="N234" s="4">
        <v>-4.8551632259558643E-3</v>
      </c>
      <c r="O234" s="1" t="str">
        <f>HYPERLINK(".\sm_car_250419_2207\sm_car_250419_2207_233_Ca172TrN_MaRDR_ode23t_1.png","figure")</f>
        <v>figure</v>
      </c>
      <c r="P234" t="s">
        <v>15</v>
      </c>
    </row>
    <row r="235" spans="1:16" x14ac:dyDescent="0.25">
      <c r="A235">
        <v>234</v>
      </c>
      <c r="B235">
        <v>139</v>
      </c>
      <c r="C235" t="s">
        <v>45</v>
      </c>
      <c r="D235" t="s">
        <v>17</v>
      </c>
      <c r="E235" t="s">
        <v>18</v>
      </c>
      <c r="F235" t="s">
        <v>19</v>
      </c>
      <c r="G235" t="s">
        <v>26</v>
      </c>
      <c r="H235" t="s">
        <v>21</v>
      </c>
      <c r="I235" t="s">
        <v>77</v>
      </c>
      <c r="J235" t="s">
        <v>23</v>
      </c>
      <c r="K235">
        <v>3028</v>
      </c>
      <c r="L235" s="4">
        <v>61.187566400000001</v>
      </c>
      <c r="M235" s="4">
        <v>176.47655262806518</v>
      </c>
      <c r="N235" s="4">
        <v>8.6918621260673851E-4</v>
      </c>
      <c r="O235" s="1" t="str">
        <f>HYPERLINK(".\sm_car_250419_2207\sm_car_250419_2207_234_Ca139TrN_MaZRR_ode23t_1.png","figure")</f>
        <v>figure</v>
      </c>
      <c r="P235" t="s">
        <v>15</v>
      </c>
    </row>
    <row r="236" spans="1:16" x14ac:dyDescent="0.25">
      <c r="A236">
        <v>235</v>
      </c>
      <c r="B236">
        <v>165</v>
      </c>
      <c r="C236" t="s">
        <v>45</v>
      </c>
      <c r="D236" t="s">
        <v>35</v>
      </c>
      <c r="E236" t="s">
        <v>49</v>
      </c>
      <c r="F236" t="s">
        <v>19</v>
      </c>
      <c r="G236" t="s">
        <v>26</v>
      </c>
      <c r="H236" t="s">
        <v>21</v>
      </c>
      <c r="I236" t="s">
        <v>77</v>
      </c>
      <c r="J236" t="s">
        <v>23</v>
      </c>
      <c r="K236">
        <v>3541</v>
      </c>
      <c r="L236" s="4">
        <v>36.465289800000001</v>
      </c>
      <c r="M236" s="4">
        <v>176.8135925911096</v>
      </c>
      <c r="N236" s="4">
        <v>8.144478346299877E-5</v>
      </c>
      <c r="O236" s="1" t="str">
        <f>HYPERLINK(".\sm_car_250419_2207\sm_car_250419_2207_235_Ca165TrN_MaZRR_ode23t_1.png","figure")</f>
        <v>figure</v>
      </c>
      <c r="P236" t="s">
        <v>15</v>
      </c>
    </row>
    <row r="237" spans="1:16" x14ac:dyDescent="0.25">
      <c r="A237">
        <v>236</v>
      </c>
      <c r="B237">
        <v>171</v>
      </c>
      <c r="C237" t="s">
        <v>45</v>
      </c>
      <c r="D237" t="s">
        <v>17</v>
      </c>
      <c r="E237" t="s">
        <v>72</v>
      </c>
      <c r="F237" t="s">
        <v>19</v>
      </c>
      <c r="G237" t="s">
        <v>26</v>
      </c>
      <c r="H237" t="s">
        <v>21</v>
      </c>
      <c r="I237" t="s">
        <v>77</v>
      </c>
      <c r="J237" t="s">
        <v>23</v>
      </c>
      <c r="K237">
        <v>2993</v>
      </c>
      <c r="L237" s="4">
        <v>86.155454300000002</v>
      </c>
      <c r="M237" s="4">
        <v>176.48807340381174</v>
      </c>
      <c r="N237" s="4">
        <v>8.3312455268747258E-4</v>
      </c>
      <c r="O237" s="1" t="str">
        <f>HYPERLINK(".\sm_car_250419_2207\sm_car_250419_2207_236_Ca171TrN_MaZRR_ode23t_1.png","figure")</f>
        <v>figure</v>
      </c>
      <c r="P237" t="s">
        <v>15</v>
      </c>
    </row>
    <row r="238" spans="1:16" x14ac:dyDescent="0.25">
      <c r="A238">
        <v>237</v>
      </c>
      <c r="B238">
        <v>170</v>
      </c>
      <c r="C238" t="s">
        <v>45</v>
      </c>
      <c r="D238" t="s">
        <v>35</v>
      </c>
      <c r="E238" t="s">
        <v>49</v>
      </c>
      <c r="F238" t="s">
        <v>19</v>
      </c>
      <c r="G238" t="s">
        <v>20</v>
      </c>
      <c r="H238" t="s">
        <v>21</v>
      </c>
      <c r="I238" t="s">
        <v>78</v>
      </c>
      <c r="J238" t="s">
        <v>23</v>
      </c>
      <c r="K238">
        <v>5161</v>
      </c>
      <c r="L238" s="4">
        <v>31.825459299999999</v>
      </c>
      <c r="M238" s="4">
        <v>-5.9990665905868008</v>
      </c>
      <c r="N238" s="4">
        <v>2.9090155992020079E-3</v>
      </c>
      <c r="O238" s="1" t="str">
        <f>HYPERLINK(".\sm_car_250419_2207\sm_car_250419_2207_237_Ca170TrN_MaCMP_ode23t_1.png","figure")</f>
        <v>figure</v>
      </c>
      <c r="P238" t="s">
        <v>15</v>
      </c>
    </row>
    <row r="239" spans="1:16" x14ac:dyDescent="0.25">
      <c r="A239">
        <v>238</v>
      </c>
      <c r="B239">
        <v>170</v>
      </c>
      <c r="C239" t="s">
        <v>45</v>
      </c>
      <c r="D239" t="s">
        <v>35</v>
      </c>
      <c r="E239" t="s">
        <v>49</v>
      </c>
      <c r="F239" t="s">
        <v>19</v>
      </c>
      <c r="G239" t="s">
        <v>20</v>
      </c>
      <c r="H239" t="s">
        <v>21</v>
      </c>
      <c r="I239" t="s">
        <v>79</v>
      </c>
      <c r="J239" t="s">
        <v>23</v>
      </c>
      <c r="K239">
        <v>1831</v>
      </c>
      <c r="L239" s="4">
        <v>20.247205699999999</v>
      </c>
      <c r="M239" s="4">
        <v>-5.9988659125128683</v>
      </c>
      <c r="N239" s="4">
        <v>2.8286079032103059E-3</v>
      </c>
      <c r="O239" s="1" t="str">
        <f>HYPERLINK(".\sm_car_250419_2207\sm_car_250419_2207_238_Ca170TrN_MaCMF_ode23t_1.png","figure")</f>
        <v>figure</v>
      </c>
      <c r="P239" t="s">
        <v>15</v>
      </c>
    </row>
    <row r="240" spans="1:16" x14ac:dyDescent="0.25">
      <c r="A240">
        <v>239</v>
      </c>
      <c r="B240">
        <v>170</v>
      </c>
      <c r="C240" t="s">
        <v>45</v>
      </c>
      <c r="D240" t="s">
        <v>35</v>
      </c>
      <c r="E240" t="s">
        <v>49</v>
      </c>
      <c r="F240" t="s">
        <v>19</v>
      </c>
      <c r="G240" t="s">
        <v>20</v>
      </c>
      <c r="H240" t="s">
        <v>21</v>
      </c>
      <c r="I240" t="s">
        <v>80</v>
      </c>
      <c r="J240" t="s">
        <v>23</v>
      </c>
      <c r="K240">
        <v>4595</v>
      </c>
      <c r="L240" s="4">
        <v>70.112021200000001</v>
      </c>
      <c r="M240" s="4">
        <v>-329.5069062643459</v>
      </c>
      <c r="N240" s="4">
        <v>6.0558732192224518</v>
      </c>
      <c r="O240" s="1" t="str">
        <f>HYPERLINK(".\sm_car_250419_2207\sm_car_250419_2207_239_Ca170TrN_MaMPO_ode23t_1.png","figure")</f>
        <v>figure</v>
      </c>
      <c r="P240" t="s">
        <v>15</v>
      </c>
    </row>
    <row r="241" spans="1:16" x14ac:dyDescent="0.25">
      <c r="A241">
        <v>240</v>
      </c>
      <c r="B241">
        <v>170</v>
      </c>
      <c r="C241" t="s">
        <v>45</v>
      </c>
      <c r="D241" t="s">
        <v>35</v>
      </c>
      <c r="E241" t="s">
        <v>49</v>
      </c>
      <c r="F241" t="s">
        <v>19</v>
      </c>
      <c r="G241" t="s">
        <v>20</v>
      </c>
      <c r="H241" t="s">
        <v>21</v>
      </c>
      <c r="I241" t="s">
        <v>81</v>
      </c>
      <c r="J241" t="s">
        <v>23</v>
      </c>
      <c r="K241">
        <v>1178</v>
      </c>
      <c r="L241" s="4">
        <v>18.9932461</v>
      </c>
      <c r="M241" s="4">
        <v>-13.902665756095409</v>
      </c>
      <c r="N241" s="4">
        <v>0.2046442458777733</v>
      </c>
      <c r="O241" s="1" t="str">
        <f>HYPERLINK(".\sm_car_250419_2207\sm_car_250419_2207_240_Ca170TrN_MaMCI_ode23t_1.png","figure")</f>
        <v>figure</v>
      </c>
      <c r="P241" t="s">
        <v>15</v>
      </c>
    </row>
    <row r="242" spans="1:16" x14ac:dyDescent="0.25">
      <c r="A242">
        <v>241</v>
      </c>
      <c r="B242">
        <v>170</v>
      </c>
      <c r="C242" t="s">
        <v>45</v>
      </c>
      <c r="D242" t="s">
        <v>35</v>
      </c>
      <c r="E242" t="s">
        <v>49</v>
      </c>
      <c r="F242" t="s">
        <v>19</v>
      </c>
      <c r="G242" t="s">
        <v>20</v>
      </c>
      <c r="H242" t="s">
        <v>21</v>
      </c>
      <c r="I242" t="s">
        <v>110</v>
      </c>
      <c r="J242" t="s">
        <v>23</v>
      </c>
      <c r="K242">
        <v>5855</v>
      </c>
      <c r="L242" s="4">
        <v>34.170661699999997</v>
      </c>
      <c r="M242" s="4">
        <v>-5.9961838085702457</v>
      </c>
      <c r="N242" s="4">
        <v>-4.4747806398270215E-3</v>
      </c>
      <c r="O242" s="1" t="str">
        <f>HYPERLINK(".\sm_car_250419_2207\sm_car_250419_2207_241_Ca170TrN_MaCHO_ode23t_1.png","figure")</f>
        <v>figure</v>
      </c>
      <c r="P242" t="s">
        <v>15</v>
      </c>
    </row>
    <row r="243" spans="1:16" x14ac:dyDescent="0.25">
      <c r="A243">
        <v>242</v>
      </c>
      <c r="B243">
        <v>170</v>
      </c>
      <c r="C243" t="s">
        <v>45</v>
      </c>
      <c r="D243" t="s">
        <v>35</v>
      </c>
      <c r="E243" t="s">
        <v>49</v>
      </c>
      <c r="F243" t="s">
        <v>19</v>
      </c>
      <c r="G243" t="s">
        <v>20</v>
      </c>
      <c r="H243" t="s">
        <v>21</v>
      </c>
      <c r="I243" t="s">
        <v>111</v>
      </c>
      <c r="J243" t="s">
        <v>23</v>
      </c>
      <c r="K243">
        <v>3434</v>
      </c>
      <c r="L243" s="4">
        <v>32.538048600000003</v>
      </c>
      <c r="M243" s="4">
        <v>-5.9965281886395321</v>
      </c>
      <c r="N243" s="4">
        <v>-4.5113212313890186E-3</v>
      </c>
      <c r="O243" s="1" t="str">
        <f>HYPERLINK(".\sm_car_250419_2207\sm_car_250419_2207_242_Ca170TrN_MaCHF_ode23t_1.png","figure")</f>
        <v>figure</v>
      </c>
      <c r="P243" t="s">
        <v>15</v>
      </c>
    </row>
    <row r="244" spans="1:16" x14ac:dyDescent="0.25">
      <c r="A244">
        <v>243</v>
      </c>
      <c r="B244">
        <v>170</v>
      </c>
      <c r="C244" t="s">
        <v>45</v>
      </c>
      <c r="D244" t="s">
        <v>35</v>
      </c>
      <c r="E244" t="s">
        <v>49</v>
      </c>
      <c r="F244" t="s">
        <v>19</v>
      </c>
      <c r="G244" t="s">
        <v>20</v>
      </c>
      <c r="H244" t="s">
        <v>21</v>
      </c>
      <c r="I244" t="s">
        <v>82</v>
      </c>
      <c r="J244" t="s">
        <v>23</v>
      </c>
      <c r="K244">
        <v>7040</v>
      </c>
      <c r="L244" s="4">
        <v>50.536384300000002</v>
      </c>
      <c r="M244" s="4">
        <v>-751.82206102473617</v>
      </c>
      <c r="N244" s="4">
        <v>628.25588309743512</v>
      </c>
      <c r="O244" s="1" t="str">
        <f>HYPERLINK(".\sm_car_250419_2207\sm_car_250419_2207_243_Ca170TrN_MaCKY_ode23t_1.png","figure")</f>
        <v>figure</v>
      </c>
      <c r="P244" t="s">
        <v>15</v>
      </c>
    </row>
    <row r="245" spans="1:16" x14ac:dyDescent="0.25">
      <c r="A245">
        <v>244</v>
      </c>
      <c r="B245">
        <v>170</v>
      </c>
      <c r="C245" t="s">
        <v>45</v>
      </c>
      <c r="D245" t="s">
        <v>35</v>
      </c>
      <c r="E245" t="s">
        <v>49</v>
      </c>
      <c r="F245" t="s">
        <v>19</v>
      </c>
      <c r="G245" t="s">
        <v>20</v>
      </c>
      <c r="H245" t="s">
        <v>21</v>
      </c>
      <c r="I245" t="s">
        <v>83</v>
      </c>
      <c r="J245" t="s">
        <v>23</v>
      </c>
      <c r="K245">
        <v>2172</v>
      </c>
      <c r="L245" s="4">
        <v>25.9152998</v>
      </c>
      <c r="M245" s="4">
        <v>-758.45704453196072</v>
      </c>
      <c r="N245" s="4">
        <v>632.56476382289839</v>
      </c>
      <c r="O245" s="1" t="str">
        <f>HYPERLINK(".\sm_car_250419_2207\sm_car_250419_2207_244_Ca170TrN_MaCKF_ode23t_1.png","figure")</f>
        <v>figure</v>
      </c>
      <c r="P245" t="s">
        <v>15</v>
      </c>
    </row>
    <row r="246" spans="1:16" x14ac:dyDescent="0.25">
      <c r="A246">
        <v>245</v>
      </c>
      <c r="B246">
        <v>170</v>
      </c>
      <c r="C246" t="s">
        <v>45</v>
      </c>
      <c r="D246" t="s">
        <v>35</v>
      </c>
      <c r="E246" t="s">
        <v>49</v>
      </c>
      <c r="F246" t="s">
        <v>19</v>
      </c>
      <c r="G246" t="s">
        <v>20</v>
      </c>
      <c r="H246" t="s">
        <v>21</v>
      </c>
      <c r="I246" t="s">
        <v>84</v>
      </c>
      <c r="J246" t="s">
        <v>23</v>
      </c>
      <c r="K246">
        <v>2810</v>
      </c>
      <c r="L246" s="4">
        <v>28.035653199999999</v>
      </c>
      <c r="M246" s="4">
        <v>177.30621044714565</v>
      </c>
      <c r="N246" s="4">
        <v>288.17380062363952</v>
      </c>
      <c r="O246" s="1" t="str">
        <f>HYPERLINK(".\sm_car_250419_2207\sm_car_250419_2207_245_Ca170TrN_MaCNN_ode23t_1.png","figure")</f>
        <v>figure</v>
      </c>
      <c r="P246" t="s">
        <v>15</v>
      </c>
    </row>
    <row r="247" spans="1:16" x14ac:dyDescent="0.25">
      <c r="A247">
        <v>246</v>
      </c>
      <c r="B247">
        <v>170</v>
      </c>
      <c r="C247" t="s">
        <v>45</v>
      </c>
      <c r="D247" t="s">
        <v>35</v>
      </c>
      <c r="E247" t="s">
        <v>49</v>
      </c>
      <c r="F247" t="s">
        <v>19</v>
      </c>
      <c r="G247" t="s">
        <v>20</v>
      </c>
      <c r="H247" t="s">
        <v>21</v>
      </c>
      <c r="I247" t="s">
        <v>85</v>
      </c>
      <c r="J247" t="s">
        <v>23</v>
      </c>
      <c r="K247">
        <v>4355</v>
      </c>
      <c r="L247" s="4">
        <v>117.3060509</v>
      </c>
      <c r="M247" s="4">
        <v>2995.8522143847567</v>
      </c>
      <c r="N247" s="4">
        <v>-3063.9273401023793</v>
      </c>
      <c r="O247" s="1" t="str">
        <f>HYPERLINK(".\sm_car_250419_2207\sm_car_250419_2207_246_Ca170TrN_MaCNF_ode23t_1.png","figure")</f>
        <v>figure</v>
      </c>
      <c r="P247" t="s">
        <v>15</v>
      </c>
    </row>
    <row r="248" spans="1:16" x14ac:dyDescent="0.25">
      <c r="A248">
        <v>247</v>
      </c>
      <c r="B248">
        <v>170</v>
      </c>
      <c r="C248" t="s">
        <v>45</v>
      </c>
      <c r="D248" t="s">
        <v>35</v>
      </c>
      <c r="E248" t="s">
        <v>49</v>
      </c>
      <c r="F248" t="s">
        <v>19</v>
      </c>
      <c r="G248" t="s">
        <v>20</v>
      </c>
      <c r="H248" t="s">
        <v>21</v>
      </c>
      <c r="I248" t="s">
        <v>86</v>
      </c>
      <c r="J248" t="s">
        <v>23</v>
      </c>
      <c r="K248">
        <v>2937</v>
      </c>
      <c r="L248" s="4">
        <v>25.701815700000001</v>
      </c>
      <c r="M248" s="4">
        <v>522.30401683274704</v>
      </c>
      <c r="N248" s="4">
        <v>-164.27334854467244</v>
      </c>
      <c r="O248" s="1" t="str">
        <f>HYPERLINK(".\sm_car_250419_2207\sm_car_250419_2207_247_Ca170TrN_MaCSZ_ode23t_1.png","figure")</f>
        <v>figure</v>
      </c>
      <c r="P248" t="s">
        <v>15</v>
      </c>
    </row>
    <row r="249" spans="1:16" x14ac:dyDescent="0.25">
      <c r="A249">
        <v>248</v>
      </c>
      <c r="B249">
        <v>170</v>
      </c>
      <c r="C249" t="s">
        <v>45</v>
      </c>
      <c r="D249" t="s">
        <v>35</v>
      </c>
      <c r="E249" t="s">
        <v>49</v>
      </c>
      <c r="F249" t="s">
        <v>19</v>
      </c>
      <c r="G249" t="s">
        <v>20</v>
      </c>
      <c r="H249" t="s">
        <v>21</v>
      </c>
      <c r="I249" t="s">
        <v>87</v>
      </c>
      <c r="J249" t="s">
        <v>23</v>
      </c>
      <c r="K249">
        <v>5687</v>
      </c>
      <c r="L249" s="4">
        <v>154.80526979999999</v>
      </c>
      <c r="M249" s="4">
        <v>-8.9691358104985142</v>
      </c>
      <c r="N249" s="4">
        <v>9.9795604172951743E-3</v>
      </c>
      <c r="O249" s="1" t="str">
        <f>HYPERLINK(".\sm_car_250419_2207\sm_car_250419_2207_248_Ca170TrN_MaCSF_ode23t_1.png","figure")</f>
        <v>figure</v>
      </c>
      <c r="P249" t="s">
        <v>15</v>
      </c>
    </row>
    <row r="250" spans="1:16" x14ac:dyDescent="0.25">
      <c r="A250">
        <v>249</v>
      </c>
      <c r="B250">
        <v>170</v>
      </c>
      <c r="C250" t="s">
        <v>45</v>
      </c>
      <c r="D250" t="s">
        <v>35</v>
      </c>
      <c r="E250" t="s">
        <v>49</v>
      </c>
      <c r="F250" t="s">
        <v>19</v>
      </c>
      <c r="G250" t="s">
        <v>20</v>
      </c>
      <c r="H250" t="s">
        <v>21</v>
      </c>
      <c r="I250" t="s">
        <v>88</v>
      </c>
      <c r="J250" t="s">
        <v>23</v>
      </c>
      <c r="K250">
        <v>2083</v>
      </c>
      <c r="L250" s="4">
        <v>26.323179199999998</v>
      </c>
      <c r="M250" s="4">
        <v>208.95312857170563</v>
      </c>
      <c r="N250" s="4">
        <v>379.20696835849986</v>
      </c>
      <c r="O250" s="1" t="str">
        <f>HYPERLINK(".\sm_car_250419_2207\sm_car_250419_2207_249_Ca170TrN_MaCPU_ode23t_1.png","figure")</f>
        <v>figure</v>
      </c>
      <c r="P250" t="s">
        <v>15</v>
      </c>
    </row>
    <row r="251" spans="1:16" x14ac:dyDescent="0.25">
      <c r="A251">
        <v>250</v>
      </c>
      <c r="B251">
        <v>170</v>
      </c>
      <c r="C251" t="s">
        <v>45</v>
      </c>
      <c r="D251" t="s">
        <v>35</v>
      </c>
      <c r="E251" t="s">
        <v>49</v>
      </c>
      <c r="F251" t="s">
        <v>19</v>
      </c>
      <c r="G251" t="s">
        <v>20</v>
      </c>
      <c r="H251" t="s">
        <v>21</v>
      </c>
      <c r="I251" t="s">
        <v>89</v>
      </c>
      <c r="J251" t="s">
        <v>23</v>
      </c>
      <c r="K251">
        <v>2590</v>
      </c>
      <c r="L251" s="4">
        <v>29.3539642</v>
      </c>
      <c r="M251" s="4">
        <v>183.04695100088497</v>
      </c>
      <c r="N251" s="4">
        <v>-170.22023583423288</v>
      </c>
      <c r="O251" s="1" t="str">
        <f>HYPERLINK(".\sm_car_250419_2207\sm_car_250419_2207_250_Ca170TrN_MaCPD_ode23t_1.png","figure")</f>
        <v>figure</v>
      </c>
      <c r="P251" t="s">
        <v>15</v>
      </c>
    </row>
    <row r="252" spans="1:16" x14ac:dyDescent="0.25">
      <c r="A252">
        <v>251</v>
      </c>
      <c r="B252">
        <v>202</v>
      </c>
      <c r="C252" t="s">
        <v>45</v>
      </c>
      <c r="D252" t="s">
        <v>35</v>
      </c>
      <c r="E252" t="s">
        <v>107</v>
      </c>
      <c r="F252" t="s">
        <v>19</v>
      </c>
      <c r="G252" t="s">
        <v>20</v>
      </c>
      <c r="H252" t="s">
        <v>21</v>
      </c>
      <c r="I252" t="s">
        <v>79</v>
      </c>
      <c r="J252" t="s">
        <v>23</v>
      </c>
      <c r="K252">
        <v>1832</v>
      </c>
      <c r="L252" s="4">
        <v>8.3168453000000007</v>
      </c>
      <c r="M252" s="4">
        <v>-5.9758689321325704</v>
      </c>
      <c r="N252" s="4">
        <v>2.8267642165650609E-3</v>
      </c>
      <c r="O252" s="1" t="str">
        <f>HYPERLINK(".\sm_car_250419_2207\sm_car_250419_2207_251_Ca202TrN_MaCMF_ode23t_1.png","figure")</f>
        <v>figure</v>
      </c>
      <c r="P252" t="s">
        <v>15</v>
      </c>
    </row>
    <row r="253" spans="1:16" x14ac:dyDescent="0.25">
      <c r="A253">
        <v>252</v>
      </c>
      <c r="B253">
        <v>202</v>
      </c>
      <c r="C253" t="s">
        <v>45</v>
      </c>
      <c r="D253" t="s">
        <v>35</v>
      </c>
      <c r="E253" t="s">
        <v>107</v>
      </c>
      <c r="F253" t="s">
        <v>19</v>
      </c>
      <c r="G253" t="s">
        <v>20</v>
      </c>
      <c r="H253" t="s">
        <v>21</v>
      </c>
      <c r="I253" t="s">
        <v>80</v>
      </c>
      <c r="J253" t="s">
        <v>23</v>
      </c>
      <c r="K253">
        <v>4506</v>
      </c>
      <c r="L253" s="4">
        <v>42.323801600000003</v>
      </c>
      <c r="M253" s="4">
        <v>-329.5066289048911</v>
      </c>
      <c r="N253" s="4">
        <v>6.0544494573073013</v>
      </c>
      <c r="O253" s="1" t="str">
        <f>HYPERLINK(".\sm_car_250419_2207\sm_car_250419_2207_252_Ca202TrN_MaMPO_ode23t_1.png","figure")</f>
        <v>figure</v>
      </c>
      <c r="P253" t="s">
        <v>15</v>
      </c>
    </row>
    <row r="254" spans="1:16" x14ac:dyDescent="0.25">
      <c r="A254">
        <v>253</v>
      </c>
      <c r="B254">
        <v>202</v>
      </c>
      <c r="C254" t="s">
        <v>45</v>
      </c>
      <c r="D254" t="s">
        <v>35</v>
      </c>
      <c r="E254" t="s">
        <v>107</v>
      </c>
      <c r="F254" t="s">
        <v>19</v>
      </c>
      <c r="G254" t="s">
        <v>20</v>
      </c>
      <c r="H254" t="s">
        <v>21</v>
      </c>
      <c r="I254" t="s">
        <v>81</v>
      </c>
      <c r="J254" t="s">
        <v>23</v>
      </c>
      <c r="K254">
        <v>1196</v>
      </c>
      <c r="L254" s="4">
        <v>11.2601982</v>
      </c>
      <c r="M254" s="4">
        <v>-13.901493675656887</v>
      </c>
      <c r="N254" s="4">
        <v>0.20543290267457337</v>
      </c>
      <c r="O254" s="1" t="str">
        <f>HYPERLINK(".\sm_car_250419_2207\sm_car_250419_2207_253_Ca202TrN_MaMCI_ode23t_1.png","figure")</f>
        <v>figure</v>
      </c>
      <c r="P254" t="s">
        <v>15</v>
      </c>
    </row>
    <row r="255" spans="1:16" x14ac:dyDescent="0.25">
      <c r="A255">
        <v>254</v>
      </c>
      <c r="B255">
        <v>202</v>
      </c>
      <c r="C255" t="s">
        <v>45</v>
      </c>
      <c r="D255" t="s">
        <v>35</v>
      </c>
      <c r="E255" t="s">
        <v>107</v>
      </c>
      <c r="F255" t="s">
        <v>19</v>
      </c>
      <c r="G255" t="s">
        <v>20</v>
      </c>
      <c r="H255" t="s">
        <v>21</v>
      </c>
      <c r="I255" t="s">
        <v>83</v>
      </c>
      <c r="J255" t="s">
        <v>23</v>
      </c>
      <c r="K255">
        <v>3575</v>
      </c>
      <c r="L255" s="4">
        <v>18.187842700000001</v>
      </c>
      <c r="M255" s="4">
        <v>-5.9989053271681065</v>
      </c>
      <c r="N255" s="4">
        <v>-7.1849127445245114E-3</v>
      </c>
      <c r="O255" s="1" t="str">
        <f>HYPERLINK(".\sm_car_250419_2207\sm_car_250419_2207_254_Ca202TrN_MaCKF_ode23t_1.png","figure")</f>
        <v>figure</v>
      </c>
      <c r="P255" t="s">
        <v>15</v>
      </c>
    </row>
    <row r="256" spans="1:16" x14ac:dyDescent="0.25">
      <c r="A256">
        <v>255</v>
      </c>
      <c r="B256">
        <v>202</v>
      </c>
      <c r="C256" t="s">
        <v>45</v>
      </c>
      <c r="D256" t="s">
        <v>35</v>
      </c>
      <c r="E256" t="s">
        <v>107</v>
      </c>
      <c r="F256" t="s">
        <v>19</v>
      </c>
      <c r="G256" t="s">
        <v>20</v>
      </c>
      <c r="H256" t="s">
        <v>21</v>
      </c>
      <c r="I256" t="s">
        <v>85</v>
      </c>
      <c r="J256" t="s">
        <v>23</v>
      </c>
      <c r="K256">
        <v>10230</v>
      </c>
      <c r="L256" s="4">
        <v>182.98060000000001</v>
      </c>
      <c r="M256" s="4">
        <v>-8.9956985246745536</v>
      </c>
      <c r="N256" s="4">
        <v>4.699266679248916E-2</v>
      </c>
      <c r="O256" s="1" t="str">
        <f>HYPERLINK(".\sm_car_250419_2207\sm_car_250419_2207_255_Ca202TrN_MaCNF_ode23t_1.png","figure")</f>
        <v>figure</v>
      </c>
      <c r="P256" t="s">
        <v>15</v>
      </c>
    </row>
    <row r="257" spans="1:16" x14ac:dyDescent="0.25">
      <c r="A257">
        <v>256</v>
      </c>
      <c r="B257">
        <v>202</v>
      </c>
      <c r="C257" t="s">
        <v>45</v>
      </c>
      <c r="D257" t="s">
        <v>35</v>
      </c>
      <c r="E257" t="s">
        <v>107</v>
      </c>
      <c r="F257" t="s">
        <v>19</v>
      </c>
      <c r="G257" t="s">
        <v>20</v>
      </c>
      <c r="H257" t="s">
        <v>21</v>
      </c>
      <c r="I257" t="s">
        <v>87</v>
      </c>
      <c r="J257" t="s">
        <v>23</v>
      </c>
      <c r="K257">
        <v>5709</v>
      </c>
      <c r="L257" s="4">
        <v>90.153856399999995</v>
      </c>
      <c r="M257" s="4">
        <v>-8.9178271830084146</v>
      </c>
      <c r="N257" s="4">
        <v>9.7677231690085371E-3</v>
      </c>
      <c r="O257" s="1" t="str">
        <f>HYPERLINK(".\sm_car_250419_2207\sm_car_250419_2207_256_Ca202TrN_MaCSF_ode23t_1.png","figure")</f>
        <v>figure</v>
      </c>
      <c r="P257" t="s">
        <v>15</v>
      </c>
    </row>
    <row r="258" spans="1:16" x14ac:dyDescent="0.25">
      <c r="A258">
        <v>257</v>
      </c>
      <c r="B258">
        <v>202</v>
      </c>
      <c r="C258" t="s">
        <v>45</v>
      </c>
      <c r="D258" t="s">
        <v>35</v>
      </c>
      <c r="E258" t="s">
        <v>107</v>
      </c>
      <c r="F258" t="s">
        <v>19</v>
      </c>
      <c r="G258" t="s">
        <v>20</v>
      </c>
      <c r="H258" t="s">
        <v>21</v>
      </c>
      <c r="I258" t="s">
        <v>78</v>
      </c>
      <c r="J258" t="s">
        <v>23</v>
      </c>
      <c r="K258">
        <v>5532</v>
      </c>
      <c r="L258" s="4">
        <v>37.4606244</v>
      </c>
      <c r="M258" s="4">
        <v>-5.9995357630498107</v>
      </c>
      <c r="N258" s="4">
        <v>2.9709441786595881E-3</v>
      </c>
      <c r="O258" s="1" t="str">
        <f>HYPERLINK(".\sm_car_250419_2207\sm_car_250419_2207_257_Ca202TrN_MaCMP_ode23t_1.png","figure")</f>
        <v>figure</v>
      </c>
      <c r="P258" t="s">
        <v>15</v>
      </c>
    </row>
    <row r="259" spans="1:16" x14ac:dyDescent="0.25">
      <c r="A259">
        <v>258</v>
      </c>
      <c r="B259">
        <v>202</v>
      </c>
      <c r="C259" t="s">
        <v>45</v>
      </c>
      <c r="D259" t="s">
        <v>35</v>
      </c>
      <c r="E259" t="s">
        <v>107</v>
      </c>
      <c r="F259" t="s">
        <v>19</v>
      </c>
      <c r="G259" t="s">
        <v>20</v>
      </c>
      <c r="H259" t="s">
        <v>21</v>
      </c>
      <c r="I259" t="s">
        <v>82</v>
      </c>
      <c r="J259" t="s">
        <v>23</v>
      </c>
      <c r="K259">
        <v>14979</v>
      </c>
      <c r="L259" s="4">
        <v>103.8530423</v>
      </c>
      <c r="M259" s="4">
        <v>-5.999016039364677</v>
      </c>
      <c r="N259" s="4">
        <v>-8.8735801033929893E-3</v>
      </c>
      <c r="O259" s="1" t="str">
        <f>HYPERLINK(".\sm_car_250419_2207\sm_car_250419_2207_258_Ca202TrN_MaCKY_ode23t_1.png","figure")</f>
        <v>figure</v>
      </c>
      <c r="P259" t="s">
        <v>15</v>
      </c>
    </row>
    <row r="260" spans="1:16" x14ac:dyDescent="0.25">
      <c r="A260">
        <v>259</v>
      </c>
      <c r="B260">
        <v>202</v>
      </c>
      <c r="C260" t="s">
        <v>45</v>
      </c>
      <c r="D260" t="s">
        <v>35</v>
      </c>
      <c r="E260" t="s">
        <v>107</v>
      </c>
      <c r="F260" t="s">
        <v>19</v>
      </c>
      <c r="G260" t="s">
        <v>20</v>
      </c>
      <c r="H260" t="s">
        <v>21</v>
      </c>
      <c r="I260" t="s">
        <v>75</v>
      </c>
      <c r="J260" t="s">
        <v>23</v>
      </c>
      <c r="K260">
        <v>454</v>
      </c>
      <c r="L260" s="4">
        <v>4.5730870000000001</v>
      </c>
      <c r="M260" s="4">
        <v>381.37278207713604</v>
      </c>
      <c r="N260" s="4">
        <v>0.32873488124669442</v>
      </c>
      <c r="O260" s="1" t="str">
        <f>HYPERLINK(".\sm_car_250419_2207\sm_car_250419_2207_259_Ca202TrN_MaCPL_ode23t_1.png","figure")</f>
        <v>figure</v>
      </c>
      <c r="P260" t="s">
        <v>15</v>
      </c>
    </row>
    <row r="261" spans="1:16" x14ac:dyDescent="0.25">
      <c r="A261">
        <v>260</v>
      </c>
      <c r="B261">
        <v>140</v>
      </c>
      <c r="C261" t="s">
        <v>45</v>
      </c>
      <c r="D261" t="s">
        <v>17</v>
      </c>
      <c r="E261" t="s">
        <v>49</v>
      </c>
      <c r="F261" t="s">
        <v>19</v>
      </c>
      <c r="G261" t="s">
        <v>26</v>
      </c>
      <c r="H261" t="s">
        <v>21</v>
      </c>
      <c r="I261" t="s">
        <v>112</v>
      </c>
      <c r="J261" t="s">
        <v>23</v>
      </c>
      <c r="K261">
        <v>2699</v>
      </c>
      <c r="L261" s="4">
        <v>71.987394100000003</v>
      </c>
      <c r="M261" s="4">
        <v>176.28547745991332</v>
      </c>
      <c r="N261" s="4">
        <v>7.173691303290771E-4</v>
      </c>
      <c r="O261" s="1" t="str">
        <f>HYPERLINK(".\sm_car_250419_2207\sm_car_250419_2207_260_Ca140TrN_MaCRR_ode23t_1.png","figure")</f>
        <v>figure</v>
      </c>
      <c r="P261" t="s">
        <v>15</v>
      </c>
    </row>
    <row r="262" spans="1:16" x14ac:dyDescent="0.25">
      <c r="A262">
        <v>261</v>
      </c>
      <c r="B262">
        <v>189</v>
      </c>
      <c r="C262" t="s">
        <v>45</v>
      </c>
      <c r="D262" t="s">
        <v>17</v>
      </c>
      <c r="E262" t="s">
        <v>107</v>
      </c>
      <c r="F262" t="s">
        <v>19</v>
      </c>
      <c r="G262" t="s">
        <v>26</v>
      </c>
      <c r="H262" t="s">
        <v>21</v>
      </c>
      <c r="I262" t="s">
        <v>112</v>
      </c>
      <c r="J262" t="s">
        <v>23</v>
      </c>
      <c r="K262">
        <v>3388</v>
      </c>
      <c r="L262" s="4">
        <v>70.850644099999997</v>
      </c>
      <c r="M262" s="4">
        <v>176.34291378424118</v>
      </c>
      <c r="N262" s="4">
        <v>7.5577343098357961E-4</v>
      </c>
      <c r="O262" s="1" t="str">
        <f>HYPERLINK(".\sm_car_250419_2207\sm_car_250419_2207_261_Ca189TrN_MaCRR_ode23t_1.png","figure")</f>
        <v>figure</v>
      </c>
      <c r="P262" t="s">
        <v>15</v>
      </c>
    </row>
    <row r="263" spans="1:16" x14ac:dyDescent="0.25">
      <c r="A263">
        <v>262</v>
      </c>
      <c r="B263">
        <v>173</v>
      </c>
      <c r="C263" t="s">
        <v>45</v>
      </c>
      <c r="D263" t="s">
        <v>35</v>
      </c>
      <c r="E263" t="s">
        <v>49</v>
      </c>
      <c r="F263" t="s">
        <v>19</v>
      </c>
      <c r="G263" t="s">
        <v>90</v>
      </c>
      <c r="H263" t="s">
        <v>21</v>
      </c>
      <c r="I263" t="s">
        <v>91</v>
      </c>
      <c r="J263" t="s">
        <v>92</v>
      </c>
      <c r="K263">
        <v>1705</v>
      </c>
      <c r="L263" s="4">
        <v>124.8942059</v>
      </c>
      <c r="M263" s="4">
        <v>51.29969989311563</v>
      </c>
      <c r="N263" s="4">
        <v>9.0084871657182888E-3</v>
      </c>
      <c r="O263" s="1" t="str">
        <f>HYPERLINK(".\sm_car_250419_2207\sm_car_250419_2207_262_Ca173TrN_MaDCA_daessc_1.png","figure")</f>
        <v>figure</v>
      </c>
      <c r="P263" t="s">
        <v>15</v>
      </c>
    </row>
    <row r="264" spans="1:16" x14ac:dyDescent="0.25">
      <c r="A264">
        <v>263</v>
      </c>
      <c r="B264">
        <v>173</v>
      </c>
      <c r="C264" t="s">
        <v>45</v>
      </c>
      <c r="D264" t="s">
        <v>35</v>
      </c>
      <c r="E264" t="s">
        <v>49</v>
      </c>
      <c r="F264" t="s">
        <v>19</v>
      </c>
      <c r="G264" t="s">
        <v>90</v>
      </c>
      <c r="H264" t="s">
        <v>21</v>
      </c>
      <c r="I264" t="s">
        <v>93</v>
      </c>
      <c r="J264" t="s">
        <v>92</v>
      </c>
      <c r="K264">
        <v>4173</v>
      </c>
      <c r="L264" s="4">
        <v>194.36140140000001</v>
      </c>
      <c r="M264" s="4">
        <v>980.46509060801918</v>
      </c>
      <c r="N264" s="4">
        <v>0.72218158425866508</v>
      </c>
      <c r="O264" s="1" t="str">
        <f>HYPERLINK(".\sm_car_250419_2207\sm_car_250419_2207_263_Ca173TrN_MaDC1_daessc_1.png","figure")</f>
        <v>figure</v>
      </c>
      <c r="P264" t="s">
        <v>15</v>
      </c>
    </row>
    <row r="265" spans="1:16" x14ac:dyDescent="0.25">
      <c r="A265">
        <v>264</v>
      </c>
      <c r="B265">
        <v>165</v>
      </c>
      <c r="C265" t="s">
        <v>45</v>
      </c>
      <c r="D265" t="s">
        <v>35</v>
      </c>
      <c r="E265" t="s">
        <v>49</v>
      </c>
      <c r="F265" t="s">
        <v>19</v>
      </c>
      <c r="G265" t="s">
        <v>26</v>
      </c>
      <c r="H265" t="s">
        <v>21</v>
      </c>
      <c r="I265" t="s">
        <v>91</v>
      </c>
      <c r="J265" t="s">
        <v>23</v>
      </c>
      <c r="K265">
        <v>323</v>
      </c>
      <c r="L265" s="4">
        <v>4.7261870000000004</v>
      </c>
      <c r="M265" s="4">
        <v>53.509311865628931</v>
      </c>
      <c r="N265" s="4">
        <v>9.7596015899140444E-3</v>
      </c>
      <c r="O265" s="1" t="str">
        <f>HYPERLINK(".\sm_car_250419_2207\sm_car_250419_2207_264_Ca165TrN_MaDCA_ode23t_1.png","figure")</f>
        <v>figure</v>
      </c>
      <c r="P265" t="s">
        <v>15</v>
      </c>
    </row>
    <row r="266" spans="1:16" x14ac:dyDescent="0.25">
      <c r="A266">
        <v>265</v>
      </c>
      <c r="B266">
        <v>165</v>
      </c>
      <c r="C266" t="s">
        <v>45</v>
      </c>
      <c r="D266" t="s">
        <v>35</v>
      </c>
      <c r="E266" t="s">
        <v>49</v>
      </c>
      <c r="F266" t="s">
        <v>19</v>
      </c>
      <c r="G266" t="s">
        <v>26</v>
      </c>
      <c r="H266" t="s">
        <v>21</v>
      </c>
      <c r="I266" t="s">
        <v>93</v>
      </c>
      <c r="J266" t="s">
        <v>23</v>
      </c>
      <c r="K266">
        <v>1191</v>
      </c>
      <c r="L266" s="4">
        <v>10.842033600000001</v>
      </c>
      <c r="M266" s="4">
        <v>992.65310803800003</v>
      </c>
      <c r="N266" s="4">
        <v>0.82052929736214353</v>
      </c>
      <c r="O266" s="1" t="str">
        <f>HYPERLINK(".\sm_car_250419_2207\sm_car_250419_2207_265_Ca165TrN_MaDC1_ode23t_1.png","figure")</f>
        <v>figure</v>
      </c>
      <c r="P266" t="s">
        <v>15</v>
      </c>
    </row>
    <row r="267" spans="1:16" x14ac:dyDescent="0.25">
      <c r="A267">
        <v>266</v>
      </c>
      <c r="B267">
        <v>196</v>
      </c>
      <c r="C267" t="s">
        <v>45</v>
      </c>
      <c r="D267" t="s">
        <v>35</v>
      </c>
      <c r="E267" t="s">
        <v>107</v>
      </c>
      <c r="F267" t="s">
        <v>19</v>
      </c>
      <c r="G267" t="s">
        <v>90</v>
      </c>
      <c r="H267" t="s">
        <v>21</v>
      </c>
      <c r="I267" t="s">
        <v>93</v>
      </c>
      <c r="J267" t="s">
        <v>92</v>
      </c>
      <c r="K267">
        <v>4063</v>
      </c>
      <c r="L267" s="4">
        <v>88.577934499999998</v>
      </c>
      <c r="M267" s="4">
        <v>980.46133388012947</v>
      </c>
      <c r="N267" s="4">
        <v>0.72246067929279867</v>
      </c>
      <c r="O267" s="1" t="str">
        <f>HYPERLINK(".\sm_car_250419_2207\sm_car_250419_2207_266_Ca196TrN_MaDC1_daessc_1.png","figure")</f>
        <v>figure</v>
      </c>
      <c r="P267" t="s">
        <v>15</v>
      </c>
    </row>
    <row r="268" spans="1:16" x14ac:dyDescent="0.25">
      <c r="A268">
        <v>267</v>
      </c>
      <c r="B268">
        <v>179</v>
      </c>
      <c r="C268" t="s">
        <v>45</v>
      </c>
      <c r="D268" t="s">
        <v>57</v>
      </c>
      <c r="E268" t="s">
        <v>18</v>
      </c>
      <c r="F268" t="s">
        <v>19</v>
      </c>
      <c r="G268" t="s">
        <v>26</v>
      </c>
      <c r="H268" t="s">
        <v>21</v>
      </c>
      <c r="I268" t="s">
        <v>22</v>
      </c>
      <c r="J268" t="s">
        <v>23</v>
      </c>
      <c r="K268">
        <v>495</v>
      </c>
      <c r="L268" s="4">
        <v>7.8815318000000003</v>
      </c>
      <c r="M268" s="4">
        <v>147.84779397578592</v>
      </c>
      <c r="N268" s="4">
        <v>9.3717152637228213E-2</v>
      </c>
      <c r="O268" s="1" t="str">
        <f>HYPERLINK(".\sm_car_250419_2207\sm_car_250419_2207_267_Ca179TrN_MaWOT_ode23t_1.png","figure")</f>
        <v>figure</v>
      </c>
      <c r="P268" t="s">
        <v>15</v>
      </c>
    </row>
    <row r="269" spans="1:16" x14ac:dyDescent="0.25">
      <c r="A269">
        <v>268</v>
      </c>
      <c r="B269">
        <v>180</v>
      </c>
      <c r="C269" t="s">
        <v>45</v>
      </c>
      <c r="D269" t="s">
        <v>57</v>
      </c>
      <c r="E269" t="s">
        <v>49</v>
      </c>
      <c r="F269" t="s">
        <v>19</v>
      </c>
      <c r="G269" t="s">
        <v>26</v>
      </c>
      <c r="H269" t="s">
        <v>21</v>
      </c>
      <c r="I269" t="s">
        <v>22</v>
      </c>
      <c r="J269" t="s">
        <v>23</v>
      </c>
      <c r="K269">
        <v>507</v>
      </c>
      <c r="L269" s="4">
        <v>10.295701299999999</v>
      </c>
      <c r="M269" s="4">
        <v>147.83047104296492</v>
      </c>
      <c r="N269" s="4">
        <v>9.4430558969068254E-2</v>
      </c>
      <c r="O269" s="1" t="str">
        <f>HYPERLINK(".\sm_car_250419_2207\sm_car_250419_2207_268_Ca180TrN_MaWOT_ode23t_1.png","figure")</f>
        <v>figure</v>
      </c>
      <c r="P269" t="s">
        <v>15</v>
      </c>
    </row>
    <row r="270" spans="1:16" x14ac:dyDescent="0.25">
      <c r="A270">
        <v>269</v>
      </c>
      <c r="B270">
        <v>197</v>
      </c>
      <c r="C270" t="s">
        <v>45</v>
      </c>
      <c r="D270" t="s">
        <v>57</v>
      </c>
      <c r="E270" t="s">
        <v>107</v>
      </c>
      <c r="F270" t="s">
        <v>19</v>
      </c>
      <c r="G270" t="s">
        <v>26</v>
      </c>
      <c r="H270" t="s">
        <v>21</v>
      </c>
      <c r="I270" t="s">
        <v>22</v>
      </c>
      <c r="J270" t="s">
        <v>23</v>
      </c>
      <c r="K270">
        <v>470</v>
      </c>
      <c r="L270" s="4">
        <v>3.1896301</v>
      </c>
      <c r="M270" s="4">
        <v>147.85949824461082</v>
      </c>
      <c r="N270" s="4">
        <v>9.4533006765711788E-2</v>
      </c>
      <c r="O270" s="1" t="str">
        <f>HYPERLINK(".\sm_car_250419_2207\sm_car_250419_2207_269_Ca197TrN_MaWOT_ode23t_1.png","figure")</f>
        <v>figure</v>
      </c>
      <c r="P270" t="s">
        <v>15</v>
      </c>
    </row>
    <row r="271" spans="1:16" x14ac:dyDescent="0.25">
      <c r="A271">
        <v>270</v>
      </c>
      <c r="B271">
        <v>182</v>
      </c>
      <c r="C271" t="s">
        <v>45</v>
      </c>
      <c r="D271" t="s">
        <v>17</v>
      </c>
      <c r="E271" t="s">
        <v>49</v>
      </c>
      <c r="F271" t="s">
        <v>19</v>
      </c>
      <c r="G271" t="s">
        <v>26</v>
      </c>
      <c r="H271" t="s">
        <v>21</v>
      </c>
      <c r="I271" t="s">
        <v>64</v>
      </c>
      <c r="J271" t="s">
        <v>23</v>
      </c>
      <c r="K271">
        <v>417</v>
      </c>
      <c r="L271" s="4">
        <v>19.909867500000001</v>
      </c>
      <c r="M271" s="4">
        <v>62.249197046426687</v>
      </c>
      <c r="N271" s="4">
        <v>-24.544153278226606</v>
      </c>
      <c r="O271" s="1" t="str">
        <f>HYPERLINK(".\sm_car_250419_2207\sm_car_250419_2207_270_Ca182TrN_MaTUR_ode23t_1.png","figure")</f>
        <v>figure</v>
      </c>
      <c r="P271" t="s">
        <v>15</v>
      </c>
    </row>
    <row r="272" spans="1:16" x14ac:dyDescent="0.25">
      <c r="A272">
        <v>271</v>
      </c>
      <c r="B272">
        <v>203</v>
      </c>
      <c r="C272" t="s">
        <v>45</v>
      </c>
      <c r="D272" t="s">
        <v>17</v>
      </c>
      <c r="E272" t="s">
        <v>107</v>
      </c>
      <c r="F272" t="s">
        <v>19</v>
      </c>
      <c r="G272" t="s">
        <v>26</v>
      </c>
      <c r="H272" t="s">
        <v>21</v>
      </c>
      <c r="I272" t="s">
        <v>64</v>
      </c>
      <c r="J272" t="s">
        <v>23</v>
      </c>
      <c r="K272">
        <v>373</v>
      </c>
      <c r="L272" s="4">
        <v>7.1913660999999998</v>
      </c>
      <c r="M272" s="4">
        <v>62.262373327398265</v>
      </c>
      <c r="N272" s="4">
        <v>-24.563830707094663</v>
      </c>
      <c r="O272" s="1" t="str">
        <f>HYPERLINK(".\sm_car_250419_2207\sm_car_250419_2207_271_Ca203TrN_MaTUR_ode23t_1.png","figure")</f>
        <v>figure</v>
      </c>
      <c r="P272" t="s">
        <v>15</v>
      </c>
    </row>
    <row r="273" spans="1:16" x14ac:dyDescent="0.25">
      <c r="A273">
        <v>272</v>
      </c>
      <c r="B273">
        <v>185</v>
      </c>
      <c r="C273" t="s">
        <v>45</v>
      </c>
      <c r="D273" t="s">
        <v>17</v>
      </c>
      <c r="E273" t="s">
        <v>18</v>
      </c>
      <c r="F273" t="s">
        <v>19</v>
      </c>
      <c r="G273" t="s">
        <v>26</v>
      </c>
      <c r="H273" t="s">
        <v>21</v>
      </c>
      <c r="I273" t="s">
        <v>64</v>
      </c>
      <c r="J273" t="s">
        <v>23</v>
      </c>
      <c r="K273">
        <v>520</v>
      </c>
      <c r="L273" s="4">
        <v>33.425109999999997</v>
      </c>
      <c r="M273" s="4">
        <v>112.70228303630749</v>
      </c>
      <c r="N273" s="4">
        <v>-79.235909801351013</v>
      </c>
      <c r="O273" s="1" t="str">
        <f>HYPERLINK(".\sm_car_250419_2207\sm_car_250419_2207_272_Ca185TrN_MaTUR_ode23t_1.png","figure")</f>
        <v>figure</v>
      </c>
      <c r="P273" t="s">
        <v>15</v>
      </c>
    </row>
    <row r="274" spans="1:16" x14ac:dyDescent="0.25">
      <c r="A274">
        <v>273</v>
      </c>
      <c r="B274">
        <v>188</v>
      </c>
      <c r="C274" t="s">
        <v>45</v>
      </c>
      <c r="D274" t="s">
        <v>113</v>
      </c>
      <c r="E274" t="s">
        <v>49</v>
      </c>
      <c r="F274" t="s">
        <v>19</v>
      </c>
      <c r="G274" t="s">
        <v>26</v>
      </c>
      <c r="H274" t="s">
        <v>21</v>
      </c>
      <c r="I274" t="s">
        <v>64</v>
      </c>
      <c r="J274" t="s">
        <v>23</v>
      </c>
      <c r="K274">
        <v>554</v>
      </c>
      <c r="L274" s="4">
        <v>11.7101978</v>
      </c>
      <c r="M274" s="4">
        <v>140.63855783100419</v>
      </c>
      <c r="N274" s="4">
        <v>-71.768103942223306</v>
      </c>
      <c r="O274" s="1" t="str">
        <f>HYPERLINK(".\sm_car_250419_2207\sm_car_250419_2207_273_Ca188TrN_MaTUR_ode23t_1.png","figure")</f>
        <v>figure</v>
      </c>
      <c r="P274" t="s">
        <v>15</v>
      </c>
    </row>
    <row r="275" spans="1:16" x14ac:dyDescent="0.25">
      <c r="A275">
        <v>274</v>
      </c>
      <c r="B275" t="s">
        <v>94</v>
      </c>
      <c r="C275" t="s">
        <v>95</v>
      </c>
      <c r="D275" t="s">
        <v>35</v>
      </c>
      <c r="E275" t="s">
        <v>18</v>
      </c>
      <c r="F275" t="s">
        <v>19</v>
      </c>
      <c r="G275" t="s">
        <v>96</v>
      </c>
      <c r="H275" t="s">
        <v>21</v>
      </c>
      <c r="I275" t="s">
        <v>22</v>
      </c>
      <c r="J275" t="s">
        <v>23</v>
      </c>
      <c r="K275">
        <v>438</v>
      </c>
      <c r="L275" s="4">
        <v>21.1640604</v>
      </c>
      <c r="M275" s="4">
        <v>79.219542366997288</v>
      </c>
      <c r="N275" s="4">
        <v>-0.33383675790894024</v>
      </c>
      <c r="O275" s="1" t="str">
        <f>HYPERLINK(".\sm_car_250419_2207\sm_car_Axle3_250419_2207_274_CaAxle3_000TrN_MaWOT_ode23t_1.png","figure")</f>
        <v>figure</v>
      </c>
      <c r="P275" t="s">
        <v>15</v>
      </c>
    </row>
    <row r="276" spans="1:16" x14ac:dyDescent="0.25">
      <c r="A276">
        <v>275</v>
      </c>
      <c r="B276" t="s">
        <v>99</v>
      </c>
      <c r="C276" t="s">
        <v>100</v>
      </c>
      <c r="D276" t="s">
        <v>35</v>
      </c>
      <c r="E276" t="s">
        <v>18</v>
      </c>
      <c r="F276" t="s">
        <v>19</v>
      </c>
      <c r="G276" t="s">
        <v>96</v>
      </c>
      <c r="H276" t="s">
        <v>21</v>
      </c>
      <c r="I276" t="s">
        <v>22</v>
      </c>
      <c r="J276" t="s">
        <v>23</v>
      </c>
      <c r="K276">
        <v>487</v>
      </c>
      <c r="L276" s="4">
        <v>21.292232800000001</v>
      </c>
      <c r="M276" s="4">
        <v>69.133313649995529</v>
      </c>
      <c r="N276" s="4">
        <v>8.3860709307431475E-2</v>
      </c>
      <c r="O276" s="1" t="str">
        <f>HYPERLINK(".\sm_car_250419_2207\sm_car_Axle3_250419_2207_275_CaAxle3_008TrN_MaWOT_ode23t_1.png","figure")</f>
        <v>figure</v>
      </c>
      <c r="P276" t="s">
        <v>15</v>
      </c>
    </row>
    <row r="277" spans="1:16" x14ac:dyDescent="0.25">
      <c r="A277">
        <v>276</v>
      </c>
      <c r="B277" t="s">
        <v>97</v>
      </c>
      <c r="C277" t="s">
        <v>95</v>
      </c>
      <c r="D277" t="s">
        <v>35</v>
      </c>
      <c r="E277" t="s">
        <v>49</v>
      </c>
      <c r="F277" t="s">
        <v>19</v>
      </c>
      <c r="G277" t="s">
        <v>98</v>
      </c>
      <c r="H277" t="s">
        <v>21</v>
      </c>
      <c r="I277" t="s">
        <v>22</v>
      </c>
      <c r="J277" t="s">
        <v>23</v>
      </c>
      <c r="K277">
        <v>426</v>
      </c>
      <c r="L277" s="4">
        <v>18.194171499999999</v>
      </c>
      <c r="M277" s="4">
        <v>79.26753082601013</v>
      </c>
      <c r="N277" s="4">
        <v>-0.31346583892466412</v>
      </c>
      <c r="O277" s="1" t="str">
        <f>HYPERLINK(".\sm_car_250419_2207\sm_car_Axle3_250419_2207_276_CaAxle3_003TrN_MaWOT_ode23t_1.png","figure")</f>
        <v>figure</v>
      </c>
      <c r="P277" t="s">
        <v>15</v>
      </c>
    </row>
    <row r="278" spans="1:16" x14ac:dyDescent="0.25">
      <c r="A278">
        <v>277</v>
      </c>
      <c r="B278" t="s">
        <v>114</v>
      </c>
      <c r="C278" t="s">
        <v>95</v>
      </c>
      <c r="D278" t="s">
        <v>35</v>
      </c>
      <c r="E278" t="s">
        <v>107</v>
      </c>
      <c r="F278" t="s">
        <v>19</v>
      </c>
      <c r="G278" t="s">
        <v>98</v>
      </c>
      <c r="H278" t="s">
        <v>21</v>
      </c>
      <c r="I278" t="s">
        <v>22</v>
      </c>
      <c r="J278" t="s">
        <v>23</v>
      </c>
      <c r="K278">
        <v>438</v>
      </c>
      <c r="L278" s="4">
        <v>3.0285057000000002</v>
      </c>
      <c r="M278" s="4">
        <v>80.149536181477046</v>
      </c>
      <c r="N278" s="4">
        <v>-0.31965340500242301</v>
      </c>
      <c r="O278" s="1" t="str">
        <f>HYPERLINK(".\sm_car_250419_2207\sm_car_Axle3_250419_2207_277_CaAxle3_017TrN_MaWOT_ode23t_1.png","figure")</f>
        <v>figure</v>
      </c>
      <c r="P278" t="s">
        <v>15</v>
      </c>
    </row>
    <row r="279" spans="1:16" x14ac:dyDescent="0.25">
      <c r="A279">
        <v>278</v>
      </c>
      <c r="B279" t="s">
        <v>101</v>
      </c>
      <c r="C279" t="s">
        <v>100</v>
      </c>
      <c r="D279" t="s">
        <v>35</v>
      </c>
      <c r="E279" t="s">
        <v>49</v>
      </c>
      <c r="F279" t="s">
        <v>19</v>
      </c>
      <c r="G279" t="s">
        <v>96</v>
      </c>
      <c r="H279" t="s">
        <v>102</v>
      </c>
      <c r="I279" t="s">
        <v>22</v>
      </c>
      <c r="J279" t="s">
        <v>23</v>
      </c>
      <c r="K279">
        <v>381</v>
      </c>
      <c r="L279" s="4">
        <v>44.003376600000003</v>
      </c>
      <c r="M279" s="4">
        <v>23.326633334071634</v>
      </c>
      <c r="N279" s="4">
        <v>2.482448620714596E-3</v>
      </c>
      <c r="O279" s="1" t="str">
        <f>HYPERLINK(".\sm_car_250419_2207\sm_car_Axle3_250419_2207_278_CaAxle3_010TrK_MaWOT_ode23t_1.png","figure")</f>
        <v>figure</v>
      </c>
      <c r="P279" t="s">
        <v>15</v>
      </c>
    </row>
    <row r="280" spans="1:16" x14ac:dyDescent="0.25">
      <c r="A280">
        <v>279</v>
      </c>
      <c r="B280" t="s">
        <v>101</v>
      </c>
      <c r="C280" t="s">
        <v>100</v>
      </c>
      <c r="D280" t="s">
        <v>35</v>
      </c>
      <c r="E280" t="s">
        <v>49</v>
      </c>
      <c r="F280" t="s">
        <v>19</v>
      </c>
      <c r="G280" t="s">
        <v>96</v>
      </c>
      <c r="H280" t="s">
        <v>102</v>
      </c>
      <c r="I280" t="s">
        <v>22</v>
      </c>
      <c r="J280" t="s">
        <v>23</v>
      </c>
      <c r="K280">
        <v>402</v>
      </c>
      <c r="L280" s="4">
        <v>44.612642700000002</v>
      </c>
      <c r="M280" s="4">
        <v>23.441148459771718</v>
      </c>
      <c r="N280" s="4">
        <v>2.5318340812336311E-3</v>
      </c>
      <c r="O280" s="1" t="str">
        <f>HYPERLINK(".\sm_car_250419_2207\sm_car_Axle3_250419_2207_279_CaAxle3_010TrK_MaWOT_ode23t_1.png","figure")</f>
        <v>figure</v>
      </c>
      <c r="P280" t="s">
        <v>15</v>
      </c>
    </row>
    <row r="281" spans="1:16" x14ac:dyDescent="0.25">
      <c r="A281">
        <v>280</v>
      </c>
      <c r="B281" t="s">
        <v>115</v>
      </c>
      <c r="C281" t="s">
        <v>100</v>
      </c>
      <c r="D281" t="s">
        <v>35</v>
      </c>
      <c r="E281" t="s">
        <v>107</v>
      </c>
      <c r="F281" t="s">
        <v>19</v>
      </c>
      <c r="G281" t="s">
        <v>96</v>
      </c>
      <c r="H281" t="s">
        <v>102</v>
      </c>
      <c r="I281" t="s">
        <v>22</v>
      </c>
      <c r="J281" t="s">
        <v>23</v>
      </c>
      <c r="K281">
        <v>395</v>
      </c>
      <c r="L281" s="4">
        <v>3.3582998000000002</v>
      </c>
      <c r="M281" s="4">
        <v>26.915019489578448</v>
      </c>
      <c r="N281" s="4">
        <v>3.6189029850846564E-3</v>
      </c>
      <c r="O281" s="1" t="str">
        <f>HYPERLINK(".\sm_car_250419_2207\sm_car_Axle3_250419_2207_280_CaAxle3_019TrK_MaWOT_ode23t_1.png","figure")</f>
        <v>figure</v>
      </c>
      <c r="P281" t="s">
        <v>15</v>
      </c>
    </row>
    <row r="282" spans="1:16" x14ac:dyDescent="0.25">
      <c r="A282">
        <v>281</v>
      </c>
      <c r="B282" t="s">
        <v>115</v>
      </c>
      <c r="C282" t="s">
        <v>100</v>
      </c>
      <c r="D282" t="s">
        <v>35</v>
      </c>
      <c r="E282" t="s">
        <v>107</v>
      </c>
      <c r="F282" t="s">
        <v>19</v>
      </c>
      <c r="G282" t="s">
        <v>96</v>
      </c>
      <c r="H282" t="s">
        <v>102</v>
      </c>
      <c r="I282" t="s">
        <v>22</v>
      </c>
      <c r="J282" t="s">
        <v>23</v>
      </c>
      <c r="K282">
        <v>396</v>
      </c>
      <c r="L282" s="4">
        <v>3.5439555</v>
      </c>
      <c r="M282" s="4">
        <v>26.904162930992729</v>
      </c>
      <c r="N282" s="4">
        <v>3.6114704161807551E-3</v>
      </c>
      <c r="O282" s="1" t="str">
        <f>HYPERLINK(".\sm_car_250419_2207\sm_car_Axle3_250419_2207_281_CaAxle3_019TrK_MaWOT_ode23t_1.png","figure")</f>
        <v>figure</v>
      </c>
      <c r="P282" t="s">
        <v>15</v>
      </c>
    </row>
    <row r="283" spans="1:16" x14ac:dyDescent="0.25">
      <c r="A283">
        <v>282</v>
      </c>
      <c r="B283" t="s">
        <v>103</v>
      </c>
      <c r="C283" t="s">
        <v>100</v>
      </c>
      <c r="D283" t="s">
        <v>35</v>
      </c>
      <c r="E283" t="s">
        <v>18</v>
      </c>
      <c r="F283" t="s">
        <v>19</v>
      </c>
      <c r="G283" t="s">
        <v>104</v>
      </c>
      <c r="H283" t="s">
        <v>102</v>
      </c>
      <c r="I283" t="s">
        <v>53</v>
      </c>
      <c r="J283" t="s">
        <v>23</v>
      </c>
      <c r="K283">
        <v>663</v>
      </c>
      <c r="L283" s="4">
        <v>27.677014199999999</v>
      </c>
      <c r="M283" s="4">
        <v>253.95878232049773</v>
      </c>
      <c r="N283" s="4">
        <v>-9.9958816012510887E-2</v>
      </c>
      <c r="O283" s="1" t="str">
        <f>HYPERLINK(".\sm_car_250419_2207\sm_car_Axle3_250419_2207_282_CaAxle3_012TrK_MaDLC_ode23t_1.png","figure")</f>
        <v>figure</v>
      </c>
      <c r="P283" t="s">
        <v>15</v>
      </c>
    </row>
    <row r="284" spans="1:16" x14ac:dyDescent="0.25">
      <c r="A284">
        <v>283</v>
      </c>
      <c r="B284" t="s">
        <v>103</v>
      </c>
      <c r="C284" t="s">
        <v>100</v>
      </c>
      <c r="D284" t="s">
        <v>35</v>
      </c>
      <c r="E284" t="s">
        <v>18</v>
      </c>
      <c r="F284" t="s">
        <v>19</v>
      </c>
      <c r="G284" t="s">
        <v>104</v>
      </c>
      <c r="H284" t="s">
        <v>102</v>
      </c>
      <c r="I284" t="s">
        <v>53</v>
      </c>
      <c r="J284" t="s">
        <v>23</v>
      </c>
      <c r="K284">
        <v>769</v>
      </c>
      <c r="L284" s="4">
        <v>30.059247200000001</v>
      </c>
      <c r="M284" s="4">
        <v>253.5688935728499</v>
      </c>
      <c r="N284" s="4">
        <v>-9.6783399433148176E-2</v>
      </c>
      <c r="O284" s="1" t="str">
        <f>HYPERLINK(".\sm_car_250419_2207\sm_car_Axle3_250419_2207_283_CaAxle3_012TrK_MaDLC_ode23t_1.png","figure")</f>
        <v>figure</v>
      </c>
      <c r="P284" t="s">
        <v>15</v>
      </c>
    </row>
    <row r="285" spans="1:16" x14ac:dyDescent="0.25">
      <c r="A285">
        <v>284</v>
      </c>
      <c r="B285" t="s">
        <v>103</v>
      </c>
      <c r="C285" t="s">
        <v>100</v>
      </c>
      <c r="D285" t="s">
        <v>35</v>
      </c>
      <c r="E285" t="s">
        <v>18</v>
      </c>
      <c r="F285" t="s">
        <v>19</v>
      </c>
      <c r="G285" t="s">
        <v>104</v>
      </c>
      <c r="H285" t="s">
        <v>102</v>
      </c>
      <c r="I285" t="s">
        <v>53</v>
      </c>
      <c r="J285" t="s">
        <v>23</v>
      </c>
      <c r="K285">
        <v>681</v>
      </c>
      <c r="L285" s="4">
        <v>27.069614099999999</v>
      </c>
      <c r="M285" s="4">
        <v>254.37572263431355</v>
      </c>
      <c r="N285" s="4">
        <v>-0.10082001253490702</v>
      </c>
      <c r="O285" s="1" t="str">
        <f>HYPERLINK(".\sm_car_250419_2207\sm_car_Axle3_250419_2207_284_CaAxle3_012TrK_MaDLC_ode23t_1.png","figure")</f>
        <v>figure</v>
      </c>
      <c r="P285" t="s">
        <v>15</v>
      </c>
    </row>
    <row r="286" spans="1:16" x14ac:dyDescent="0.25">
      <c r="A286">
        <v>285</v>
      </c>
      <c r="B286" t="s">
        <v>103</v>
      </c>
      <c r="C286" t="s">
        <v>100</v>
      </c>
      <c r="D286" t="s">
        <v>35</v>
      </c>
      <c r="E286" t="s">
        <v>18</v>
      </c>
      <c r="F286" t="s">
        <v>19</v>
      </c>
      <c r="G286" t="s">
        <v>104</v>
      </c>
      <c r="H286" t="s">
        <v>102</v>
      </c>
      <c r="I286" t="s">
        <v>53</v>
      </c>
      <c r="J286" t="s">
        <v>23</v>
      </c>
      <c r="K286">
        <v>934</v>
      </c>
      <c r="L286" s="4">
        <v>34.465581700000001</v>
      </c>
      <c r="M286" s="4">
        <v>253.31665453088931</v>
      </c>
      <c r="N286" s="4">
        <v>-8.922240167348594E-2</v>
      </c>
      <c r="O286" s="1" t="str">
        <f>HYPERLINK(".\sm_car_250419_2207\sm_car_Axle3_250419_2207_285_CaAxle3_012TrK_MaDLC_ode23t_1.png","figure")</f>
        <v>figure</v>
      </c>
      <c r="P28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2024a_250419_2207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2020-05-28T11:17:57Z</dcterms:created>
  <dcterms:modified xsi:type="dcterms:W3CDTF">2025-04-20T08:03:53Z</dcterms:modified>
</cp:coreProperties>
</file>