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h-tpl\SimResults\"/>
    </mc:Choice>
  </mc:AlternateContent>
  <xr:revisionPtr revIDLastSave="0" documentId="13_ncr:1_{2D8DA464-6C59-43C0-AD30-225212A9F541}" xr6:coauthVersionLast="47" xr6:coauthVersionMax="47" xr10:uidLastSave="{00000000-0000-0000-0000-000000000000}"/>
  <bookViews>
    <workbookView xWindow="28680" yWindow="-120" windowWidth="29040" windowHeight="15720" xr2:uid="{86C44CE1-1010-4E30-92B1-BDE677C7682C}"/>
  </bookViews>
  <sheets>
    <sheet name="2024b_241123_1502" sheetId="20" r:id="rId1"/>
  </sheets>
  <definedNames>
    <definedName name="_xlnm._FilterDatabase" localSheetId="0" hidden="1">'2024b_241123_1502'!$A$1:$P$268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20" l="1"/>
  <c r="O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254" i="20"/>
  <c r="O255" i="20"/>
  <c r="O256" i="20"/>
  <c r="O257" i="20"/>
  <c r="O258" i="20"/>
  <c r="O259" i="20"/>
  <c r="O260" i="20"/>
  <c r="O261" i="20"/>
  <c r="O262" i="20"/>
  <c r="O263" i="20"/>
  <c r="O264" i="20"/>
  <c r="O265" i="20"/>
  <c r="O266" i="20"/>
  <c r="O267" i="20"/>
  <c r="O268" i="20"/>
</calcChain>
</file>

<file path=xl/sharedStrings.xml><?xml version="1.0" encoding="utf-8"?>
<sst xmlns="http://schemas.openxmlformats.org/spreadsheetml/2006/main" count="2436" uniqueCount="123">
  <si>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</si>
  <si>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</si>
  <si>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</si>
  <si>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</si>
  <si>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</si>
  <si>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</si>
  <si>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</si>
  <si>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</si>
  <si>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</si>
  <si>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</si>
  <si>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</si>
  <si>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</si>
  <si>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</si>
  <si>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</si>
  <si>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</si>
  <si>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</si>
  <si>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</si>
  <si>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</si>
  <si>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</si>
  <si>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</si>
  <si>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</si>
  <si>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</si>
  <si>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</si>
  <si>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</si>
  <si>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</si>
  <si>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</si>
  <si>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</si>
  <si>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</si>
  <si>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</si>
  <si>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</si>
  <si>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</si>
  <si>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</si>
  <si>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</si>
  <si>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</si>
  <si>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</si>
  <si>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</si>
  <si>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</si>
  <si>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</si>
  <si>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</si>
  <si>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</si>
  <si>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</si>
  <si>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</si>
  <si>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</si>
  <si>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</si>
  <si>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</si>
  <si>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</si>
  <si>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</si>
  <si>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</si>
  <si>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</si>
  <si>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</si>
  <si>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</si>
  <si>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</si>
  <si>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</si>
  <si>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</si>
  <si>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</si>
  <si>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</si>
  <si>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</si>
  <si>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</si>
  <si>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</si>
  <si>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</si>
  <si>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</si>
  <si>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</si>
  <si>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</si>
  <si>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</si>
  <si>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</si>
  <si>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</si>
  <si>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</si>
  <si>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</si>
  <si>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</si>
  <si>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</si>
  <si>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</si>
  <si>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</si>
  <si>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</si>
  <si>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</si>
  <si>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</si>
  <si>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</si>
  <si>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</si>
  <si>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</si>
  <si>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</si>
  <si>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</si>
  <si>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</si>
  <si>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</si>
  <si>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</si>
  <si>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</si>
  <si>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</si>
  <si>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</si>
  <si>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</si>
  <si>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</si>
  <si>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</si>
  <si>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</si>
  <si>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</si>
  <si>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</si>
  <si>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</si>
  <si>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</si>
  <si>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Axle3_000</t>
  </si>
  <si>
    <t>Makhulu3Axle</t>
  </si>
  <si>
    <t>6x2</t>
  </si>
  <si>
    <t>Axle3_003</t>
  </si>
  <si>
    <t>6x4</t>
  </si>
  <si>
    <t>Axle3_008</t>
  </si>
  <si>
    <t>Amandla3Axle</t>
  </si>
  <si>
    <t>Axle3_010</t>
  </si>
  <si>
    <t>Kumanzi</t>
  </si>
  <si>
    <t>Axle3_012</t>
  </si>
  <si>
    <t>6x2Gen</t>
  </si>
  <si>
    <t>Achilles</t>
  </si>
  <si>
    <t>dwdec</t>
  </si>
  <si>
    <t>MFMbody</t>
  </si>
  <si>
    <t>RackDrivenShafts</t>
  </si>
  <si>
    <t>MFMbody2x</t>
  </si>
  <si>
    <t>CRG Hockenheim</t>
  </si>
  <si>
    <t>CRG Hockenheim F</t>
  </si>
  <si>
    <t>CRG Rough Road</t>
  </si>
  <si>
    <t>15DOF2Mot</t>
  </si>
  <si>
    <t>Axle3_017</t>
  </si>
  <si>
    <t>Axle3_019</t>
  </si>
  <si>
    <t>MATHWORKS-OL1OH</t>
  </si>
  <si>
    <t>MF-Swift Version: 2306</t>
  </si>
  <si>
    <t>dwpull</t>
  </si>
  <si>
    <t>bushings</t>
  </si>
  <si>
    <t>23-Nov-2024 17:31:26</t>
  </si>
  <si>
    <t>24.2.0.2773142 (R2024b) Update 2</t>
  </si>
  <si>
    <t>v3p6 R24b RTP NoDelftCRGPla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</si>
</sst>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993A-E85F-4F85-9546-C8A91E04A185}">
  <dimension ref="A1:R268"/>
  <sheetViews>
    <sheetView tabSelected="1" workbookViewId="0"/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8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120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398</v>
      </c>
      <c r="L2" s="4">
        <v>6.8359277000000001</v>
      </c>
      <c r="M2" s="4">
        <v>233.89307510091533</v>
      </c>
      <c r="N2" s="4">
        <v>1.0261622524691431E-2</v>
      </c>
      <c r="O2" s="1" t="str">
        <f>HYPERLINK(".\sm_car_241123_1502\sm_car_241123_1502_001_Ca000TrN_MaWOT_ode23t.png","figure")</f>
        <v>figure</v>
      </c>
      <c r="P2" t="s">
        <v>15</v>
      </c>
      <c r="R2" s="2" t="s">
        <v>116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530</v>
      </c>
      <c r="L3" s="4">
        <v>7.5092632000000004</v>
      </c>
      <c r="M3" s="4">
        <v>71.996409601859298</v>
      </c>
      <c r="N3" s="4">
        <v>-0.5494756169917614</v>
      </c>
      <c r="O3" s="1" t="str">
        <f>HYPERLINK(".\sm_car_241123_1502\sm_car_241123_1502_002_Ca000TrN_MaLSS_ode23t.png","figure")</f>
        <v>figure</v>
      </c>
      <c r="P3" t="s">
        <v>15</v>
      </c>
      <c r="R3" s="2" t="s">
        <v>121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401</v>
      </c>
      <c r="L4" s="4">
        <v>7.2839556999999999</v>
      </c>
      <c r="M4" s="4">
        <v>232.86502208791688</v>
      </c>
      <c r="N4" s="4">
        <v>5.2256072038858856E-4</v>
      </c>
      <c r="O4" s="1" t="str">
        <f>HYPERLINK(".\sm_car_241123_1502\sm_car_241123_1502_003_Ca001TrN_MaWOT_ode23t.png","figure")</f>
        <v>figure</v>
      </c>
      <c r="P4" t="s">
        <v>15</v>
      </c>
      <c r="R4" s="2" t="s">
        <v>117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510</v>
      </c>
      <c r="L5" s="4">
        <v>8.3496054999999991</v>
      </c>
      <c r="M5" s="4">
        <v>71.688916575799709</v>
      </c>
      <c r="N5" s="4">
        <v>-0.54608187912515971</v>
      </c>
      <c r="O5" s="1" t="str">
        <f>HYPERLINK(".\sm_car_241123_1502\sm_car_241123_1502_004_Ca001TrN_MaLSS_ode23t.png","figure")</f>
        <v>figure</v>
      </c>
      <c r="P5" t="s">
        <v>15</v>
      </c>
      <c r="R5" t="s">
        <v>122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468</v>
      </c>
      <c r="L6" s="4">
        <v>12.611544200000001</v>
      </c>
      <c r="M6" s="4">
        <v>232.74048729749146</v>
      </c>
      <c r="N6" s="4">
        <v>6.9435550411594419E-3</v>
      </c>
      <c r="O6" s="1" t="str">
        <f>HYPERLINK(".\sm_car_241123_1502\sm_car_241123_1502_005_Ca002TrN_MaWOT_ode23t.png","figure")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522</v>
      </c>
      <c r="L7" s="4">
        <v>10.5857923</v>
      </c>
      <c r="M7" s="4">
        <v>71.681664282231822</v>
      </c>
      <c r="N7" s="4">
        <v>-0.54202615930219755</v>
      </c>
      <c r="O7" s="1" t="str">
        <f>HYPERLINK(".\sm_car_241123_1502\sm_car_241123_1502_006_Ca002TrN_MaLSS_ode23t.png","figure")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471</v>
      </c>
      <c r="L8" s="4">
        <v>13.3490942</v>
      </c>
      <c r="M8" s="4">
        <v>232.36920809342487</v>
      </c>
      <c r="N8" s="4">
        <v>6.4162494507615256E-2</v>
      </c>
      <c r="O8" s="1" t="str">
        <f>HYPERLINK(".\sm_car_241123_1502\sm_car_241123_1502_007_Ca003TrN_MaWOT_ode23t.png","figure")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539</v>
      </c>
      <c r="L9" s="4">
        <v>11.5992654</v>
      </c>
      <c r="M9" s="4">
        <v>71.572755453824954</v>
      </c>
      <c r="N9" s="4">
        <v>-0.53927318196874563</v>
      </c>
      <c r="O9" s="1" t="str">
        <f>HYPERLINK(".\sm_car_241123_1502\sm_car_241123_1502_008_Ca003TrN_MaLSS_ode23t.png","figure")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1109</v>
      </c>
      <c r="L10" s="4">
        <v>11.830742799999999</v>
      </c>
      <c r="M10" s="4">
        <v>233.62910536538573</v>
      </c>
      <c r="N10" s="4">
        <v>9.3775246734322353E-3</v>
      </c>
      <c r="O10" s="1" t="str">
        <f>HYPERLINK(".\sm_car_241123_1502\sm_car_241123_1502_009_Ca004TrN_MaWOT_ode23t.png","figure")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1245</v>
      </c>
      <c r="L11" s="4">
        <v>14.249464700000001</v>
      </c>
      <c r="M11" s="4">
        <v>71.991828445987537</v>
      </c>
      <c r="N11" s="4">
        <v>-0.5563934118894851</v>
      </c>
      <c r="O11" s="1" t="str">
        <f>HYPERLINK(".\sm_car_241123_1502\sm_car_241123_1502_010_Ca004TrN_MaLSS_ode23t.png","figure")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1106</v>
      </c>
      <c r="L12" s="4">
        <v>13.983362400000001</v>
      </c>
      <c r="M12" s="4">
        <v>232.76042384703018</v>
      </c>
      <c r="N12" s="4">
        <v>1.8513350714324506E-3</v>
      </c>
      <c r="O12" s="1" t="str">
        <f>HYPERLINK(".\sm_car_241123_1502\sm_car_241123_1502_011_Ca005TrN_MaWOT_ode23t.png","figure")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1242</v>
      </c>
      <c r="L13" s="4">
        <v>15.0081969</v>
      </c>
      <c r="M13" s="4">
        <v>71.702490964550122</v>
      </c>
      <c r="N13" s="4">
        <v>-0.55050908617817518</v>
      </c>
      <c r="O13" s="1" t="str">
        <f>HYPERLINK(".\sm_car_241123_1502\sm_car_241123_1502_012_Ca005TrN_MaLSS_ode23t.png","figure")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1194</v>
      </c>
      <c r="L14" s="4">
        <v>17.063746600000002</v>
      </c>
      <c r="M14" s="4">
        <v>232.78711544122331</v>
      </c>
      <c r="N14" s="4">
        <v>4.0937221650618368E-2</v>
      </c>
      <c r="O14" s="1" t="str">
        <f>HYPERLINK(".\sm_car_241123_1502\sm_car_241123_1502_013_Ca006TrN_MaWOT_ode23t.png","figure")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1290</v>
      </c>
      <c r="L15" s="4">
        <v>17.039861999999999</v>
      </c>
      <c r="M15" s="4">
        <v>71.687805817449131</v>
      </c>
      <c r="N15" s="4">
        <v>-0.54432291969793878</v>
      </c>
      <c r="O15" s="1" t="str">
        <f>HYPERLINK(".\sm_car_241123_1502\sm_car_241123_1502_014_Ca006TrN_MaLSS_ode23t.png","figure")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1189</v>
      </c>
      <c r="L16" s="4">
        <v>17.437877</v>
      </c>
      <c r="M16" s="4">
        <v>232.41018427599698</v>
      </c>
      <c r="N16" s="4">
        <v>6.6385823036986466E-2</v>
      </c>
      <c r="O16" s="1" t="str">
        <f>HYPERLINK(".\sm_car_241123_1502\sm_car_241123_1502_015_Ca007TrN_MaWOT_ode23t.png","figure")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1269</v>
      </c>
      <c r="L17" s="4">
        <v>16.909659300000001</v>
      </c>
      <c r="M17" s="4">
        <v>71.568047571238267</v>
      </c>
      <c r="N17" s="4">
        <v>-0.54080502054009816</v>
      </c>
      <c r="O17" s="1" t="str">
        <f>HYPERLINK(".\sm_car_241123_1502\sm_car_241123_1502_016_Ca007TrN_MaLSS_ode23t.png","figure")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407</v>
      </c>
      <c r="L18" s="4">
        <v>5.4913381000000001</v>
      </c>
      <c r="M18" s="4">
        <v>234.4033208477359</v>
      </c>
      <c r="N18" s="4">
        <v>-7.1285932608867481E-2</v>
      </c>
      <c r="O18" s="1" t="str">
        <f>HYPERLINK(".\sm_car_241123_1502\sm_car_241123_1502_017_Ca016TrN_MaWOT_ode23t.png","figure")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494</v>
      </c>
      <c r="L19" s="4">
        <v>5.7120008999999996</v>
      </c>
      <c r="M19" s="4">
        <v>72.260638314079159</v>
      </c>
      <c r="N19" s="4">
        <v>-2.1654947843563699E-2</v>
      </c>
      <c r="O19" s="1" t="str">
        <f>HYPERLINK(".\sm_car_241123_1502\sm_car_241123_1502_018_Ca016TrN_MaLSS_ode23t.png","figure")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399</v>
      </c>
      <c r="L20" s="4">
        <v>7.5255086999999996</v>
      </c>
      <c r="M20" s="4">
        <v>233.86989271524681</v>
      </c>
      <c r="N20" s="4">
        <v>1.9758754011097335E-2</v>
      </c>
      <c r="O20" s="1" t="str">
        <f>HYPERLINK(".\sm_car_241123_1502\sm_car_241123_1502_019_Ca032TrN_MaWOT_ode23t.png","figure")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514</v>
      </c>
      <c r="L21" s="4">
        <v>8.1897748999999997</v>
      </c>
      <c r="M21" s="4">
        <v>71.988949724106291</v>
      </c>
      <c r="N21" s="4">
        <v>-0.53236618908367572</v>
      </c>
      <c r="O21" s="1" t="str">
        <f>HYPERLINK(".\sm_car_241123_1502\sm_car_241123_1502_020_Ca032TrN_MaLSS_ode23t.png","figure")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411</v>
      </c>
      <c r="L22" s="4">
        <v>7.9634309999999999</v>
      </c>
      <c r="M22" s="4">
        <v>233.76976897594068</v>
      </c>
      <c r="N22" s="4">
        <v>-5.7063822112780804E-3</v>
      </c>
      <c r="O22" s="1" t="str">
        <f>HYPERLINK(".\sm_car_241123_1502\sm_car_241123_1502_021_Ca048TrN_MaWOT_ode23t.png","figure")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522</v>
      </c>
      <c r="L23" s="4">
        <v>9.0539737000000002</v>
      </c>
      <c r="M23" s="4">
        <v>71.995765081100743</v>
      </c>
      <c r="N23" s="4">
        <v>-0.53974793897238071</v>
      </c>
      <c r="O23" s="1" t="str">
        <f>HYPERLINK(".\sm_car_241123_1502\sm_car_241123_1502_022_Ca048TrN_MaLSS_ode23t.png","figure")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422</v>
      </c>
      <c r="L24" s="4">
        <v>8.2820844999999998</v>
      </c>
      <c r="M24" s="4">
        <v>233.88977294109276</v>
      </c>
      <c r="N24" s="4">
        <v>2.0019299992676289E-2</v>
      </c>
      <c r="O24" s="1" t="str">
        <f>HYPERLINK(".\sm_car_241123_1502\sm_car_241123_1502_023_Ca064TrN_MaWOT_ode23t.png","figure")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508</v>
      </c>
      <c r="L25" s="4">
        <v>9.1566097000000006</v>
      </c>
      <c r="M25" s="4">
        <v>72.005534584979202</v>
      </c>
      <c r="N25" s="4">
        <v>-0.52596955107441834</v>
      </c>
      <c r="O25" s="1" t="str">
        <f>HYPERLINK(".\sm_car_241123_1502\sm_car_241123_1502_024_Ca064TrN_MaLSS_ode23t.png","figure")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404</v>
      </c>
      <c r="L26" s="4">
        <v>8.0290841999999998</v>
      </c>
      <c r="M26" s="4">
        <v>233.72038199436577</v>
      </c>
      <c r="N26" s="4">
        <v>-6.0025544910578136E-3</v>
      </c>
      <c r="O26" s="1" t="str">
        <f>HYPERLINK(".\sm_car_241123_1502\sm_car_241123_1502_025_Ca080TrN_MaWOT_ode23t.png","figure")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522</v>
      </c>
      <c r="L27" s="4">
        <v>8.9017088999999991</v>
      </c>
      <c r="M27" s="4">
        <v>71.986971244897362</v>
      </c>
      <c r="N27" s="4">
        <v>-0.5390554287178122</v>
      </c>
      <c r="O27" s="1" t="str">
        <f>HYPERLINK(".\sm_car_241123_1502\sm_car_241123_1502_026_Ca080TrN_MaLSS_ode23t.png","figure")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417</v>
      </c>
      <c r="L28" s="4">
        <v>6.4395065999999996</v>
      </c>
      <c r="M28" s="4">
        <v>235.58608439819207</v>
      </c>
      <c r="N28" s="4">
        <v>3.264232570084484E-2</v>
      </c>
      <c r="O28" s="1" t="str">
        <f>HYPERLINK(".\sm_car_241123_1502\sm_car_241123_1502_027_Ca096TrN_MaWOT_ode23t.png","figure")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512</v>
      </c>
      <c r="L29" s="4">
        <v>7.1473301999999999</v>
      </c>
      <c r="M29" s="4">
        <v>72.511955923052653</v>
      </c>
      <c r="N29" s="4">
        <v>-0.53781557010692771</v>
      </c>
      <c r="O29" s="1" t="str">
        <f>HYPERLINK(".\sm_car_241123_1502\sm_car_241123_1502_028_Ca096TrN_MaLSS_ode23t.png","figure")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378</v>
      </c>
      <c r="L30" s="4">
        <v>2.5403185000000001</v>
      </c>
      <c r="M30" s="4">
        <v>242.6994797717266</v>
      </c>
      <c r="N30" s="4">
        <v>0.23508425125528162</v>
      </c>
      <c r="O30" s="1" t="str">
        <f>HYPERLINK(".\sm_car_241123_1502\sm_car_241123_1502_029_Ca112TrN_MaWOT_ode23t.png","figure")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485</v>
      </c>
      <c r="L31" s="4">
        <v>2.6129926999999999</v>
      </c>
      <c r="M31" s="4">
        <v>74.662283441692423</v>
      </c>
      <c r="N31" s="4">
        <v>-0.33788066030159514</v>
      </c>
      <c r="O31" s="1" t="str">
        <f>HYPERLINK(".\sm_car_241123_1502\sm_car_241123_1502_030_Ca112TrN_MaLSS_ode23t.png","figure")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360</v>
      </c>
      <c r="L32" s="4">
        <v>3.0935280000000001</v>
      </c>
      <c r="M32" s="4">
        <v>241.37198352490876</v>
      </c>
      <c r="N32" s="4">
        <v>0.22999526089708822</v>
      </c>
      <c r="O32" s="1" t="str">
        <f>HYPERLINK(".\sm_car_241123_1502\sm_car_241123_1502_031_Ca113TrN_MaWOT_ode23t.png","figure")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494</v>
      </c>
      <c r="L33" s="4">
        <v>3.3400104000000002</v>
      </c>
      <c r="M33" s="4">
        <v>74.346118140269937</v>
      </c>
      <c r="N33" s="4">
        <v>-0.33373518287104059</v>
      </c>
      <c r="O33" s="1" t="str">
        <f>HYPERLINK(".\sm_car_241123_1502\sm_car_241123_1502_032_Ca113TrN_MaLSS_ode23t.png","figure")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370</v>
      </c>
      <c r="L34" s="4">
        <v>3.3244172999999999</v>
      </c>
      <c r="M34" s="4">
        <v>241.5010362421956</v>
      </c>
      <c r="N34" s="4">
        <v>0.22885750746109979</v>
      </c>
      <c r="O34" s="1" t="str">
        <f>HYPERLINK(".\sm_car_241123_1502\sm_car_241123_1502_033_Ca114TrN_MaWOT_ode23t.png","figure")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490</v>
      </c>
      <c r="L35" s="4">
        <v>3.3557131999999998</v>
      </c>
      <c r="M35" s="4">
        <v>74.363158763663208</v>
      </c>
      <c r="N35" s="4">
        <v>-0.33329368269323417</v>
      </c>
      <c r="O35" s="1" t="str">
        <f>HYPERLINK(".\sm_car_241123_1502\sm_car_241123_1502_034_Ca114TrN_MaLSS_ode23t.png","figure")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403</v>
      </c>
      <c r="L36" s="4">
        <v>3.5743575000000001</v>
      </c>
      <c r="M36" s="4">
        <v>241.10550088123051</v>
      </c>
      <c r="N36" s="4">
        <v>0.22731296362795406</v>
      </c>
      <c r="O36" s="1" t="str">
        <f>HYPERLINK(".\sm_car_241123_1502\sm_car_241123_1502_035_Ca115TrN_MaWOT_ode23t.png","figure")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514</v>
      </c>
      <c r="L37" s="4">
        <v>3.6560986</v>
      </c>
      <c r="M37" s="4">
        <v>74.211427739606734</v>
      </c>
      <c r="N37" s="4">
        <v>-0.33231775155064541</v>
      </c>
      <c r="O37" s="1" t="str">
        <f>HYPERLINK(".\sm_car_241123_1502\sm_car_241123_1502_036_Ca115TrN_MaLSS_ode23t.png","figure")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939</v>
      </c>
      <c r="L38" s="4">
        <v>4.8182916000000002</v>
      </c>
      <c r="M38" s="4">
        <v>242.60392884577416</v>
      </c>
      <c r="N38" s="4">
        <v>0.23296360363255</v>
      </c>
      <c r="O38" s="1" t="str">
        <f>HYPERLINK(".\sm_car_241123_1502\sm_car_241123_1502_037_Ca116TrN_MaWOT_ode23t.png","figure")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1058</v>
      </c>
      <c r="L39" s="4">
        <v>5.0338529000000003</v>
      </c>
      <c r="M39" s="4">
        <v>74.660797386805825</v>
      </c>
      <c r="N39" s="4">
        <v>-0.34042716680196999</v>
      </c>
      <c r="O39" s="1" t="str">
        <f>HYPERLINK(".\sm_car_241123_1502\sm_car_241123_1502_038_Ca116TrN_MaLSS_ode23t.png","figure")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937</v>
      </c>
      <c r="L40" s="4">
        <v>4.8922457000000001</v>
      </c>
      <c r="M40" s="4">
        <v>241.26318197563893</v>
      </c>
      <c r="N40" s="4">
        <v>0.23006564636175789</v>
      </c>
      <c r="O40" s="1" t="str">
        <f>HYPERLINK(".\sm_car_241123_1502\sm_car_241123_1502_039_Ca117TrN_MaWOT_ode23t.png","figure")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1070</v>
      </c>
      <c r="L41" s="4">
        <v>5.8675952999999996</v>
      </c>
      <c r="M41" s="4">
        <v>74.350821857893351</v>
      </c>
      <c r="N41" s="4">
        <v>-0.33653018742385021</v>
      </c>
      <c r="O41" s="1" t="str">
        <f>HYPERLINK(".\sm_car_241123_1502\sm_car_241123_1502_040_Ca117TrN_MaLSS_ode23t.png","figure")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957</v>
      </c>
      <c r="L42" s="4">
        <v>5.5398627999999999</v>
      </c>
      <c r="M42" s="4">
        <v>241.52399695183115</v>
      </c>
      <c r="N42" s="4">
        <v>0.2315221131542311</v>
      </c>
      <c r="O42" s="1" t="str">
        <f>HYPERLINK(".\sm_car_241123_1502\sm_car_241123_1502_041_Ca118TrN_MaWOT_ode23t.png","figure")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1077</v>
      </c>
      <c r="L43" s="4">
        <v>6.2833687999999999</v>
      </c>
      <c r="M43" s="4">
        <v>74.340152787996473</v>
      </c>
      <c r="N43" s="4">
        <v>-0.3345384851569092</v>
      </c>
      <c r="O43" s="1" t="str">
        <f>HYPERLINK(".\sm_car_241123_1502\sm_car_241123_1502_042_Ca118TrN_MaLSS_ode23t.png","figure")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962</v>
      </c>
      <c r="L44" s="4">
        <v>5.3166036999999999</v>
      </c>
      <c r="M44" s="4">
        <v>241.04297568185484</v>
      </c>
      <c r="N44" s="4">
        <v>0.22638075829718113</v>
      </c>
      <c r="O44" s="1" t="str">
        <f>HYPERLINK(".\sm_car_241123_1502\sm_car_241123_1502_043_Ca119TrN_MaWOT_ode23t.png","figure")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1072</v>
      </c>
      <c r="L45" s="4">
        <v>5.8615139999999997</v>
      </c>
      <c r="M45" s="4">
        <v>74.199590149660054</v>
      </c>
      <c r="N45" s="4">
        <v>-0.33449264488071112</v>
      </c>
      <c r="O45" s="1" t="str">
        <f>HYPERLINK(".\sm_car_241123_1502\sm_car_241123_1502_044_Ca119TrN_MaLSS_ode23t.png","figure")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311</v>
      </c>
      <c r="L46" s="4">
        <v>5.5582748000000004</v>
      </c>
      <c r="M46" s="4">
        <v>100.61935044495536</v>
      </c>
      <c r="N46" s="4">
        <v>-1.4891059414081207E-2</v>
      </c>
      <c r="O46" s="1" t="str">
        <f>HYPERLINK(".\sm_car_241123_1502\sm_car_241123_1502_045_Ca128TrN_MaWOT_ode23t.png","figure")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441</v>
      </c>
      <c r="L47" s="4">
        <v>7.0782527999999996</v>
      </c>
      <c r="M47" s="4">
        <v>37.245859457042698</v>
      </c>
      <c r="N47" s="4">
        <v>-0.13393780168743288</v>
      </c>
      <c r="O47" s="1" t="str">
        <f>HYPERLINK(".\sm_car_241123_1502\sm_car_241123_1502_046_Ca128TrN_MaLSS_ode23t.png","figure")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345</v>
      </c>
      <c r="L48" s="4">
        <v>6.2068747000000002</v>
      </c>
      <c r="M48" s="4">
        <v>232.57350897326955</v>
      </c>
      <c r="N48" s="4">
        <v>7.3921097252093906E-2</v>
      </c>
      <c r="O48" s="1" t="str">
        <f>HYPERLINK(".\sm_car_241123_1502\sm_car_241123_1502_047_Ca129TrN_MaWOT_ode23t.png","figure")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481</v>
      </c>
      <c r="L49" s="4">
        <v>8.4735650000000007</v>
      </c>
      <c r="M49" s="4">
        <v>71.613863477414924</v>
      </c>
      <c r="N49" s="4">
        <v>-0.54063035262897607</v>
      </c>
      <c r="O49" s="1" t="str">
        <f>HYPERLINK(".\sm_car_241123_1502\sm_car_241123_1502_048_Ca129TrN_MaLSS_ode23t.png","figure")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802</v>
      </c>
      <c r="L50" s="4">
        <v>24.198868300000001</v>
      </c>
      <c r="M50" s="4">
        <v>220.15414911419086</v>
      </c>
      <c r="N50" s="4">
        <v>-1.4665671298690044</v>
      </c>
      <c r="O50" s="1" t="str">
        <f>HYPERLINK(".\sm_car_241123_1502\sm_car_241123_1502_049_Ca130TrN_MaWOT_ode23t.png","figure")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776</v>
      </c>
      <c r="L51" s="4">
        <v>21.3425774</v>
      </c>
      <c r="M51" s="4">
        <v>69.504368205239501</v>
      </c>
      <c r="N51" s="4">
        <v>-0.5531801596199124</v>
      </c>
      <c r="O51" s="1" t="str">
        <f>HYPERLINK(".\sm_car_241123_1502\sm_car_241123_1502_050_Ca130TrN_MaLSS_ode23t.png","figure")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363</v>
      </c>
      <c r="L52" s="4">
        <v>4.9041439000000002</v>
      </c>
      <c r="M52" s="4">
        <v>232.87338350053321</v>
      </c>
      <c r="N52" s="4">
        <v>-2.708811714464442E-2</v>
      </c>
      <c r="O52" s="1" t="str">
        <f>HYPERLINK(".\sm_car_241123_1502\sm_car_241123_1502_051_Ca131TrN_MaWOT_ode23t.png","figure")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487</v>
      </c>
      <c r="L53" s="4">
        <v>5.1507598999999997</v>
      </c>
      <c r="M53" s="4">
        <v>71.699837997077253</v>
      </c>
      <c r="N53" s="4">
        <v>-0.55156584033401257</v>
      </c>
      <c r="O53" s="1" t="str">
        <f>HYPERLINK(".\sm_car_241123_1502\sm_car_241123_1502_052_Ca131TrN_MaLSS_ode23t.png","figure")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339</v>
      </c>
      <c r="L54" s="4">
        <v>4.6266810999999999</v>
      </c>
      <c r="M54" s="4">
        <v>232.88274622183411</v>
      </c>
      <c r="N54" s="4">
        <v>3.7449205833593219E-3</v>
      </c>
      <c r="O54" s="1" t="str">
        <f>HYPERLINK(".\sm_car_241123_1502\sm_car_241123_1502_053_Ca132TrN_MaWOT_ode23t.png","figure")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484</v>
      </c>
      <c r="L55" s="4">
        <v>5.5419160999999999</v>
      </c>
      <c r="M55" s="4">
        <v>71.715417475150375</v>
      </c>
      <c r="N55" s="4">
        <v>-0.54837793838827675</v>
      </c>
      <c r="O55" s="1" t="str">
        <f>HYPERLINK(".\sm_car_241123_1502\sm_car_241123_1502_054_Ca132TrN_MaLSS_ode23t.png","figure")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342</v>
      </c>
      <c r="L56" s="4">
        <v>4.6343093</v>
      </c>
      <c r="M56" s="4">
        <v>232.62313837856166</v>
      </c>
      <c r="N56" s="4">
        <v>8.987559149041224E-4</v>
      </c>
      <c r="O56" s="1" t="str">
        <f>HYPERLINK(".\sm_car_241123_1502\sm_car_241123_1502_055_Ca133TrN_MaWOT_ode23t.png","figure")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491</v>
      </c>
      <c r="L57" s="4">
        <v>7.0083570999999996</v>
      </c>
      <c r="M57" s="4">
        <v>71.713063764980177</v>
      </c>
      <c r="N57" s="4">
        <v>-0.54391836321961695</v>
      </c>
      <c r="O57" s="1" t="str">
        <f>HYPERLINK(".\sm_car_241123_1502\sm_car_241123_1502_056_Ca133TrN_MaLSS_ode23t.png","figure")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354</v>
      </c>
      <c r="L58" s="4">
        <v>4.8820044999999999</v>
      </c>
      <c r="M58" s="4">
        <v>232.81072383128043</v>
      </c>
      <c r="N58" s="4">
        <v>1.7921306573148647E-3</v>
      </c>
      <c r="O58" s="1" t="str">
        <f>HYPERLINK(".\sm_car_241123_1502\sm_car_241123_1502_057_Ca134TrN_MaWOT_ode23t.png","figure")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507</v>
      </c>
      <c r="L59" s="4">
        <v>5.9168452</v>
      </c>
      <c r="M59" s="4">
        <v>71.712771033124156</v>
      </c>
      <c r="N59" s="4">
        <v>-0.54277909186452866</v>
      </c>
      <c r="O59" s="1" t="str">
        <f>HYPERLINK(".\sm_car_241123_1502\sm_car_241123_1502_058_Ca134TrN_MaLSS_ode23t.png","figure")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357</v>
      </c>
      <c r="L60" s="4">
        <v>4.5791209000000004</v>
      </c>
      <c r="M60" s="4">
        <v>232.85838527654874</v>
      </c>
      <c r="N60" s="4">
        <v>1.4274142515244166E-3</v>
      </c>
      <c r="O60" s="1" t="str">
        <f>HYPERLINK(".\sm_car_241123_1502\sm_car_241123_1502_059_Ca135TrN_MaWOT_ode23t.png","figure")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503</v>
      </c>
      <c r="L61" s="4">
        <v>5.8048441999999998</v>
      </c>
      <c r="M61" s="4">
        <v>71.706728466391198</v>
      </c>
      <c r="N61" s="4">
        <v>-0.54631651984350693</v>
      </c>
      <c r="O61" s="1" t="str">
        <f>HYPERLINK(".\sm_car_241123_1502\sm_car_241123_1502_060_Ca135TrN_MaLSS_ode23t.png","figure")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373</v>
      </c>
      <c r="L62" s="4">
        <v>5.3248055000000001</v>
      </c>
      <c r="M62" s="4">
        <v>232.84624216006912</v>
      </c>
      <c r="N62" s="4">
        <v>6.6899330984147784E-2</v>
      </c>
      <c r="O62" s="1" t="str">
        <f>HYPERLINK(".\sm_car_241123_1502\sm_car_241123_1502_061_Ca136TrN_MaWOT_ode23t.png","figure")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509</v>
      </c>
      <c r="L63" s="4">
        <v>7.1124491000000001</v>
      </c>
      <c r="M63" s="4">
        <v>71.70289154747789</v>
      </c>
      <c r="N63" s="4">
        <v>-0.54076981578598404</v>
      </c>
      <c r="O63" s="1" t="str">
        <f>HYPERLINK(".\sm_car_241123_1502\sm_car_241123_1502_062_Ca136TrN_MaLSS_ode23t.png","figure")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324</v>
      </c>
      <c r="L64" s="4">
        <v>4.1262261999999996</v>
      </c>
      <c r="M64" s="4">
        <v>233.83971657729271</v>
      </c>
      <c r="N64" s="4">
        <v>0.14891307589143929</v>
      </c>
      <c r="O64" s="1" t="str">
        <f>HYPERLINK(".\sm_car_241123_1502\sm_car_241123_1502_063_Ca137TrN_MaWOT_ode23t.png","figure")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481</v>
      </c>
      <c r="L65" s="4">
        <v>4.5974088000000002</v>
      </c>
      <c r="M65" s="4">
        <v>71.983584600730836</v>
      </c>
      <c r="N65" s="4">
        <v>-0.52615298303706548</v>
      </c>
      <c r="O65" s="1" t="str">
        <f>HYPERLINK(".\sm_car_241123_1502\sm_car_241123_1502_064_Ca137TrN_MaLSS_ode23t.png","figure")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323</v>
      </c>
      <c r="L66" s="4">
        <v>5.6249707000000004</v>
      </c>
      <c r="M66" s="4">
        <v>233.78823407780283</v>
      </c>
      <c r="N66" s="4">
        <v>0.15789886705228598</v>
      </c>
      <c r="O66" s="1" t="str">
        <f>HYPERLINK(".\sm_car_241123_1502\sm_car_241123_1502_065_Ca138TrN_MaWOT_ode23t.png","figure")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485</v>
      </c>
      <c r="L67" s="4">
        <v>6.7491995999999999</v>
      </c>
      <c r="M67" s="4">
        <v>71.873064648505704</v>
      </c>
      <c r="N67" s="4">
        <v>-0.84723599882806022</v>
      </c>
      <c r="O67" s="1" t="str">
        <f>HYPERLINK(".\sm_car_241123_1502\sm_car_241123_1502_066_Ca138TrN_MaLSS_ode23t.png","figure")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611</v>
      </c>
      <c r="L68" s="4">
        <v>25.357087199999999</v>
      </c>
      <c r="M68" s="4">
        <v>411.25278923913157</v>
      </c>
      <c r="N68" s="4">
        <v>1.6829963479597079</v>
      </c>
      <c r="O68" s="1" t="str">
        <f>HYPERLINK(".\sm_car_241123_1502\sm_car_241123_1502_067_Ca139TrN_MaWOT_ode23t.png","figure")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619</v>
      </c>
      <c r="L69" s="4">
        <v>16.2436483</v>
      </c>
      <c r="M69" s="4">
        <v>157.00822066970207</v>
      </c>
      <c r="N69" s="4">
        <v>-0.56329979148232179</v>
      </c>
      <c r="O69" s="1" t="str">
        <f>HYPERLINK(".\sm_car_241123_1502\sm_car_241123_1502_068_Ca139TrN_MaLSS_ode23t.png","figure")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1916</v>
      </c>
      <c r="L70" s="4">
        <v>37.931325800000003</v>
      </c>
      <c r="M70" s="4">
        <v>411.32466545420391</v>
      </c>
      <c r="N70" s="4">
        <v>1.653252659633536</v>
      </c>
      <c r="O70" s="1" t="str">
        <f>HYPERLINK(".\sm_car_241123_1502\sm_car_241123_1502_069_Ca141TrN_MaWOT_ode23t.png","figure")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1818</v>
      </c>
      <c r="L71" s="4">
        <v>24.135714700000001</v>
      </c>
      <c r="M71" s="4">
        <v>157.07613285883426</v>
      </c>
      <c r="N71" s="4">
        <v>-0.56318800586570894</v>
      </c>
      <c r="O71" s="1" t="str">
        <f>HYPERLINK(".\sm_car_241123_1502\sm_car_241123_1502_070_Ca141TrN_MaLSS_ode23t.png","figure")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369</v>
      </c>
      <c r="L72" s="4">
        <v>18.001066600000001</v>
      </c>
      <c r="M72" s="4">
        <v>96.625934708213336</v>
      </c>
      <c r="N72" s="4">
        <v>-3.7342782017576966E-2</v>
      </c>
      <c r="O72" s="1" t="str">
        <f>HYPERLINK(".\sm_car_241123_1502\sm_car_241123_1502_071_Ca143TrN_MaWOT_ode23t.png","figure")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457</v>
      </c>
      <c r="L73" s="4">
        <v>16.693480399999999</v>
      </c>
      <c r="M73" s="4">
        <v>25.152941426412461</v>
      </c>
      <c r="N73" s="4">
        <v>-5.4760910215652867E-2</v>
      </c>
      <c r="O73" s="1" t="str">
        <f>HYPERLINK(".\sm_car_241123_1502\sm_car_241123_1502_072_Ca143TrN_MaLSS_ode23t.png","figure")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356</v>
      </c>
      <c r="L74" s="4">
        <v>11.9027849</v>
      </c>
      <c r="M74" s="4">
        <v>114.97701679292916</v>
      </c>
      <c r="N74" s="4">
        <v>0.53344266621049519</v>
      </c>
      <c r="O74" s="1" t="str">
        <f>HYPERLINK(".\sm_car_241123_1502\sm_car_241123_1502_073_Ca144TrN_MaWOT_ode23t.png","figure")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478</v>
      </c>
      <c r="L75" s="4">
        <v>11.9665219</v>
      </c>
      <c r="M75" s="4">
        <v>35.843478821620785</v>
      </c>
      <c r="N75" s="4">
        <v>-3.4729601534072452E-2</v>
      </c>
      <c r="O75" s="1" t="str">
        <f>HYPERLINK(".\sm_car_241123_1502\sm_car_241123_1502_074_Ca144TrN_MaLSS_ode23t.png","figure")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2573</v>
      </c>
      <c r="L76" s="4">
        <v>26.104069500000001</v>
      </c>
      <c r="M76" s="4">
        <v>401.18692648346155</v>
      </c>
      <c r="N76" s="4">
        <v>-63.682637272008961</v>
      </c>
      <c r="O76" s="1" t="str">
        <f>HYPERLINK(".\sm_car_241123_1502\sm_car_241123_1502_075_Ca147TrN_MaWOT_ode23t.png","figure")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1285</v>
      </c>
      <c r="L77" s="4">
        <v>16.579725400000001</v>
      </c>
      <c r="M77" s="4">
        <v>155.21294507917997</v>
      </c>
      <c r="N77" s="4">
        <v>-2.758999432649941</v>
      </c>
      <c r="O77" s="1" t="str">
        <f>HYPERLINK(".\sm_car_241123_1502\sm_car_241123_1502_076_Ca147TrN_MaLSS_ode23t.png","figure")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118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613</v>
      </c>
      <c r="L78" s="4">
        <v>17.946384900000002</v>
      </c>
      <c r="M78" s="4">
        <v>184.62763772127917</v>
      </c>
      <c r="N78" s="4">
        <v>1.1208368203853939E-2</v>
      </c>
      <c r="O78" s="1" t="str">
        <f>HYPERLINK(".\sm_car_241123_1502\sm_car_241123_1502_077_Ca183TrN_MaWOT_ode23t.png","figure")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118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891</v>
      </c>
      <c r="L79" s="4">
        <v>21.764045299999999</v>
      </c>
      <c r="M79" s="4">
        <v>57.694487740477165</v>
      </c>
      <c r="N79" s="4">
        <v>9.369442335555643E-2</v>
      </c>
      <c r="O79" s="1" t="str">
        <f>HYPERLINK(".\sm_car_241123_1502\sm_car_241123_1502_078_Ca183TrN_MaLSS_ode23t.png","figure")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 s="4">
        <v>9.5537603999999998</v>
      </c>
      <c r="M80" s="4">
        <v>233.80272938572833</v>
      </c>
      <c r="N80" s="4">
        <v>8.9002270409259277E-3</v>
      </c>
      <c r="O80" s="1" t="str">
        <f>HYPERLINK(".\sm_car_241123_1502\sm_car_241123_1502_079_Ca008TrN_MaWOT_ode23t_1.png","figure")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547</v>
      </c>
      <c r="L81" s="4">
        <v>11.713705900000001</v>
      </c>
      <c r="M81" s="4">
        <v>71.997390159310498</v>
      </c>
      <c r="N81" s="4">
        <v>-0.54929209645507182</v>
      </c>
      <c r="O81" s="1" t="str">
        <f>HYPERLINK(".\sm_car_241123_1502\sm_car_241123_1502_080_Ca008TrN_MaLSS_ode23t_1.png","figure")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392</v>
      </c>
      <c r="L82" s="4">
        <v>10.9612429</v>
      </c>
      <c r="M82" s="4">
        <v>232.84299043645265</v>
      </c>
      <c r="N82" s="4">
        <v>1.2102577823529712E-3</v>
      </c>
      <c r="O82" s="1" t="str">
        <f>HYPERLINK(".\sm_car_241123_1502\sm_car_241123_1502_081_Ca009TrN_MaWOT_ode23t_1.png","figure")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549</v>
      </c>
      <c r="L83" s="4">
        <v>13.378582099999999</v>
      </c>
      <c r="M83" s="4">
        <v>71.705545193125047</v>
      </c>
      <c r="N83" s="4">
        <v>-0.54046222012649037</v>
      </c>
      <c r="O83" s="1" t="str">
        <f>HYPERLINK(".\sm_car_241123_1502\sm_car_241123_1502_082_Ca009TrN_MaLSS_ode23t_1.png","figure")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400</v>
      </c>
      <c r="L84" s="4">
        <v>12.142421799999999</v>
      </c>
      <c r="M84" s="4">
        <v>232.85962569375226</v>
      </c>
      <c r="N84" s="4">
        <v>6.8964849451307431E-2</v>
      </c>
      <c r="O84" s="1" t="str">
        <f>HYPERLINK(".\sm_car_241123_1502\sm_car_241123_1502_083_Ca010TrN_MaWOT_ode23t_1.png","figure")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540</v>
      </c>
      <c r="L85" s="4">
        <v>15.5134493</v>
      </c>
      <c r="M85" s="4">
        <v>71.702194639963395</v>
      </c>
      <c r="N85" s="4">
        <v>-0.54192282031735772</v>
      </c>
      <c r="O85" s="1" t="str">
        <f>HYPERLINK(".\sm_car_241123_1502\sm_car_241123_1502_084_Ca010TrN_MaLSS_ode23t_1.png","figure")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425</v>
      </c>
      <c r="L86" s="4">
        <v>12.470867999999999</v>
      </c>
      <c r="M86" s="4">
        <v>232.35251590263667</v>
      </c>
      <c r="N86" s="4">
        <v>6.5726972144306645E-2</v>
      </c>
      <c r="O86" s="1" t="str">
        <f>HYPERLINK(".\sm_car_241123_1502\sm_car_241123_1502_085_Ca011TrN_MaWOT_ode23t_1.png","figure")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580</v>
      </c>
      <c r="L87" s="4">
        <v>16.819094499999999</v>
      </c>
      <c r="M87" s="4">
        <v>71.573481609920478</v>
      </c>
      <c r="N87" s="4">
        <v>-0.53941992414615325</v>
      </c>
      <c r="O87" s="1" t="str">
        <f>HYPERLINK(".\sm_car_241123_1502\sm_car_241123_1502_086_Ca011TrN_MaLSS_ode23t_1.png","figure")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838</v>
      </c>
      <c r="L88" s="4">
        <v>10.8301661</v>
      </c>
      <c r="M88" s="4">
        <v>233.73514403976532</v>
      </c>
      <c r="N88" s="4">
        <v>9.548560718665812E-3</v>
      </c>
      <c r="O88" s="1" t="str">
        <f>HYPERLINK(".\sm_car_241123_1502\sm_car_241123_1502_087_Ca012TrN_MaWOT_ode23t_1.png","figure")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1006</v>
      </c>
      <c r="L89" s="4">
        <v>13.9729253</v>
      </c>
      <c r="M89" s="4">
        <v>71.985895576258997</v>
      </c>
      <c r="N89" s="4">
        <v>-0.55620359214307591</v>
      </c>
      <c r="O89" s="1" t="str">
        <f>HYPERLINK(".\sm_car_241123_1502\sm_car_241123_1502_088_Ca012TrN_MaLSS_ode23t_1.png","figure")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852</v>
      </c>
      <c r="L90" s="4">
        <v>12.9569569</v>
      </c>
      <c r="M90" s="4">
        <v>232.84647676320907</v>
      </c>
      <c r="N90" s="4">
        <v>9.6085891765807711E-4</v>
      </c>
      <c r="O90" s="1" t="str">
        <f>HYPERLINK(".\sm_car_241123_1502\sm_car_241123_1502_089_Ca013TrN_MaWOT_ode23t_1.png","figure")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997</v>
      </c>
      <c r="L91" s="4">
        <v>15.3986567</v>
      </c>
      <c r="M91" s="4">
        <v>71.698094399282297</v>
      </c>
      <c r="N91" s="4">
        <v>-0.55016730333821173</v>
      </c>
      <c r="O91" s="1" t="str">
        <f>HYPERLINK(".\sm_car_241123_1502\sm_car_241123_1502_090_Ca013TrN_MaLSS_ode23t_1.png","figure")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887</v>
      </c>
      <c r="L92" s="4">
        <v>12.9495939</v>
      </c>
      <c r="M92" s="4">
        <v>232.74711340766513</v>
      </c>
      <c r="N92" s="4">
        <v>6.5432382769613953E-2</v>
      </c>
      <c r="O92" s="1" t="str">
        <f>HYPERLINK(".\sm_car_241123_1502\sm_car_241123_1502_091_Ca014TrN_MaWOT_ode23t_1.png","figure")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1018</v>
      </c>
      <c r="L93" s="4">
        <v>15.176269</v>
      </c>
      <c r="M93" s="4">
        <v>71.695444865241427</v>
      </c>
      <c r="N93" s="4">
        <v>-0.5461051979516145</v>
      </c>
      <c r="O93" s="1" t="str">
        <f>HYPERLINK(".\sm_car_241123_1502\sm_car_241123_1502_092_Ca014TrN_MaLSS_ode23t_1.png","figure")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904</v>
      </c>
      <c r="L94" s="4">
        <v>13.4784273</v>
      </c>
      <c r="M94" s="4">
        <v>232.22692677641916</v>
      </c>
      <c r="N94" s="4">
        <v>6.3649942405821253E-2</v>
      </c>
      <c r="O94" s="1" t="str">
        <f>HYPERLINK(".\sm_car_241123_1502\sm_car_241123_1502_093_Ca015TrN_MaWOT_ode23t_1.png","figure")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1045</v>
      </c>
      <c r="L95" s="4">
        <v>16.137041499999999</v>
      </c>
      <c r="M95" s="4">
        <v>71.567720246209319</v>
      </c>
      <c r="N95" s="4">
        <v>-0.53985690473359071</v>
      </c>
      <c r="O95" s="1" t="str">
        <f>HYPERLINK(".\sm_car_241123_1502\sm_car_241123_1502_094_Ca015TrN_MaLSS_ode23t_1.png","figure")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397</v>
      </c>
      <c r="L96" s="4">
        <v>3.0880909999999999</v>
      </c>
      <c r="M96" s="4">
        <v>242.58933322150111</v>
      </c>
      <c r="N96" s="4">
        <v>0.23204479017498239</v>
      </c>
      <c r="O96" s="1" t="str">
        <f>HYPERLINK(".\sm_car_241123_1502\sm_car_241123_1502_095_Ca120TrN_MaWOT_ode23t_1.png","figure")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533</v>
      </c>
      <c r="L97" s="4">
        <v>3.6292018000000001</v>
      </c>
      <c r="M97" s="4">
        <v>74.666471648084382</v>
      </c>
      <c r="N97" s="4">
        <v>-0.3383235529207731</v>
      </c>
      <c r="O97" s="1" t="str">
        <f>HYPERLINK(".\sm_car_241123_1502\sm_car_241123_1502_096_Ca120TrN_MaLSS_ode23t_1.png","figure")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410</v>
      </c>
      <c r="L98" s="4">
        <v>3.5450385</v>
      </c>
      <c r="M98" s="4">
        <v>241.58849230668042</v>
      </c>
      <c r="N98" s="4">
        <v>0.22875922025052459</v>
      </c>
      <c r="O98" s="1" t="str">
        <f>HYPERLINK(".\sm_car_241123_1502\sm_car_241123_1502_097_Ca121TrN_MaWOT_ode23t_1.png","figure")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520</v>
      </c>
      <c r="L99" s="4">
        <v>4.1505752999999999</v>
      </c>
      <c r="M99" s="4">
        <v>74.353839860724122</v>
      </c>
      <c r="N99" s="4">
        <v>-0.33319050607642808</v>
      </c>
      <c r="O99" s="1" t="str">
        <f>HYPERLINK(".\sm_car_241123_1502\sm_car_241123_1502_098_Ca121TrN_MaLSS_ode23t_1.png","figure")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400</v>
      </c>
      <c r="L100" s="4">
        <v>3.9373618000000001</v>
      </c>
      <c r="M100" s="4">
        <v>241.76209072684861</v>
      </c>
      <c r="N100" s="4">
        <v>0.22875252735845292</v>
      </c>
      <c r="O100" s="1" t="str">
        <f>HYPERLINK(".\sm_car_241123_1502\sm_car_241123_1502_099_Ca122TrN_MaWOT_ode23t_1.png","figure")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515</v>
      </c>
      <c r="L101" s="4">
        <v>4.5028014000000001</v>
      </c>
      <c r="M101" s="4">
        <v>74.380278535868698</v>
      </c>
      <c r="N101" s="4">
        <v>-0.33432766702827482</v>
      </c>
      <c r="O101" s="1" t="str">
        <f>HYPERLINK(".\sm_car_241123_1502\sm_car_241123_1502_100_Ca122TrN_MaLSS_ode23t_1.png","figure")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435</v>
      </c>
      <c r="L102" s="4">
        <v>4.1711970000000003</v>
      </c>
      <c r="M102" s="4">
        <v>241.12408359999506</v>
      </c>
      <c r="N102" s="4">
        <v>0.22480996842661691</v>
      </c>
      <c r="O102" s="1" t="str">
        <f>HYPERLINK(".\sm_car_241123_1502\sm_car_241123_1502_101_Ca123TrN_MaWOT_ode23t_1.png","figure")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516</v>
      </c>
      <c r="L103" s="4">
        <v>4.5259140000000002</v>
      </c>
      <c r="M103" s="4">
        <v>74.216156449224869</v>
      </c>
      <c r="N103" s="4">
        <v>-0.33189014440312492</v>
      </c>
      <c r="O103" s="1" t="str">
        <f>HYPERLINK(".\sm_car_241123_1502\sm_car_241123_1502_102_Ca123TrN_MaLSS_ode23t_1.png","figure")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1014</v>
      </c>
      <c r="L104" s="4">
        <v>4.0948561000000003</v>
      </c>
      <c r="M104" s="4">
        <v>242.5571517298188</v>
      </c>
      <c r="N104" s="4">
        <v>0.23284798756764125</v>
      </c>
      <c r="O104" s="1" t="str">
        <f>HYPERLINK(".\sm_car_241123_1502\sm_car_241123_1502_103_Ca124TrN_MaWOT_ode23t_1.png","figure")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1133</v>
      </c>
      <c r="L105" s="4">
        <v>4.7992270000000001</v>
      </c>
      <c r="M105" s="4">
        <v>74.661695931479969</v>
      </c>
      <c r="N105" s="4">
        <v>-0.34131446910383884</v>
      </c>
      <c r="O105" s="1" t="str">
        <f>HYPERLINK(".\sm_car_241123_1502\sm_car_241123_1502_104_Ca124TrN_MaLSS_ode23t_1.png","figure")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1012</v>
      </c>
      <c r="L106" s="4">
        <v>4.7164659000000002</v>
      </c>
      <c r="M106" s="4">
        <v>241.53684295376925</v>
      </c>
      <c r="N106" s="4">
        <v>0.22945725471175971</v>
      </c>
      <c r="O106" s="1" t="str">
        <f>HYPERLINK(".\sm_car_241123_1502\sm_car_241123_1502_105_Ca125TrN_MaWOT_ode23t_1.png","figure")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1160</v>
      </c>
      <c r="L107" s="4">
        <v>5.3619485999999998</v>
      </c>
      <c r="M107" s="4">
        <v>74.343339567296539</v>
      </c>
      <c r="N107" s="4">
        <v>-0.33685669393137219</v>
      </c>
      <c r="O107" s="1" t="str">
        <f>HYPERLINK(".\sm_car_241123_1502\sm_car_241123_1502_106_Ca125TrN_MaLSS_ode23t_1.png","figure")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1024</v>
      </c>
      <c r="L108" s="4">
        <v>5.0235129000000001</v>
      </c>
      <c r="M108" s="4">
        <v>241.64494914450705</v>
      </c>
      <c r="N108" s="4">
        <v>0.22965440154893621</v>
      </c>
      <c r="O108" s="1" t="str">
        <f>HYPERLINK(".\sm_car_241123_1502\sm_car_241123_1502_107_Ca126TrN_MaWOT_ode23t_1.png","figure")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1150</v>
      </c>
      <c r="L109" s="4">
        <v>5.9013587000000003</v>
      </c>
      <c r="M109" s="4">
        <v>74.347045555438086</v>
      </c>
      <c r="N109" s="4">
        <v>-0.33593715789945661</v>
      </c>
      <c r="O109" s="1" t="str">
        <f>HYPERLINK(".\sm_car_241123_1502\sm_car_241123_1502_108_Ca126TrN_MaLSS_ode23t_1.png","figure")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1025</v>
      </c>
      <c r="L110" s="4">
        <v>5.0150911000000002</v>
      </c>
      <c r="M110" s="4">
        <v>240.8641138787637</v>
      </c>
      <c r="N110" s="4">
        <v>0.22826121637114052</v>
      </c>
      <c r="O110" s="1" t="str">
        <f>HYPERLINK(".\sm_car_241123_1502\sm_car_241123_1502_109_Ca127TrN_MaWOT_ode23t_1.png","figure")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1140</v>
      </c>
      <c r="L111" s="4">
        <v>5.5776852000000003</v>
      </c>
      <c r="M111" s="4">
        <v>74.198510600798912</v>
      </c>
      <c r="N111" s="4">
        <v>-0.33246119998277507</v>
      </c>
      <c r="O111" s="1" t="str">
        <f>HYPERLINK(".\sm_car_241123_1502\sm_car_241123_1502_110_Ca127TrN_MaLSS_ode23t_1.png","figure")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646</v>
      </c>
      <c r="L112" s="4">
        <v>34.7342485</v>
      </c>
      <c r="M112" s="4">
        <v>410.8949134135575</v>
      </c>
      <c r="N112" s="4">
        <v>1.5845494205222519</v>
      </c>
      <c r="O112" s="1" t="str">
        <f>HYPERLINK(".\sm_car_241123_1502\sm_car_241123_1502_111_Ca140TrN_MaWOT_ode23t_1.png","figure")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599</v>
      </c>
      <c r="L113" s="4">
        <v>19.431976200000001</v>
      </c>
      <c r="M113" s="4">
        <v>157.01292658034524</v>
      </c>
      <c r="N113" s="4">
        <v>-0.55784705427010817</v>
      </c>
      <c r="O113" s="1" t="str">
        <f>HYPERLINK(".\sm_car_241123_1502\sm_car_241123_1502_112_Ca140TrN_MaLSS_ode23t_1.png","figure")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1178</v>
      </c>
      <c r="L114" s="4">
        <v>31.930251200000001</v>
      </c>
      <c r="M114" s="4">
        <v>410.98195959595955</v>
      </c>
      <c r="N114" s="4">
        <v>1.5684310525073628</v>
      </c>
      <c r="O114" s="1" t="str">
        <f>HYPERLINK(".\sm_car_241123_1502\sm_car_241123_1502_113_Ca142TrN_MaWOT_ode23t_1.png","figure")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1180</v>
      </c>
      <c r="L115" s="4">
        <v>21.541298699999999</v>
      </c>
      <c r="M115" s="4">
        <v>157.1017106966776</v>
      </c>
      <c r="N115" s="4">
        <v>-0.57023350173361365</v>
      </c>
      <c r="O115" s="1" t="str">
        <f>HYPERLINK(".\sm_car_241123_1502\sm_car_241123_1502_114_Ca142TrN_MaLSS_ode23t_1.png","figure")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352</v>
      </c>
      <c r="L116" s="4">
        <v>13.617573</v>
      </c>
      <c r="M116" s="4">
        <v>96.550121053933196</v>
      </c>
      <c r="N116" s="4">
        <v>-4.0302884928158783E-2</v>
      </c>
      <c r="O116" s="1" t="str">
        <f>HYPERLINK(".\sm_car_241123_1502\sm_car_241123_1502_115_Ca145TrN_MaWOT_ode23t_1.png","figure")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448</v>
      </c>
      <c r="L117" s="4">
        <v>15.2810174</v>
      </c>
      <c r="M117" s="4">
        <v>25.153725389691001</v>
      </c>
      <c r="N117" s="4">
        <v>-5.1459921547619879E-2</v>
      </c>
      <c r="O117" s="1" t="str">
        <f>HYPERLINK(".\sm_car_241123_1502\sm_car_241123_1502_116_Ca145TrN_MaLSS_ode23t_1.png","figure")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334</v>
      </c>
      <c r="L118" s="4">
        <v>9.7823808999999997</v>
      </c>
      <c r="M118" s="4">
        <v>114.92630297243322</v>
      </c>
      <c r="N118" s="4">
        <v>0.53489880249623289</v>
      </c>
      <c r="O118" s="1" t="str">
        <f>HYPERLINK(".\sm_car_241123_1502\sm_car_241123_1502_117_Ca146TrN_MaWOT_ode23t_1.png","figure")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466</v>
      </c>
      <c r="L119" s="4">
        <v>11.662198200000001</v>
      </c>
      <c r="M119" s="4">
        <v>35.842586489837366</v>
      </c>
      <c r="N119" s="4">
        <v>-3.0293077922035849E-2</v>
      </c>
      <c r="O119" s="1" t="str">
        <f>HYPERLINK(".\sm_car_241123_1502\sm_car_241123_1502_118_Ca146TrN_MaLSS_ode23t_1.png","figure")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334</v>
      </c>
      <c r="L120" s="4">
        <v>9.7866678999999994</v>
      </c>
      <c r="M120" s="4">
        <v>114.92630297243322</v>
      </c>
      <c r="N120" s="4">
        <v>0.53489880249623289</v>
      </c>
      <c r="O120" s="1" t="str">
        <f>HYPERLINK(".\sm_car_241123_1502\sm_car_241123_1502_119_Ca146TrN_MaWOT_ode23t_1.png","figure")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466</v>
      </c>
      <c r="L121" s="4">
        <v>11.480526100000001</v>
      </c>
      <c r="M121" s="4">
        <v>35.842586489837366</v>
      </c>
      <c r="N121" s="4">
        <v>-3.0293077922035849E-2</v>
      </c>
      <c r="O121" s="1" t="str">
        <f>HYPERLINK(".\sm_car_241123_1502\sm_car_241123_1502_120_Ca146TrN_MaLSS_ode23t_1.png","figure")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556</v>
      </c>
      <c r="L122" s="4">
        <v>23.210783500000002</v>
      </c>
      <c r="M122" s="4">
        <v>182.83678570097209</v>
      </c>
      <c r="N122" s="4">
        <v>0.29494732147162273</v>
      </c>
      <c r="O122" s="1" t="str">
        <f>HYPERLINK(".\sm_car_241123_1502\sm_car_241123_1502_121_Ca161TrN_MaWOT_ode23t_1.png","figure")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698</v>
      </c>
      <c r="L123" s="4">
        <v>28.248021099999999</v>
      </c>
      <c r="M123" s="4">
        <v>156.82955945434125</v>
      </c>
      <c r="N123" s="4">
        <v>-0.57120127256492736</v>
      </c>
      <c r="O123" s="1" t="str">
        <f>HYPERLINK(".\sm_car_241123_1502\sm_car_241123_1502_122_Ca161TrN_MaLSS_ode23t_1.png","figure")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594</v>
      </c>
      <c r="L124" s="4">
        <v>29.014116300000001</v>
      </c>
      <c r="M124" s="4">
        <v>282.01278532046217</v>
      </c>
      <c r="N124" s="4">
        <v>0.73743550092993548</v>
      </c>
      <c r="O124" s="1" t="str">
        <f>HYPERLINK(".\sm_car_241123_1502\sm_car_241123_1502_123_Ca163TrN_MaWOT_ode23t_1.png","figure")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789</v>
      </c>
      <c r="L125" s="4">
        <v>33.671661499999999</v>
      </c>
      <c r="M125" s="4">
        <v>260.53226796305523</v>
      </c>
      <c r="N125" s="4">
        <v>-0.46312355621088502</v>
      </c>
      <c r="O125" s="1" t="str">
        <f>HYPERLINK(".\sm_car_241123_1502\sm_car_241123_1502_124_Ca163TrN_MaLSS_ode23t_1.png","figure")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118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310</v>
      </c>
      <c r="L126" s="4">
        <v>14.0781659</v>
      </c>
      <c r="M126" s="4">
        <v>313.1814272404298</v>
      </c>
      <c r="N126" s="4">
        <v>2.1400284659081462E-4</v>
      </c>
      <c r="O126" s="1" t="str">
        <f>HYPERLINK(".\sm_car_241123_1502\sm_car_241123_1502_125_Ca184TrN_MaWOT_ode23t_1.png","figure")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118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470</v>
      </c>
      <c r="L127" s="4">
        <v>11.1758711</v>
      </c>
      <c r="M127" s="4">
        <v>112.43422139644193</v>
      </c>
      <c r="N127" s="4">
        <v>-0.16133389921739807</v>
      </c>
      <c r="O127" s="1" t="str">
        <f>HYPERLINK(".\sm_car_241123_1502\sm_car_241123_1502_126_Ca184TrN_MaLSS_ode23t_1.png","figure")</f>
        <v>figure</v>
      </c>
      <c r="P127" t="s">
        <v>15</v>
      </c>
    </row>
    <row r="128" spans="1:16" x14ac:dyDescent="0.25">
      <c r="A128">
        <v>127</v>
      </c>
      <c r="B128">
        <v>217</v>
      </c>
      <c r="C128" t="s">
        <v>45</v>
      </c>
      <c r="D128" t="s">
        <v>17</v>
      </c>
      <c r="E128" t="s">
        <v>107</v>
      </c>
      <c r="F128" t="s">
        <v>119</v>
      </c>
      <c r="G128" t="s">
        <v>26</v>
      </c>
      <c r="H128" t="s">
        <v>21</v>
      </c>
      <c r="I128" t="s">
        <v>22</v>
      </c>
      <c r="J128" t="s">
        <v>23</v>
      </c>
      <c r="K128">
        <v>696</v>
      </c>
      <c r="L128" s="4">
        <v>31.084472099999999</v>
      </c>
      <c r="M128" s="4">
        <v>283.04657258278075</v>
      </c>
      <c r="N128" s="4">
        <v>0.76182372902190987</v>
      </c>
      <c r="O128" s="1" t="str">
        <f>HYPERLINK(".\sm_car_241123_1502\sm_car_241123_1502_127_Ca217TrN_MaWOT_ode23t_1.png","figure")</f>
        <v>figure</v>
      </c>
      <c r="P128" t="s">
        <v>15</v>
      </c>
    </row>
    <row r="129" spans="1:16" x14ac:dyDescent="0.25">
      <c r="A129">
        <v>128</v>
      </c>
      <c r="B129">
        <v>217</v>
      </c>
      <c r="C129" t="s">
        <v>45</v>
      </c>
      <c r="D129" t="s">
        <v>17</v>
      </c>
      <c r="E129" t="s">
        <v>107</v>
      </c>
      <c r="F129" t="s">
        <v>119</v>
      </c>
      <c r="G129" t="s">
        <v>26</v>
      </c>
      <c r="H129" t="s">
        <v>21</v>
      </c>
      <c r="I129" t="s">
        <v>24</v>
      </c>
      <c r="J129" t="s">
        <v>23</v>
      </c>
      <c r="K129">
        <v>846</v>
      </c>
      <c r="L129" s="4">
        <v>33.890825800000002</v>
      </c>
      <c r="M129" s="4">
        <v>111.90837717479481</v>
      </c>
      <c r="N129" s="4">
        <v>-0.36860306891323769</v>
      </c>
      <c r="O129" s="1" t="str">
        <f>HYPERLINK(".\sm_car_241123_1502\sm_car_241123_1502_128_Ca217TrN_MaLSS_ode23t_1.png","figure")</f>
        <v>figure</v>
      </c>
      <c r="P129" t="s">
        <v>15</v>
      </c>
    </row>
    <row r="130" spans="1:16" x14ac:dyDescent="0.25">
      <c r="A130">
        <v>129</v>
      </c>
      <c r="B130">
        <v>12</v>
      </c>
      <c r="C130" t="s">
        <v>16</v>
      </c>
      <c r="D130" t="s">
        <v>17</v>
      </c>
      <c r="E130" t="s">
        <v>49</v>
      </c>
      <c r="F130" t="s">
        <v>28</v>
      </c>
      <c r="G130" t="s">
        <v>20</v>
      </c>
      <c r="H130" t="s">
        <v>21</v>
      </c>
      <c r="I130" t="s">
        <v>53</v>
      </c>
      <c r="J130" t="s">
        <v>23</v>
      </c>
      <c r="K130">
        <v>789</v>
      </c>
      <c r="L130" s="4">
        <v>10.122895099999999</v>
      </c>
      <c r="M130" s="4">
        <v>254.66356283777361</v>
      </c>
      <c r="N130" s="4">
        <v>3.4184045749752201E-3</v>
      </c>
      <c r="O130" s="1" t="str">
        <f>HYPERLINK(".\sm_car_241123_1502\sm_car_241123_1502_129_Ca012TrN_MaDLC_ode23t_1.png","figure")</f>
        <v>figure</v>
      </c>
      <c r="P130" t="s">
        <v>15</v>
      </c>
    </row>
    <row r="131" spans="1:16" x14ac:dyDescent="0.25">
      <c r="A131">
        <v>130</v>
      </c>
      <c r="B131">
        <v>12</v>
      </c>
      <c r="C131" t="s">
        <v>16</v>
      </c>
      <c r="D131" t="s">
        <v>17</v>
      </c>
      <c r="E131" t="s">
        <v>49</v>
      </c>
      <c r="F131" t="s">
        <v>28</v>
      </c>
      <c r="G131" t="s">
        <v>20</v>
      </c>
      <c r="H131" t="s">
        <v>21</v>
      </c>
      <c r="I131" t="s">
        <v>54</v>
      </c>
      <c r="J131" t="s">
        <v>23</v>
      </c>
      <c r="K131">
        <v>920</v>
      </c>
      <c r="L131" s="4">
        <v>14.9551116</v>
      </c>
      <c r="M131" s="4">
        <v>75.614992002903591</v>
      </c>
      <c r="N131" s="4">
        <v>0.76185348487473437</v>
      </c>
      <c r="O131" s="1" t="str">
        <f>HYPERLINK(".\sm_car_241123_1502\sm_car_241123_1502_130_Ca012TrN_MaIPA_ode23t_1.png","figure")</f>
        <v>figure</v>
      </c>
      <c r="P131" t="s">
        <v>15</v>
      </c>
    </row>
    <row r="132" spans="1:16" x14ac:dyDescent="0.25">
      <c r="A132">
        <v>131</v>
      </c>
      <c r="B132">
        <v>142</v>
      </c>
      <c r="C132" t="s">
        <v>45</v>
      </c>
      <c r="D132" t="s">
        <v>17</v>
      </c>
      <c r="E132" t="s">
        <v>49</v>
      </c>
      <c r="F132" t="s">
        <v>28</v>
      </c>
      <c r="G132" t="s">
        <v>26</v>
      </c>
      <c r="H132" t="s">
        <v>21</v>
      </c>
      <c r="I132" t="s">
        <v>53</v>
      </c>
      <c r="J132" t="s">
        <v>23</v>
      </c>
      <c r="K132">
        <v>737</v>
      </c>
      <c r="L132" s="4">
        <v>13.4929428</v>
      </c>
      <c r="M132" s="4">
        <v>254.53955569651851</v>
      </c>
      <c r="N132" s="4">
        <v>-5.2296742365980364E-3</v>
      </c>
      <c r="O132" s="1" t="str">
        <f>HYPERLINK(".\sm_car_241123_1502\sm_car_241123_1502_131_Ca142TrN_MaDLC_ode23t_1.png","figure")</f>
        <v>figure</v>
      </c>
      <c r="P132" t="s">
        <v>15</v>
      </c>
    </row>
    <row r="133" spans="1:16" x14ac:dyDescent="0.25">
      <c r="A133">
        <v>132</v>
      </c>
      <c r="B133">
        <v>142</v>
      </c>
      <c r="C133" t="s">
        <v>45</v>
      </c>
      <c r="D133" t="s">
        <v>17</v>
      </c>
      <c r="E133" t="s">
        <v>49</v>
      </c>
      <c r="F133" t="s">
        <v>28</v>
      </c>
      <c r="G133" t="s">
        <v>26</v>
      </c>
      <c r="H133" t="s">
        <v>21</v>
      </c>
      <c r="I133" t="s">
        <v>54</v>
      </c>
      <c r="J133" t="s">
        <v>23</v>
      </c>
      <c r="K133">
        <v>1588</v>
      </c>
      <c r="L133" s="4">
        <v>45.000586699999999</v>
      </c>
      <c r="M133" s="4">
        <v>84.932439758457647</v>
      </c>
      <c r="N133" s="4">
        <v>0.82561653020369785</v>
      </c>
      <c r="O133" s="1" t="str">
        <f>HYPERLINK(".\sm_car_241123_1502\sm_car_241123_1502_132_Ca142TrN_MaIPA_ode23t_1.png","figure")</f>
        <v>figure</v>
      </c>
      <c r="P133" t="s">
        <v>15</v>
      </c>
    </row>
    <row r="134" spans="1:16" x14ac:dyDescent="0.25">
      <c r="A134">
        <v>133</v>
      </c>
      <c r="B134">
        <v>145</v>
      </c>
      <c r="C134" t="s">
        <v>46</v>
      </c>
      <c r="D134" t="s">
        <v>17</v>
      </c>
      <c r="E134" t="s">
        <v>50</v>
      </c>
      <c r="F134" t="s">
        <v>19</v>
      </c>
      <c r="G134" t="s">
        <v>26</v>
      </c>
      <c r="H134" t="s">
        <v>21</v>
      </c>
      <c r="I134" t="s">
        <v>53</v>
      </c>
      <c r="J134" t="s">
        <v>23</v>
      </c>
      <c r="K134">
        <v>479</v>
      </c>
      <c r="L134" s="4">
        <v>16.391861500000001</v>
      </c>
      <c r="M134" s="4">
        <v>253.46890789424879</v>
      </c>
      <c r="N134" s="4">
        <v>4.8383939373216833E-2</v>
      </c>
      <c r="O134" s="1" t="str">
        <f>HYPERLINK(".\sm_car_241123_1502\sm_car_241123_1502_133_Ca145TrN_MaDLC_ode23t_1.png","figure")</f>
        <v>figure</v>
      </c>
      <c r="P134" t="s">
        <v>15</v>
      </c>
    </row>
    <row r="135" spans="1:16" x14ac:dyDescent="0.25">
      <c r="A135">
        <v>134</v>
      </c>
      <c r="B135">
        <v>145</v>
      </c>
      <c r="C135" t="s">
        <v>46</v>
      </c>
      <c r="D135" t="s">
        <v>17</v>
      </c>
      <c r="E135" t="s">
        <v>50</v>
      </c>
      <c r="F135" t="s">
        <v>19</v>
      </c>
      <c r="G135" t="s">
        <v>26</v>
      </c>
      <c r="H135" t="s">
        <v>21</v>
      </c>
      <c r="I135" t="s">
        <v>54</v>
      </c>
      <c r="J135" t="s">
        <v>23</v>
      </c>
      <c r="K135">
        <v>326</v>
      </c>
      <c r="L135" s="4">
        <v>12.1994113</v>
      </c>
      <c r="M135" s="4">
        <v>28.256966153245756</v>
      </c>
      <c r="N135" s="4">
        <v>1.5651586319126276E-2</v>
      </c>
      <c r="O135" s="1" t="str">
        <f>HYPERLINK(".\sm_car_241123_1502\sm_car_241123_1502_134_Ca145TrN_MaIPA_ode23t_1.png","figure")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118</v>
      </c>
      <c r="E136" t="s">
        <v>49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425</v>
      </c>
      <c r="L136" s="4">
        <v>11.4958636</v>
      </c>
      <c r="M136" s="4">
        <v>253.84581011487177</v>
      </c>
      <c r="N136" s="4">
        <v>1.3003523952696661E-2</v>
      </c>
      <c r="O136" s="1" t="str">
        <f>HYPERLINK(".\sm_car_241123_1502\sm_car_241123_1502_135_Ca184TrN_MaDLC_ode23t_1.png","figure")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118</v>
      </c>
      <c r="E137" t="s">
        <v>49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378</v>
      </c>
      <c r="L137" s="4">
        <v>12.7613632</v>
      </c>
      <c r="M137" s="4">
        <v>61.814092966713659</v>
      </c>
      <c r="N137" s="4">
        <v>0.55822494075219964</v>
      </c>
      <c r="O137" s="1" t="str">
        <f>HYPERLINK(".\sm_car_241123_1502\sm_car_241123_1502_136_Ca184TrN_MaIPA_ode23t_1.png","figure")</f>
        <v>figure</v>
      </c>
      <c r="P137" t="s">
        <v>15</v>
      </c>
    </row>
    <row r="138" spans="1:16" x14ac:dyDescent="0.25">
      <c r="A138">
        <v>137</v>
      </c>
      <c r="B138">
        <v>204</v>
      </c>
      <c r="C138" t="s">
        <v>105</v>
      </c>
      <c r="D138" t="s">
        <v>106</v>
      </c>
      <c r="E138" t="s">
        <v>18</v>
      </c>
      <c r="F138" t="s">
        <v>19</v>
      </c>
      <c r="G138" t="s">
        <v>20</v>
      </c>
      <c r="H138" t="s">
        <v>21</v>
      </c>
      <c r="I138" t="s">
        <v>53</v>
      </c>
      <c r="J138" t="s">
        <v>23</v>
      </c>
      <c r="K138">
        <v>1945</v>
      </c>
      <c r="L138" s="4">
        <v>24.636892199999998</v>
      </c>
      <c r="M138" s="4">
        <v>255.96164126647608</v>
      </c>
      <c r="N138" s="4">
        <v>1.3987100888559034E-2</v>
      </c>
      <c r="O138" s="1" t="str">
        <f>HYPERLINK(".\sm_car_241123_1502\sm_car_241123_1502_137_Ca204TrN_MaDLC_ode23t_1.png","figure")</f>
        <v>figure</v>
      </c>
      <c r="P138" t="s">
        <v>15</v>
      </c>
    </row>
    <row r="139" spans="1:16" x14ac:dyDescent="0.25">
      <c r="A139">
        <v>138</v>
      </c>
      <c r="B139">
        <v>204</v>
      </c>
      <c r="C139" t="s">
        <v>105</v>
      </c>
      <c r="D139" t="s">
        <v>106</v>
      </c>
      <c r="E139" t="s">
        <v>18</v>
      </c>
      <c r="F139" t="s">
        <v>19</v>
      </c>
      <c r="G139" t="s">
        <v>20</v>
      </c>
      <c r="H139" t="s">
        <v>21</v>
      </c>
      <c r="I139" t="s">
        <v>54</v>
      </c>
      <c r="J139" t="s">
        <v>23</v>
      </c>
      <c r="K139">
        <v>697</v>
      </c>
      <c r="L139" s="4">
        <v>11.9882121</v>
      </c>
      <c r="M139" s="4">
        <v>26.03863725034287</v>
      </c>
      <c r="N139" s="4">
        <v>9.6653189693024395E-3</v>
      </c>
      <c r="O139" s="1" t="str">
        <f>HYPERLINK(".\sm_car_241123_1502\sm_car_241123_1502_138_Ca204TrN_MaIPA_ode23t_1.png","figure")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55</v>
      </c>
      <c r="J140" t="s">
        <v>23</v>
      </c>
      <c r="K140">
        <v>2711</v>
      </c>
      <c r="L140" s="4">
        <v>26.837622700000001</v>
      </c>
      <c r="M140" s="4">
        <v>-1.9061142353471228E-2</v>
      </c>
      <c r="N140" s="4">
        <v>-0.62246278584254122</v>
      </c>
      <c r="O140" s="1" t="str">
        <f>HYPERLINK(".\sm_car_241123_1502\sm_car_241123_1502_139_Ca012TrN_MaMPK_ode23t_1.png","figure")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56</v>
      </c>
      <c r="J141" t="s">
        <v>23</v>
      </c>
      <c r="K141">
        <v>3152</v>
      </c>
      <c r="L141" s="4">
        <v>29.582434800000001</v>
      </c>
      <c r="M141" s="4">
        <v>0.76580982614547999</v>
      </c>
      <c r="N141" s="4">
        <v>-0.32247535026145996</v>
      </c>
      <c r="O141" s="1" t="str">
        <f>HYPERLINK(".\sm_car_241123_1502\sm_car_241123_1502_140_Ca012TrN_MaMPC_ode23t_1.png","figure")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55</v>
      </c>
      <c r="J142" t="s">
        <v>23</v>
      </c>
      <c r="K142">
        <v>2554</v>
      </c>
      <c r="L142" s="4">
        <v>59.4421611</v>
      </c>
      <c r="M142" s="4">
        <v>-5.205668880170336E-3</v>
      </c>
      <c r="N142" s="4">
        <v>-0.54732795533325795</v>
      </c>
      <c r="O142" s="1" t="str">
        <f>HYPERLINK(".\sm_car_241123_1502\sm_car_241123_1502_141_Ca142TrN_MaMPK_ode23t_1.png","figure")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56</v>
      </c>
      <c r="J143" t="s">
        <v>23</v>
      </c>
      <c r="K143">
        <v>3178</v>
      </c>
      <c r="L143" s="4">
        <v>67.349476899999999</v>
      </c>
      <c r="M143" s="4">
        <v>0.78057310625118959</v>
      </c>
      <c r="N143" s="4">
        <v>-0.36534512521703638</v>
      </c>
      <c r="O143" s="1" t="str">
        <f>HYPERLINK(".\sm_car_241123_1502\sm_car_241123_1502_142_Ca142TrN_MaMPC_ode23t_1.png","figure")</f>
        <v>figure</v>
      </c>
      <c r="P143" t="s">
        <v>15</v>
      </c>
    </row>
    <row r="144" spans="1:16" x14ac:dyDescent="0.25">
      <c r="A144">
        <v>143</v>
      </c>
      <c r="B144">
        <v>116</v>
      </c>
      <c r="C144" t="s">
        <v>16</v>
      </c>
      <c r="D144" t="s">
        <v>35</v>
      </c>
      <c r="E144" t="s">
        <v>18</v>
      </c>
      <c r="F144" t="s">
        <v>28</v>
      </c>
      <c r="G144" t="s">
        <v>20</v>
      </c>
      <c r="H144" t="s">
        <v>21</v>
      </c>
      <c r="I144" t="s">
        <v>55</v>
      </c>
      <c r="J144" t="s">
        <v>23</v>
      </c>
      <c r="K144">
        <v>2857</v>
      </c>
      <c r="L144" s="4">
        <v>12.1158859</v>
      </c>
      <c r="M144" s="4">
        <v>-9.4021420613169537E-3</v>
      </c>
      <c r="N144" s="4">
        <v>-0.52498836036783203</v>
      </c>
      <c r="O144" s="1" t="str">
        <f>HYPERLINK(".\sm_car_241123_1502\sm_car_241123_1502_143_Ca116TrN_MaMPK_ode23t_1.png","figure")</f>
        <v>figure</v>
      </c>
      <c r="P144" t="s">
        <v>15</v>
      </c>
    </row>
    <row r="145" spans="1:16" x14ac:dyDescent="0.25">
      <c r="A145">
        <v>144</v>
      </c>
      <c r="B145">
        <v>116</v>
      </c>
      <c r="C145" t="s">
        <v>16</v>
      </c>
      <c r="D145" t="s">
        <v>35</v>
      </c>
      <c r="E145" t="s">
        <v>18</v>
      </c>
      <c r="F145" t="s">
        <v>28</v>
      </c>
      <c r="G145" t="s">
        <v>20</v>
      </c>
      <c r="H145" t="s">
        <v>21</v>
      </c>
      <c r="I145" t="s">
        <v>56</v>
      </c>
      <c r="J145" t="s">
        <v>23</v>
      </c>
      <c r="K145">
        <v>3381</v>
      </c>
      <c r="L145" s="4">
        <v>12.2785932</v>
      </c>
      <c r="M145" s="4">
        <v>0.78840366783032856</v>
      </c>
      <c r="N145" s="4">
        <v>-0.35491627188995661</v>
      </c>
      <c r="O145" s="1" t="str">
        <f>HYPERLINK(".\sm_car_241123_1502\sm_car_241123_1502_144_Ca116TrN_MaMPC_ode23t_1.png","figure")</f>
        <v>figure</v>
      </c>
      <c r="P145" t="s">
        <v>15</v>
      </c>
    </row>
    <row r="146" spans="1:16" x14ac:dyDescent="0.25">
      <c r="A146">
        <v>145</v>
      </c>
      <c r="B146">
        <v>143</v>
      </c>
      <c r="C146" t="s">
        <v>46</v>
      </c>
      <c r="D146" t="s">
        <v>17</v>
      </c>
      <c r="E146" t="s">
        <v>47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2727</v>
      </c>
      <c r="L146" s="4">
        <v>49.621201200000002</v>
      </c>
      <c r="M146" s="4">
        <v>-1.5832191474531659E-2</v>
      </c>
      <c r="N146" s="4">
        <v>-0.38968310019088964</v>
      </c>
      <c r="O146" s="1" t="str">
        <f>HYPERLINK(".\sm_car_241123_1502\sm_car_241123_1502_145_Ca143TrN_MaMPK_ode23t_1.png","figure")</f>
        <v>figure</v>
      </c>
      <c r="P146" t="s">
        <v>15</v>
      </c>
    </row>
    <row r="147" spans="1:16" x14ac:dyDescent="0.25">
      <c r="A147">
        <v>146</v>
      </c>
      <c r="B147">
        <v>143</v>
      </c>
      <c r="C147" t="s">
        <v>46</v>
      </c>
      <c r="D147" t="s">
        <v>17</v>
      </c>
      <c r="E147" t="s">
        <v>47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2901</v>
      </c>
      <c r="L147" s="4">
        <v>63.933800599999998</v>
      </c>
      <c r="M147" s="4">
        <v>0.78785172636833067</v>
      </c>
      <c r="N147" s="4">
        <v>-0.25804940120101671</v>
      </c>
      <c r="O147" s="1" t="str">
        <f>HYPERLINK(".\sm_car_241123_1502\sm_car_241123_1502_146_Ca143TrN_MaMPC_ode23t_1.png","figure")</f>
        <v>figure</v>
      </c>
      <c r="P147" t="s">
        <v>15</v>
      </c>
    </row>
    <row r="148" spans="1:16" x14ac:dyDescent="0.25">
      <c r="A148">
        <v>147</v>
      </c>
      <c r="B148">
        <v>166</v>
      </c>
      <c r="C148" t="s">
        <v>45</v>
      </c>
      <c r="D148" t="s">
        <v>57</v>
      </c>
      <c r="E148" t="s">
        <v>18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3169</v>
      </c>
      <c r="L148" s="4">
        <v>39.176518799999997</v>
      </c>
      <c r="M148" s="4">
        <v>-6.4730559594906451E-3</v>
      </c>
      <c r="N148" s="4">
        <v>-0.55584882815189207</v>
      </c>
      <c r="O148" s="1" t="str">
        <f>HYPERLINK(".\sm_car_241123_1502\sm_car_241123_1502_147_Ca166TrN_MaMPK_ode23t_1.png","figure")</f>
        <v>figure</v>
      </c>
      <c r="P148" t="s">
        <v>15</v>
      </c>
    </row>
    <row r="149" spans="1:16" x14ac:dyDescent="0.25">
      <c r="A149">
        <v>148</v>
      </c>
      <c r="B149">
        <v>166</v>
      </c>
      <c r="C149" t="s">
        <v>45</v>
      </c>
      <c r="D149" t="s">
        <v>57</v>
      </c>
      <c r="E149" t="s">
        <v>18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3555</v>
      </c>
      <c r="L149" s="4">
        <v>43.908292799999998</v>
      </c>
      <c r="M149" s="4">
        <v>0.78872832538059079</v>
      </c>
      <c r="N149" s="4">
        <v>-0.35641386566230798</v>
      </c>
      <c r="O149" s="1" t="str">
        <f>HYPERLINK(".\sm_car_241123_1502\sm_car_241123_1502_148_Ca166TrN_MaMPC_ode23t_1.png","figure")</f>
        <v>figure</v>
      </c>
      <c r="P149" t="s">
        <v>15</v>
      </c>
    </row>
    <row r="150" spans="1:16" x14ac:dyDescent="0.25">
      <c r="A150">
        <v>149</v>
      </c>
      <c r="B150">
        <v>169</v>
      </c>
      <c r="C150" t="s">
        <v>45</v>
      </c>
      <c r="D150" t="s">
        <v>58</v>
      </c>
      <c r="E150" t="s">
        <v>49</v>
      </c>
      <c r="F150" t="s">
        <v>19</v>
      </c>
      <c r="G150" t="s">
        <v>26</v>
      </c>
      <c r="H150" t="s">
        <v>21</v>
      </c>
      <c r="I150" t="s">
        <v>55</v>
      </c>
      <c r="J150" t="s">
        <v>23</v>
      </c>
      <c r="K150">
        <v>3129</v>
      </c>
      <c r="L150" s="4">
        <v>34.821499600000003</v>
      </c>
      <c r="M150" s="4">
        <v>1.6394593209982669E-2</v>
      </c>
      <c r="N150" s="4">
        <v>-0.55723775840328993</v>
      </c>
      <c r="O150" s="1" t="str">
        <f>HYPERLINK(".\sm_car_241123_1502\sm_car_241123_1502_149_Ca169TrN_MaMPK_ode23t_1.png","figure")</f>
        <v>figure</v>
      </c>
      <c r="P150" t="s">
        <v>15</v>
      </c>
    </row>
    <row r="151" spans="1:16" x14ac:dyDescent="0.25">
      <c r="A151">
        <v>150</v>
      </c>
      <c r="B151">
        <v>169</v>
      </c>
      <c r="C151" t="s">
        <v>45</v>
      </c>
      <c r="D151" t="s">
        <v>58</v>
      </c>
      <c r="E151" t="s">
        <v>49</v>
      </c>
      <c r="F151" t="s">
        <v>19</v>
      </c>
      <c r="G151" t="s">
        <v>26</v>
      </c>
      <c r="H151" t="s">
        <v>21</v>
      </c>
      <c r="I151" t="s">
        <v>56</v>
      </c>
      <c r="J151" t="s">
        <v>23</v>
      </c>
      <c r="K151">
        <v>3387</v>
      </c>
      <c r="L151" s="4">
        <v>37.281327599999997</v>
      </c>
      <c r="M151" s="4">
        <v>0.78915055522461763</v>
      </c>
      <c r="N151" s="4">
        <v>-0.35568212185740766</v>
      </c>
      <c r="O151" s="1" t="str">
        <f>HYPERLINK(".\sm_car_241123_1502\sm_car_241123_1502_150_Ca169TrN_MaMPC_ode23t_1.png","figure")</f>
        <v>figure</v>
      </c>
      <c r="P151" t="s">
        <v>15</v>
      </c>
    </row>
    <row r="152" spans="1:16" x14ac:dyDescent="0.25">
      <c r="A152">
        <v>151</v>
      </c>
      <c r="B152">
        <v>184</v>
      </c>
      <c r="C152" t="s">
        <v>105</v>
      </c>
      <c r="D152" t="s">
        <v>118</v>
      </c>
      <c r="E152" t="s">
        <v>49</v>
      </c>
      <c r="F152" t="s">
        <v>19</v>
      </c>
      <c r="G152" t="s">
        <v>20</v>
      </c>
      <c r="H152" t="s">
        <v>21</v>
      </c>
      <c r="I152" t="s">
        <v>55</v>
      </c>
      <c r="J152" t="s">
        <v>23</v>
      </c>
      <c r="K152">
        <v>2091</v>
      </c>
      <c r="L152" s="4">
        <v>50.964125500000002</v>
      </c>
      <c r="M152" s="4">
        <v>-1.8130445210063517E-2</v>
      </c>
      <c r="N152" s="4">
        <v>-0.69898571560516654</v>
      </c>
      <c r="O152" s="1" t="str">
        <f>HYPERLINK(".\sm_car_241123_1502\sm_car_241123_1502_151_Ca184TrN_MaMPK_ode23t_1.png","figure")</f>
        <v>figure</v>
      </c>
      <c r="P152" t="s">
        <v>15</v>
      </c>
    </row>
    <row r="153" spans="1:16" x14ac:dyDescent="0.25">
      <c r="A153">
        <v>152</v>
      </c>
      <c r="B153">
        <v>184</v>
      </c>
      <c r="C153" t="s">
        <v>105</v>
      </c>
      <c r="D153" t="s">
        <v>118</v>
      </c>
      <c r="E153" t="s">
        <v>49</v>
      </c>
      <c r="F153" t="s">
        <v>19</v>
      </c>
      <c r="G153" t="s">
        <v>20</v>
      </c>
      <c r="H153" t="s">
        <v>21</v>
      </c>
      <c r="I153" t="s">
        <v>56</v>
      </c>
      <c r="J153" t="s">
        <v>23</v>
      </c>
      <c r="K153">
        <v>2170</v>
      </c>
      <c r="L153" s="4">
        <v>49.580532499999997</v>
      </c>
      <c r="M153" s="4">
        <v>0.77504067001194876</v>
      </c>
      <c r="N153" s="4">
        <v>-0.32958888405163067</v>
      </c>
      <c r="O153" s="1" t="str">
        <f>HYPERLINK(".\sm_car_241123_1502\sm_car_241123_1502_152_Ca184TrN_MaMPC_ode23t_1.png","figure")</f>
        <v>figure</v>
      </c>
      <c r="P153" t="s">
        <v>15</v>
      </c>
    </row>
    <row r="154" spans="1:16" x14ac:dyDescent="0.25">
      <c r="A154">
        <v>153</v>
      </c>
      <c r="B154">
        <v>195</v>
      </c>
      <c r="C154" t="s">
        <v>45</v>
      </c>
      <c r="D154" t="s">
        <v>58</v>
      </c>
      <c r="E154" t="s">
        <v>107</v>
      </c>
      <c r="F154" t="s">
        <v>19</v>
      </c>
      <c r="G154" t="s">
        <v>26</v>
      </c>
      <c r="H154" t="s">
        <v>21</v>
      </c>
      <c r="I154" t="s">
        <v>55</v>
      </c>
      <c r="J154" t="s">
        <v>23</v>
      </c>
      <c r="K154">
        <v>3151</v>
      </c>
      <c r="L154" s="4">
        <v>31.1283463</v>
      </c>
      <c r="M154" s="4">
        <v>-1.9464044277697379E-2</v>
      </c>
      <c r="N154" s="4">
        <v>-0.55648627320189847</v>
      </c>
      <c r="O154" s="1" t="str">
        <f>HYPERLINK(".\sm_car_241123_1502\sm_car_241123_1502_153_Ca195TrN_MaMPK_ode23t_1.png","figure")</f>
        <v>figure</v>
      </c>
      <c r="P154" t="s">
        <v>15</v>
      </c>
    </row>
    <row r="155" spans="1:16" x14ac:dyDescent="0.25">
      <c r="A155">
        <v>154</v>
      </c>
      <c r="B155">
        <v>195</v>
      </c>
      <c r="C155" t="s">
        <v>45</v>
      </c>
      <c r="D155" t="s">
        <v>58</v>
      </c>
      <c r="E155" t="s">
        <v>107</v>
      </c>
      <c r="F155" t="s">
        <v>19</v>
      </c>
      <c r="G155" t="s">
        <v>26</v>
      </c>
      <c r="H155" t="s">
        <v>21</v>
      </c>
      <c r="I155" t="s">
        <v>56</v>
      </c>
      <c r="J155" t="s">
        <v>23</v>
      </c>
      <c r="K155">
        <v>3359</v>
      </c>
      <c r="L155" s="4">
        <v>31.678535799999999</v>
      </c>
      <c r="M155" s="4">
        <v>0.78666632840645612</v>
      </c>
      <c r="N155" s="4">
        <v>-0.35564326941441954</v>
      </c>
      <c r="O155" s="1" t="str">
        <f>HYPERLINK(".\sm_car_241123_1502\sm_car_241123_1502_154_Ca195TrN_MaMPC_ode23t_1.png","figure")</f>
        <v>figure</v>
      </c>
      <c r="P155" t="s">
        <v>15</v>
      </c>
    </row>
    <row r="156" spans="1:16" x14ac:dyDescent="0.25">
      <c r="A156">
        <v>155</v>
      </c>
      <c r="B156">
        <v>198</v>
      </c>
      <c r="C156" t="s">
        <v>105</v>
      </c>
      <c r="D156" t="s">
        <v>118</v>
      </c>
      <c r="E156" t="s">
        <v>107</v>
      </c>
      <c r="F156" t="s">
        <v>19</v>
      </c>
      <c r="G156" t="s">
        <v>20</v>
      </c>
      <c r="H156" t="s">
        <v>21</v>
      </c>
      <c r="I156" t="s">
        <v>55</v>
      </c>
      <c r="J156" t="s">
        <v>23</v>
      </c>
      <c r="K156">
        <v>2128</v>
      </c>
      <c r="L156" s="4">
        <v>28.683750100000001</v>
      </c>
      <c r="M156" s="4">
        <v>-2.2772171663045238E-3</v>
      </c>
      <c r="N156" s="4">
        <v>-0.69949119120577441</v>
      </c>
      <c r="O156" s="1" t="str">
        <f>HYPERLINK(".\sm_car_241123_1502\sm_car_241123_1502_155_Ca198TrN_MaMPK_ode23t_1.png","figure")</f>
        <v>figure</v>
      </c>
      <c r="P156" t="s">
        <v>15</v>
      </c>
    </row>
    <row r="157" spans="1:16" x14ac:dyDescent="0.25">
      <c r="A157">
        <v>156</v>
      </c>
      <c r="B157">
        <v>198</v>
      </c>
      <c r="C157" t="s">
        <v>105</v>
      </c>
      <c r="D157" t="s">
        <v>118</v>
      </c>
      <c r="E157" t="s">
        <v>107</v>
      </c>
      <c r="F157" t="s">
        <v>19</v>
      </c>
      <c r="G157" t="s">
        <v>20</v>
      </c>
      <c r="H157" t="s">
        <v>21</v>
      </c>
      <c r="I157" t="s">
        <v>56</v>
      </c>
      <c r="J157" t="s">
        <v>23</v>
      </c>
      <c r="K157">
        <v>2193</v>
      </c>
      <c r="L157" s="4">
        <v>28.297674399999998</v>
      </c>
      <c r="M157" s="4">
        <v>0.78874244246508773</v>
      </c>
      <c r="N157" s="4">
        <v>-0.32973708897288107</v>
      </c>
      <c r="O157" s="1" t="str">
        <f>HYPERLINK(".\sm_car_241123_1502\sm_car_241123_1502_156_Ca198TrN_MaMPC_ode23t_1.png","figure")</f>
        <v>figure</v>
      </c>
      <c r="P157" t="s">
        <v>15</v>
      </c>
    </row>
    <row r="158" spans="1:16" x14ac:dyDescent="0.25">
      <c r="A158">
        <v>157</v>
      </c>
      <c r="B158">
        <v>151</v>
      </c>
      <c r="C158" t="s">
        <v>16</v>
      </c>
      <c r="D158" t="s">
        <v>17</v>
      </c>
      <c r="E158" t="s">
        <v>18</v>
      </c>
      <c r="F158" t="s">
        <v>19</v>
      </c>
      <c r="G158" t="s">
        <v>59</v>
      </c>
      <c r="H158" t="s">
        <v>21</v>
      </c>
      <c r="I158" t="s">
        <v>24</v>
      </c>
      <c r="J158" t="s">
        <v>23</v>
      </c>
      <c r="K158">
        <v>514</v>
      </c>
      <c r="L158" s="4">
        <v>12.641666000000001</v>
      </c>
      <c r="M158" s="4">
        <v>73.315043831519588</v>
      </c>
      <c r="N158" s="4">
        <v>-0.82706100581313025</v>
      </c>
      <c r="O158" s="1" t="str">
        <f>HYPERLINK(".\sm_car_241123_1502\sm_car_241123_1502_157_Ca151TrN_MaLSS_ode23t_1.png","figure")</f>
        <v>figure</v>
      </c>
      <c r="P158" t="s">
        <v>15</v>
      </c>
    </row>
    <row r="159" spans="1:16" x14ac:dyDescent="0.25">
      <c r="A159">
        <v>158</v>
      </c>
      <c r="B159">
        <v>152</v>
      </c>
      <c r="C159" t="s">
        <v>16</v>
      </c>
      <c r="D159" t="s">
        <v>17</v>
      </c>
      <c r="E159" t="s">
        <v>18</v>
      </c>
      <c r="F159" t="s">
        <v>19</v>
      </c>
      <c r="G159" t="s">
        <v>60</v>
      </c>
      <c r="H159" t="s">
        <v>21</v>
      </c>
      <c r="I159" t="s">
        <v>24</v>
      </c>
      <c r="J159" t="s">
        <v>23</v>
      </c>
      <c r="K159">
        <v>526</v>
      </c>
      <c r="L159" s="4">
        <v>12.1123782</v>
      </c>
      <c r="M159" s="4">
        <v>71.688031151233133</v>
      </c>
      <c r="N159" s="4">
        <v>-0.54027646486917513</v>
      </c>
      <c r="O159" s="1" t="str">
        <f>HYPERLINK(".\sm_car_241123_1502\sm_car_241123_1502_158_Ca152TrN_MaLSS_ode23t_1.png","figure")</f>
        <v>figure</v>
      </c>
      <c r="P159" t="s">
        <v>15</v>
      </c>
    </row>
    <row r="160" spans="1:16" x14ac:dyDescent="0.25">
      <c r="A160">
        <v>159</v>
      </c>
      <c r="B160">
        <v>153</v>
      </c>
      <c r="C160" t="s">
        <v>16</v>
      </c>
      <c r="D160" t="s">
        <v>17</v>
      </c>
      <c r="E160" t="s">
        <v>18</v>
      </c>
      <c r="F160" t="s">
        <v>19</v>
      </c>
      <c r="G160" t="s">
        <v>61</v>
      </c>
      <c r="H160" t="s">
        <v>21</v>
      </c>
      <c r="I160" t="s">
        <v>24</v>
      </c>
      <c r="J160" t="s">
        <v>23</v>
      </c>
      <c r="K160">
        <v>544</v>
      </c>
      <c r="L160" s="4">
        <v>12.906231999999999</v>
      </c>
      <c r="M160" s="4">
        <v>71.524522695828367</v>
      </c>
      <c r="N160" s="4">
        <v>-0.89121361340626692</v>
      </c>
      <c r="O160" s="1" t="str">
        <f>HYPERLINK(".\sm_car_241123_1502\sm_car_241123_1502_159_Ca153TrN_MaLSS_ode23t_1.png","figure")</f>
        <v>figure</v>
      </c>
      <c r="P160" t="s">
        <v>15</v>
      </c>
    </row>
    <row r="161" spans="1:16" x14ac:dyDescent="0.25">
      <c r="A161">
        <v>160</v>
      </c>
      <c r="B161">
        <v>154</v>
      </c>
      <c r="C161" t="s">
        <v>16</v>
      </c>
      <c r="D161" t="s">
        <v>17</v>
      </c>
      <c r="E161" t="s">
        <v>18</v>
      </c>
      <c r="F161" t="s">
        <v>19</v>
      </c>
      <c r="G161" t="s">
        <v>108</v>
      </c>
      <c r="H161" t="s">
        <v>21</v>
      </c>
      <c r="I161" t="s">
        <v>24</v>
      </c>
      <c r="J161" t="s">
        <v>23</v>
      </c>
      <c r="K161">
        <v>492</v>
      </c>
      <c r="L161" s="4">
        <v>14.5998039</v>
      </c>
      <c r="M161" s="4">
        <v>71.718258133700104</v>
      </c>
      <c r="N161" s="4">
        <v>-0.36629671652416884</v>
      </c>
      <c r="O161" s="1" t="str">
        <f>HYPERLINK(".\sm_car_241123_1502\sm_car_241123_1502_160_Ca154TrN_MaLSS_ode23t_1.png","figure")</f>
        <v>figure</v>
      </c>
      <c r="P161" t="s">
        <v>15</v>
      </c>
    </row>
    <row r="162" spans="1:16" x14ac:dyDescent="0.25">
      <c r="A162">
        <v>161</v>
      </c>
      <c r="B162">
        <v>155</v>
      </c>
      <c r="C162" t="s">
        <v>16</v>
      </c>
      <c r="D162" t="s">
        <v>17</v>
      </c>
      <c r="E162" t="s">
        <v>18</v>
      </c>
      <c r="F162" t="s">
        <v>19</v>
      </c>
      <c r="G162" t="s">
        <v>62</v>
      </c>
      <c r="H162" t="s">
        <v>21</v>
      </c>
      <c r="I162" t="s">
        <v>24</v>
      </c>
      <c r="J162" t="s">
        <v>23</v>
      </c>
      <c r="K162">
        <v>549</v>
      </c>
      <c r="L162" s="4">
        <v>17.4076825</v>
      </c>
      <c r="M162" s="4">
        <v>71.567813582393072</v>
      </c>
      <c r="N162" s="4">
        <v>-0.86328739376068775</v>
      </c>
      <c r="O162" s="1" t="str">
        <f>HYPERLINK(".\sm_car_241123_1502\sm_car_241123_1502_161_Ca155TrN_MaLSS_ode23t_1.png","figure")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22</v>
      </c>
      <c r="J163" t="s">
        <v>63</v>
      </c>
      <c r="K163">
        <v>3246</v>
      </c>
      <c r="L163" s="4">
        <v>8.5347223000000003</v>
      </c>
      <c r="M163" s="4">
        <v>233.86868495957117</v>
      </c>
      <c r="N163" s="4">
        <v>1.5279868512777874E-2</v>
      </c>
      <c r="O163" s="1" t="str">
        <f>HYPERLINK(".\sm_car_241123_1502\sm_car_241123_1502_162_Ca004TrN_MaWOT_ode3_1.png","figure")</f>
        <v>figure</v>
      </c>
      <c r="P163" t="s">
        <v>15</v>
      </c>
    </row>
    <row r="164" spans="1:16" x14ac:dyDescent="0.25">
      <c r="A164">
        <v>163</v>
      </c>
      <c r="B164">
        <v>4</v>
      </c>
      <c r="C164" t="s">
        <v>16</v>
      </c>
      <c r="D164" t="s">
        <v>17</v>
      </c>
      <c r="E164" t="s">
        <v>18</v>
      </c>
      <c r="F164" t="s">
        <v>28</v>
      </c>
      <c r="G164" t="s">
        <v>20</v>
      </c>
      <c r="H164" t="s">
        <v>21</v>
      </c>
      <c r="I164" t="s">
        <v>24</v>
      </c>
      <c r="J164" t="s">
        <v>63</v>
      </c>
      <c r="K164">
        <v>2564</v>
      </c>
      <c r="L164" s="4">
        <v>7.2783303999999998</v>
      </c>
      <c r="M164" s="4">
        <v>71.992416552873522</v>
      </c>
      <c r="N164" s="4">
        <v>-0.55216478985760642</v>
      </c>
      <c r="O164" s="1" t="str">
        <f>HYPERLINK(".\sm_car_241123_1502\sm_car_241123_1502_163_Ca004TrN_MaLSS_ode3_1.png","figure")</f>
        <v>figure</v>
      </c>
      <c r="P164" t="s">
        <v>15</v>
      </c>
    </row>
    <row r="165" spans="1:16" x14ac:dyDescent="0.25">
      <c r="A165">
        <v>164</v>
      </c>
      <c r="B165">
        <v>4</v>
      </c>
      <c r="C165" t="s">
        <v>16</v>
      </c>
      <c r="D165" t="s">
        <v>17</v>
      </c>
      <c r="E165" t="s">
        <v>18</v>
      </c>
      <c r="F165" t="s">
        <v>28</v>
      </c>
      <c r="G165" t="s">
        <v>20</v>
      </c>
      <c r="H165" t="s">
        <v>21</v>
      </c>
      <c r="I165" t="s">
        <v>64</v>
      </c>
      <c r="J165" t="s">
        <v>63</v>
      </c>
      <c r="K165">
        <v>2562</v>
      </c>
      <c r="L165" s="4">
        <v>6.9820602999999997</v>
      </c>
      <c r="M165" s="4">
        <v>64.314286423663845</v>
      </c>
      <c r="N165" s="4">
        <v>-25.500994053949178</v>
      </c>
      <c r="O165" s="1" t="str">
        <f>HYPERLINK(".\sm_car_241123_1502\sm_car_241123_1502_164_Ca004TrN_MaTUR_ode3_1.png","figure")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22</v>
      </c>
      <c r="J166" t="s">
        <v>63</v>
      </c>
      <c r="K166">
        <v>3244</v>
      </c>
      <c r="L166" s="4">
        <v>3.6300284999999999</v>
      </c>
      <c r="M166" s="4">
        <v>242.70379428436041</v>
      </c>
      <c r="N166" s="4">
        <v>0.23327324309701689</v>
      </c>
      <c r="O166" s="1" t="str">
        <f>HYPERLINK(".\sm_car_241123_1502\sm_car_241123_1502_165_Ca116TrN_MaWOT_ode3_1.png","figure")</f>
        <v>figure</v>
      </c>
      <c r="P166" t="s">
        <v>15</v>
      </c>
    </row>
    <row r="167" spans="1:16" x14ac:dyDescent="0.25">
      <c r="A167">
        <v>166</v>
      </c>
      <c r="B167">
        <v>116</v>
      </c>
      <c r="C167" t="s">
        <v>16</v>
      </c>
      <c r="D167" t="s">
        <v>35</v>
      </c>
      <c r="E167" t="s">
        <v>18</v>
      </c>
      <c r="F167" t="s">
        <v>28</v>
      </c>
      <c r="G167" t="s">
        <v>20</v>
      </c>
      <c r="H167" t="s">
        <v>21</v>
      </c>
      <c r="I167" t="s">
        <v>24</v>
      </c>
      <c r="J167" t="s">
        <v>63</v>
      </c>
      <c r="K167">
        <v>2564</v>
      </c>
      <c r="L167" s="4">
        <v>3.0480276000000002</v>
      </c>
      <c r="M167" s="4">
        <v>74.659491982450774</v>
      </c>
      <c r="N167" s="4">
        <v>-0.34093758006291858</v>
      </c>
      <c r="O167" s="1" t="str">
        <f>HYPERLINK(".\sm_car_241123_1502\sm_car_241123_1502_166_Ca116TrN_MaLSS_ode3_1.png","figure")</f>
        <v>figure</v>
      </c>
      <c r="P167" t="s">
        <v>15</v>
      </c>
    </row>
    <row r="168" spans="1:16" x14ac:dyDescent="0.25">
      <c r="A168">
        <v>167</v>
      </c>
      <c r="B168">
        <v>116</v>
      </c>
      <c r="C168" t="s">
        <v>16</v>
      </c>
      <c r="D168" t="s">
        <v>35</v>
      </c>
      <c r="E168" t="s">
        <v>18</v>
      </c>
      <c r="F168" t="s">
        <v>28</v>
      </c>
      <c r="G168" t="s">
        <v>20</v>
      </c>
      <c r="H168" t="s">
        <v>21</v>
      </c>
      <c r="I168" t="s">
        <v>64</v>
      </c>
      <c r="J168" t="s">
        <v>63</v>
      </c>
      <c r="K168">
        <v>2563</v>
      </c>
      <c r="L168" s="4">
        <v>3.0229547000000001</v>
      </c>
      <c r="M168" s="4">
        <v>71.32397117118802</v>
      </c>
      <c r="N168" s="4">
        <v>-17.591551103430934</v>
      </c>
      <c r="O168" s="1" t="str">
        <f>HYPERLINK(".\sm_car_241123_1502\sm_car_241123_1502_167_Ca116TrN_MaTUR_ode3_1.png","figure")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22</v>
      </c>
      <c r="J169" t="s">
        <v>63</v>
      </c>
      <c r="K169">
        <v>3244</v>
      </c>
      <c r="L169" s="4">
        <v>2.0951754999999999</v>
      </c>
      <c r="M169" s="4">
        <v>242.88013068819623</v>
      </c>
      <c r="N169" s="4">
        <v>0.23307974035338433</v>
      </c>
      <c r="O169" s="1" t="str">
        <f>HYPERLINK(".\sm_car_241123_1502\sm_car_241123_1502_168_Ca124TrN_MaWOT_ode3_1.png","figure")</f>
        <v>figure</v>
      </c>
      <c r="P169" t="s">
        <v>15</v>
      </c>
    </row>
    <row r="170" spans="1:16" x14ac:dyDescent="0.25">
      <c r="A170">
        <v>169</v>
      </c>
      <c r="B170">
        <v>124</v>
      </c>
      <c r="C170" t="s">
        <v>16</v>
      </c>
      <c r="D170" t="s">
        <v>35</v>
      </c>
      <c r="E170" t="s">
        <v>49</v>
      </c>
      <c r="F170" t="s">
        <v>28</v>
      </c>
      <c r="G170" t="s">
        <v>20</v>
      </c>
      <c r="H170" t="s">
        <v>21</v>
      </c>
      <c r="I170" t="s">
        <v>24</v>
      </c>
      <c r="J170" t="s">
        <v>63</v>
      </c>
      <c r="K170">
        <v>2565</v>
      </c>
      <c r="L170" s="4">
        <v>1.7861772</v>
      </c>
      <c r="M170" s="4">
        <v>74.798394612599097</v>
      </c>
      <c r="N170" s="4">
        <v>-0.34251622055333664</v>
      </c>
      <c r="O170" s="1" t="str">
        <f>HYPERLINK(".\sm_car_241123_1502\sm_car_241123_1502_169_Ca124TrN_MaLSS_ode3_1.png","figure")</f>
        <v>figure</v>
      </c>
      <c r="P170" t="s">
        <v>15</v>
      </c>
    </row>
    <row r="171" spans="1:16" x14ac:dyDescent="0.25">
      <c r="A171">
        <v>170</v>
      </c>
      <c r="B171">
        <v>124</v>
      </c>
      <c r="C171" t="s">
        <v>16</v>
      </c>
      <c r="D171" t="s">
        <v>35</v>
      </c>
      <c r="E171" t="s">
        <v>49</v>
      </c>
      <c r="F171" t="s">
        <v>28</v>
      </c>
      <c r="G171" t="s">
        <v>20</v>
      </c>
      <c r="H171" t="s">
        <v>21</v>
      </c>
      <c r="I171" t="s">
        <v>64</v>
      </c>
      <c r="J171" t="s">
        <v>63</v>
      </c>
      <c r="K171">
        <v>2564</v>
      </c>
      <c r="L171" s="4">
        <v>1.788368</v>
      </c>
      <c r="M171" s="4">
        <v>71.449352968456878</v>
      </c>
      <c r="N171" s="4">
        <v>-17.63759605520924</v>
      </c>
      <c r="O171" s="1" t="str">
        <f>HYPERLINK(".\sm_car_241123_1502\sm_car_241123_1502_170_Ca124TrN_MaTUR_ode3_1.png","figure")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22</v>
      </c>
      <c r="J172" t="s">
        <v>63</v>
      </c>
      <c r="K172">
        <v>3834</v>
      </c>
      <c r="L172" s="4">
        <v>11.803996100000001</v>
      </c>
      <c r="M172" s="4">
        <v>411.22792847602506</v>
      </c>
      <c r="N172" s="4">
        <v>1.5233271513306836</v>
      </c>
      <c r="O172" s="1" t="str">
        <f>HYPERLINK(".\sm_car_241123_1502\sm_car_241123_1502_171_Ca141TrN_MaWOT_ode3_1.png","figure")</f>
        <v>figure</v>
      </c>
      <c r="P172" t="s">
        <v>15</v>
      </c>
    </row>
    <row r="173" spans="1:16" x14ac:dyDescent="0.25">
      <c r="A173">
        <v>172</v>
      </c>
      <c r="B173">
        <v>141</v>
      </c>
      <c r="C173" t="s">
        <v>45</v>
      </c>
      <c r="D173" t="s">
        <v>17</v>
      </c>
      <c r="E173" t="s">
        <v>18</v>
      </c>
      <c r="F173" t="s">
        <v>28</v>
      </c>
      <c r="G173" t="s">
        <v>26</v>
      </c>
      <c r="H173" t="s">
        <v>21</v>
      </c>
      <c r="I173" t="s">
        <v>24</v>
      </c>
      <c r="J173" t="s">
        <v>63</v>
      </c>
      <c r="K173">
        <v>3192</v>
      </c>
      <c r="L173" s="4">
        <v>10.147903599999999</v>
      </c>
      <c r="M173" s="4">
        <v>157.12815752213527</v>
      </c>
      <c r="N173" s="4">
        <v>-0.5645994055756246</v>
      </c>
      <c r="O173" s="1" t="str">
        <f>HYPERLINK(".\sm_car_241123_1502\sm_car_241123_1502_172_Ca141TrN_MaLSS_ode3_1.png","figure")</f>
        <v>figure</v>
      </c>
      <c r="P173" t="s">
        <v>15</v>
      </c>
    </row>
    <row r="174" spans="1:16" x14ac:dyDescent="0.25">
      <c r="A174">
        <v>173</v>
      </c>
      <c r="B174">
        <v>141</v>
      </c>
      <c r="C174" t="s">
        <v>45</v>
      </c>
      <c r="D174" t="s">
        <v>17</v>
      </c>
      <c r="E174" t="s">
        <v>18</v>
      </c>
      <c r="F174" t="s">
        <v>28</v>
      </c>
      <c r="G174" t="s">
        <v>26</v>
      </c>
      <c r="H174" t="s">
        <v>21</v>
      </c>
      <c r="I174" t="s">
        <v>64</v>
      </c>
      <c r="J174" t="s">
        <v>63</v>
      </c>
      <c r="K174">
        <v>3160</v>
      </c>
      <c r="L174" s="4">
        <v>10.045532</v>
      </c>
      <c r="M174" s="4">
        <v>99.142812471287741</v>
      </c>
      <c r="N174" s="4">
        <v>-89.336781381079831</v>
      </c>
      <c r="O174" s="1" t="str">
        <f>HYPERLINK(".\sm_car_241123_1502\sm_car_241123_1502_173_Ca141TrN_MaTUR_ode3_1.png","figure")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22</v>
      </c>
      <c r="J175" t="s">
        <v>63</v>
      </c>
      <c r="K175">
        <v>2852</v>
      </c>
      <c r="L175" s="4">
        <v>7.8208586999999996</v>
      </c>
      <c r="M175" s="4">
        <v>96.916334895944843</v>
      </c>
      <c r="N175" s="4">
        <v>8.561370597194301E-2</v>
      </c>
      <c r="O175" s="1" t="str">
        <f>HYPERLINK(".\sm_car_241123_1502\sm_car_241123_1502_174_Ca145TrN_MaWOT_ode3_1.png","figure")</f>
        <v>figure</v>
      </c>
      <c r="P175" t="s">
        <v>15</v>
      </c>
    </row>
    <row r="176" spans="1:16" x14ac:dyDescent="0.25">
      <c r="A176">
        <v>175</v>
      </c>
      <c r="B176">
        <v>145</v>
      </c>
      <c r="C176" t="s">
        <v>46</v>
      </c>
      <c r="D176" t="s">
        <v>17</v>
      </c>
      <c r="E176" t="s">
        <v>50</v>
      </c>
      <c r="F176" t="s">
        <v>19</v>
      </c>
      <c r="G176" t="s">
        <v>26</v>
      </c>
      <c r="H176" t="s">
        <v>21</v>
      </c>
      <c r="I176" t="s">
        <v>24</v>
      </c>
      <c r="J176" t="s">
        <v>63</v>
      </c>
      <c r="K176">
        <v>2380</v>
      </c>
      <c r="L176" s="4">
        <v>6.4704338999999997</v>
      </c>
      <c r="M176" s="4">
        <v>25.406467285427112</v>
      </c>
      <c r="N176" s="4">
        <v>-4.2611053323550682E-2</v>
      </c>
      <c r="O176" s="1" t="str">
        <f>HYPERLINK(".\sm_car_241123_1502\sm_car_241123_1502_175_Ca145TrN_MaLSS_ode3_1.png","figure")</f>
        <v>figure</v>
      </c>
      <c r="P176" t="s">
        <v>15</v>
      </c>
    </row>
    <row r="177" spans="1:16" x14ac:dyDescent="0.25">
      <c r="A177">
        <v>176</v>
      </c>
      <c r="B177">
        <v>145</v>
      </c>
      <c r="C177" t="s">
        <v>46</v>
      </c>
      <c r="D177" t="s">
        <v>17</v>
      </c>
      <c r="E177" t="s">
        <v>50</v>
      </c>
      <c r="F177" t="s">
        <v>19</v>
      </c>
      <c r="G177" t="s">
        <v>26</v>
      </c>
      <c r="H177" t="s">
        <v>21</v>
      </c>
      <c r="I177" t="s">
        <v>64</v>
      </c>
      <c r="J177" t="s">
        <v>63</v>
      </c>
      <c r="K177">
        <v>2381</v>
      </c>
      <c r="L177" s="4">
        <v>6.2837022999999999</v>
      </c>
      <c r="M177" s="4">
        <v>25.252817023767324</v>
      </c>
      <c r="N177" s="4">
        <v>-2.6278209780660262</v>
      </c>
      <c r="O177" s="1" t="str">
        <f>HYPERLINK(".\sm_car_241123_1502\sm_car_241123_1502_176_Ca145TrN_MaTUR_ode3_1.png","figure")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109</v>
      </c>
      <c r="F178" t="s">
        <v>19</v>
      </c>
      <c r="G178" t="s">
        <v>26</v>
      </c>
      <c r="H178" t="s">
        <v>21</v>
      </c>
      <c r="I178" t="s">
        <v>22</v>
      </c>
      <c r="J178" t="s">
        <v>63</v>
      </c>
      <c r="K178">
        <v>2854</v>
      </c>
      <c r="L178" s="4">
        <v>8.6362842999999998</v>
      </c>
      <c r="M178" s="4">
        <v>97.72769805979955</v>
      </c>
      <c r="N178" s="4">
        <v>-5.0716881747819013E-2</v>
      </c>
      <c r="O178" s="1" t="str">
        <f>HYPERLINK(".\sm_car_241123_1502\sm_car_241123_1502_177_Ca199TrN_MaWOT_ode3_1.png","figure")</f>
        <v>figure</v>
      </c>
      <c r="P178" t="s">
        <v>15</v>
      </c>
    </row>
    <row r="179" spans="1:16" x14ac:dyDescent="0.25">
      <c r="A179">
        <v>178</v>
      </c>
      <c r="B179">
        <v>199</v>
      </c>
      <c r="C179" t="s">
        <v>46</v>
      </c>
      <c r="D179" t="s">
        <v>17</v>
      </c>
      <c r="E179" t="s">
        <v>109</v>
      </c>
      <c r="F179" t="s">
        <v>19</v>
      </c>
      <c r="G179" t="s">
        <v>26</v>
      </c>
      <c r="H179" t="s">
        <v>21</v>
      </c>
      <c r="I179" t="s">
        <v>24</v>
      </c>
      <c r="J179" t="s">
        <v>63</v>
      </c>
      <c r="K179">
        <v>2381</v>
      </c>
      <c r="L179" s="4">
        <v>7.1839238999999999</v>
      </c>
      <c r="M179" s="4">
        <v>26.092676274625305</v>
      </c>
      <c r="N179" s="4">
        <v>-5.5248795523061167E-2</v>
      </c>
      <c r="O179" s="1" t="str">
        <f>HYPERLINK(".\sm_car_241123_1502\sm_car_241123_1502_178_Ca199TrN_MaLSS_ode3_1.png","figure")</f>
        <v>figure</v>
      </c>
      <c r="P179" t="s">
        <v>15</v>
      </c>
    </row>
    <row r="180" spans="1:16" x14ac:dyDescent="0.25">
      <c r="A180">
        <v>179</v>
      </c>
      <c r="B180">
        <v>199</v>
      </c>
      <c r="C180" t="s">
        <v>46</v>
      </c>
      <c r="D180" t="s">
        <v>17</v>
      </c>
      <c r="E180" t="s">
        <v>109</v>
      </c>
      <c r="F180" t="s">
        <v>19</v>
      </c>
      <c r="G180" t="s">
        <v>26</v>
      </c>
      <c r="H180" t="s">
        <v>21</v>
      </c>
      <c r="I180" t="s">
        <v>64</v>
      </c>
      <c r="J180" t="s">
        <v>63</v>
      </c>
      <c r="K180">
        <v>2385</v>
      </c>
      <c r="L180" s="4">
        <v>7.2035377</v>
      </c>
      <c r="M180" s="4">
        <v>25.92677454518039</v>
      </c>
      <c r="N180" s="4">
        <v>-2.7324566843135929</v>
      </c>
      <c r="O180" s="1" t="str">
        <f>HYPERLINK(".\sm_car_241123_1502\sm_car_241123_1502_179_Ca199TrN_MaTUR_ode3_1.png","figure")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21</v>
      </c>
      <c r="I181" t="s">
        <v>53</v>
      </c>
      <c r="J181" t="s">
        <v>23</v>
      </c>
      <c r="K181">
        <v>544</v>
      </c>
      <c r="L181" s="4">
        <v>8.4318656000000001</v>
      </c>
      <c r="M181" s="4">
        <v>254.9937267451192</v>
      </c>
      <c r="N181" s="4">
        <v>-5.729548791094885E-3</v>
      </c>
      <c r="O181" s="1" t="str">
        <f>HYPERLINK(".\sm_car_241123_1502\sm_car_241123_1502_180_Ca139TrN_MaDLC_ode23t_1.png","figure")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941</v>
      </c>
      <c r="L182" s="4">
        <v>28.796504800000001</v>
      </c>
      <c r="M182" s="4">
        <v>253.22399529782149</v>
      </c>
      <c r="N182" s="4">
        <v>0.18402465781969113</v>
      </c>
      <c r="O182" s="1" t="str">
        <f>HYPERLINK(".\sm_car_241123_1502\sm_car_241123_1502_181_Ca139TrE_MaDLC_ode23t_1.png","figure")</f>
        <v>figure</v>
      </c>
      <c r="P182" t="s">
        <v>15</v>
      </c>
    </row>
    <row r="183" spans="1:16" x14ac:dyDescent="0.25">
      <c r="A183">
        <v>182</v>
      </c>
      <c r="B183">
        <v>139</v>
      </c>
      <c r="C183" t="s">
        <v>45</v>
      </c>
      <c r="D183" t="s">
        <v>17</v>
      </c>
      <c r="E183" t="s">
        <v>18</v>
      </c>
      <c r="F183" t="s">
        <v>19</v>
      </c>
      <c r="G183" t="s">
        <v>26</v>
      </c>
      <c r="H183" t="s">
        <v>66</v>
      </c>
      <c r="I183" t="s">
        <v>53</v>
      </c>
      <c r="J183" t="s">
        <v>23</v>
      </c>
      <c r="K183">
        <v>1032</v>
      </c>
      <c r="L183" s="4">
        <v>35.399750599999997</v>
      </c>
      <c r="M183" s="4">
        <v>255.81071632805481</v>
      </c>
      <c r="N183" s="4">
        <v>-5.2069453177825409E-3</v>
      </c>
      <c r="O183" s="1" t="str">
        <f>HYPERLINK(".\sm_car_241123_1502\sm_car_241123_1502_182_Ca139TrT_MaDLC_ode23t_1.png","figure")</f>
        <v>figure</v>
      </c>
      <c r="P183" t="s">
        <v>15</v>
      </c>
    </row>
    <row r="184" spans="1:16" x14ac:dyDescent="0.25">
      <c r="A184">
        <v>183</v>
      </c>
      <c r="B184">
        <v>139</v>
      </c>
      <c r="C184" t="s">
        <v>45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770</v>
      </c>
      <c r="L184" s="4">
        <v>17.7212517</v>
      </c>
      <c r="M184" s="4">
        <v>253.48325399856589</v>
      </c>
      <c r="N184" s="4">
        <v>1.2780606771325864E-2</v>
      </c>
      <c r="O184" s="1" t="str">
        <f>HYPERLINK(".\sm_car_241123_1502\sm_car_241123_1502_183_Ca139TrE_MaDLC_ode23t_1.png","figure")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21</v>
      </c>
      <c r="I185" t="s">
        <v>53</v>
      </c>
      <c r="J185" t="s">
        <v>23</v>
      </c>
      <c r="K185">
        <v>624</v>
      </c>
      <c r="L185" s="4">
        <v>8.4171545000000005</v>
      </c>
      <c r="M185" s="4">
        <v>254.06237997542303</v>
      </c>
      <c r="N185" s="4">
        <v>3.3049855993327881E-3</v>
      </c>
      <c r="O185" s="1" t="str">
        <f>HYPERLINK(".\sm_car_241123_1502\sm_car_241123_1502_184_Ca002TrN_MaDLC_ode23t_1.png","figure")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783</v>
      </c>
      <c r="L186" s="4">
        <v>20.126681099999999</v>
      </c>
      <c r="M186" s="4">
        <v>253.9379512103115</v>
      </c>
      <c r="N186" s="4">
        <v>3.380469825884802E-3</v>
      </c>
      <c r="O186" s="1" t="str">
        <f>HYPERLINK(".\sm_car_241123_1502\sm_car_241123_1502_185_Ca002TrE_MaDLC_ode23t_1.png","figure")</f>
        <v>figure</v>
      </c>
      <c r="P186" t="s">
        <v>15</v>
      </c>
    </row>
    <row r="187" spans="1:16" x14ac:dyDescent="0.25">
      <c r="A187">
        <v>186</v>
      </c>
      <c r="B187">
        <v>2</v>
      </c>
      <c r="C187" t="s">
        <v>16</v>
      </c>
      <c r="D187" t="s">
        <v>17</v>
      </c>
      <c r="E187" t="s">
        <v>18</v>
      </c>
      <c r="F187" t="s">
        <v>19</v>
      </c>
      <c r="G187" t="s">
        <v>26</v>
      </c>
      <c r="H187" t="s">
        <v>66</v>
      </c>
      <c r="I187" t="s">
        <v>53</v>
      </c>
      <c r="J187" t="s">
        <v>23</v>
      </c>
      <c r="K187">
        <v>948</v>
      </c>
      <c r="L187" s="4">
        <v>26.743649699999999</v>
      </c>
      <c r="M187" s="4">
        <v>253.96609780891589</v>
      </c>
      <c r="N187" s="4">
        <v>3.370779183883954E-3</v>
      </c>
      <c r="O187" s="1" t="str">
        <f>HYPERLINK(".\sm_car_241123_1502\sm_car_241123_1502_186_Ca002TrT_MaDLC_ode23t_1.png","figure")</f>
        <v>figure</v>
      </c>
      <c r="P187" t="s">
        <v>15</v>
      </c>
    </row>
    <row r="188" spans="1:16" x14ac:dyDescent="0.25">
      <c r="A188">
        <v>187</v>
      </c>
      <c r="B188">
        <v>2</v>
      </c>
      <c r="C188" t="s">
        <v>16</v>
      </c>
      <c r="D188" t="s">
        <v>17</v>
      </c>
      <c r="E188" t="s">
        <v>18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787</v>
      </c>
      <c r="L188" s="4">
        <v>15.4711987</v>
      </c>
      <c r="M188" s="4">
        <v>253.28273047495685</v>
      </c>
      <c r="N188" s="4">
        <v>3.7275972765025145E-3</v>
      </c>
      <c r="O188" s="1" t="str">
        <f>HYPERLINK(".\sm_car_241123_1502\sm_car_241123_1502_187_Ca002TrE_MaDLC_ode23t_1.png","figure")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21</v>
      </c>
      <c r="I189" t="s">
        <v>53</v>
      </c>
      <c r="J189" t="s">
        <v>23</v>
      </c>
      <c r="K189">
        <v>479</v>
      </c>
      <c r="L189" s="4">
        <v>16.4073803</v>
      </c>
      <c r="M189" s="4">
        <v>253.46890789424879</v>
      </c>
      <c r="N189" s="4">
        <v>4.8383939373216833E-2</v>
      </c>
      <c r="O189" s="1" t="str">
        <f>HYPERLINK(".\sm_car_241123_1502\sm_car_241123_1502_188_Ca145TrN_MaDLC_ode23t_1.png","figure")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561</v>
      </c>
      <c r="L190" s="4">
        <v>31.238442899999999</v>
      </c>
      <c r="M190" s="4">
        <v>253.39007730194493</v>
      </c>
      <c r="N190" s="4">
        <v>4.9059883565386819E-2</v>
      </c>
      <c r="O190" s="1" t="str">
        <f>HYPERLINK(".\sm_car_241123_1502\sm_car_241123_1502_189_Ca145TrE_MaDLC_ode23t_1.png","figure")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145</v>
      </c>
      <c r="C191" t="s">
        <v>46</v>
      </c>
      <c r="D191" t="s">
        <v>17</v>
      </c>
      <c r="E191" t="s">
        <v>50</v>
      </c>
      <c r="F191" t="s">
        <v>19</v>
      </c>
      <c r="G191" t="s">
        <v>26</v>
      </c>
      <c r="H191" t="s">
        <v>66</v>
      </c>
      <c r="I191" t="s">
        <v>53</v>
      </c>
      <c r="J191" t="s">
        <v>23</v>
      </c>
      <c r="K191">
        <v>718</v>
      </c>
      <c r="L191" s="4">
        <v>41.850575300000003</v>
      </c>
      <c r="M191" s="4">
        <v>253.66259240561686</v>
      </c>
      <c r="N191" s="4">
        <v>4.7651444236371354E-2</v>
      </c>
      <c r="O191" s="1" t="str">
        <f>HYPERLINK(".\sm_car_241123_1502\sm_car_241123_1502_190_Ca145TrT_MaDLC_ode23t_1.png","figure")</f>
        <v>figure</v>
      </c>
      <c r="P191" t="s">
        <v>15</v>
      </c>
    </row>
    <row r="192" spans="1:16" x14ac:dyDescent="0.25">
      <c r="A192">
        <v>191</v>
      </c>
      <c r="B192">
        <v>145</v>
      </c>
      <c r="C192" t="s">
        <v>46</v>
      </c>
      <c r="D192" t="s">
        <v>17</v>
      </c>
      <c r="E192" t="s">
        <v>50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560</v>
      </c>
      <c r="L192" s="4">
        <v>25.852393299999999</v>
      </c>
      <c r="M192" s="4">
        <v>254.24879017683003</v>
      </c>
      <c r="N192" s="4">
        <v>4.578916668767441E-2</v>
      </c>
      <c r="O192" s="1" t="str">
        <f>HYPERLINK(".\sm_car_241123_1502\sm_car_241123_1502_191_Ca145TrE_MaDLC_ode23t_1.png","figure")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109</v>
      </c>
      <c r="F193" t="s">
        <v>19</v>
      </c>
      <c r="G193" t="s">
        <v>26</v>
      </c>
      <c r="H193" t="s">
        <v>21</v>
      </c>
      <c r="I193" t="s">
        <v>53</v>
      </c>
      <c r="J193" t="s">
        <v>23</v>
      </c>
      <c r="K193">
        <v>488</v>
      </c>
      <c r="L193" s="4">
        <v>6.5845319</v>
      </c>
      <c r="M193" s="4">
        <v>253.95159224272635</v>
      </c>
      <c r="N193" s="4">
        <v>4.6439929524696666E-2</v>
      </c>
      <c r="O193" s="1" t="str">
        <f>HYPERLINK(".\sm_car_241123_1502\sm_car_241123_1502_192_Ca199TrN_MaDLC_ode23t_1.png","figure")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109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565</v>
      </c>
      <c r="L194" s="4">
        <v>16.1134165</v>
      </c>
      <c r="M194" s="4">
        <v>254.24760825135291</v>
      </c>
      <c r="N194" s="4">
        <v>4.5781326419549906E-2</v>
      </c>
      <c r="O194" s="1" t="str">
        <f>HYPERLINK(".\sm_car_241123_1502\sm_car_241123_1502_193_Ca199TrE_MaDLC_ode23t_1.png","figure")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199</v>
      </c>
      <c r="C195" t="s">
        <v>46</v>
      </c>
      <c r="D195" t="s">
        <v>17</v>
      </c>
      <c r="E195" t="s">
        <v>109</v>
      </c>
      <c r="F195" t="s">
        <v>19</v>
      </c>
      <c r="G195" t="s">
        <v>26</v>
      </c>
      <c r="H195" t="s">
        <v>66</v>
      </c>
      <c r="I195" t="s">
        <v>53</v>
      </c>
      <c r="J195" t="s">
        <v>23</v>
      </c>
      <c r="K195">
        <v>644</v>
      </c>
      <c r="L195" s="4">
        <v>16.873373399999998</v>
      </c>
      <c r="M195" s="4">
        <v>254.62879422543841</v>
      </c>
      <c r="N195" s="4">
        <v>4.4162484497951127E-2</v>
      </c>
      <c r="O195" s="1" t="str">
        <f>HYPERLINK(".\sm_car_241123_1502\sm_car_241123_1502_194_Ca199TrT_MaDLC_ode23t_1.png","figure")</f>
        <v>figure</v>
      </c>
      <c r="P195" t="s">
        <v>15</v>
      </c>
    </row>
    <row r="196" spans="1:16" x14ac:dyDescent="0.25">
      <c r="A196">
        <v>195</v>
      </c>
      <c r="B196">
        <v>199</v>
      </c>
      <c r="C196" t="s">
        <v>46</v>
      </c>
      <c r="D196" t="s">
        <v>17</v>
      </c>
      <c r="E196" t="s">
        <v>109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567</v>
      </c>
      <c r="L196" s="4">
        <v>11.8965701</v>
      </c>
      <c r="M196" s="4">
        <v>254.24773460876776</v>
      </c>
      <c r="N196" s="4">
        <v>4.5789469289656104E-2</v>
      </c>
      <c r="O196" s="1" t="str">
        <f>HYPERLINK(".\sm_car_241123_1502\sm_car_241123_1502_195_Ca199TrE_MaDLC_ode23t_1.png","figure")</f>
        <v>figure</v>
      </c>
      <c r="P196" t="s">
        <v>15</v>
      </c>
    </row>
    <row r="197" spans="1:16" x14ac:dyDescent="0.25">
      <c r="A197">
        <v>196</v>
      </c>
      <c r="B197">
        <v>139</v>
      </c>
      <c r="C197" t="s">
        <v>45</v>
      </c>
      <c r="D197" t="s">
        <v>17</v>
      </c>
      <c r="E197" t="s">
        <v>18</v>
      </c>
      <c r="F197" t="s">
        <v>19</v>
      </c>
      <c r="G197" t="s">
        <v>26</v>
      </c>
      <c r="H197" t="s">
        <v>65</v>
      </c>
      <c r="I197" t="s">
        <v>67</v>
      </c>
      <c r="J197" t="s">
        <v>23</v>
      </c>
      <c r="K197">
        <v>465</v>
      </c>
      <c r="L197" s="4">
        <v>12.985653900000001</v>
      </c>
      <c r="M197" s="4">
        <v>261.07529882762759</v>
      </c>
      <c r="N197" s="4">
        <v>2.5017225634369535</v>
      </c>
      <c r="O197" s="1" t="str">
        <f>HYPERLINK(".\sm_car_241123_1502\sm_car_241123_1502_196_Ca139TrE_MaTRD_ode23t_1.png","figure")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67</v>
      </c>
      <c r="J198" t="s">
        <v>23</v>
      </c>
      <c r="K198">
        <v>501</v>
      </c>
      <c r="L198" s="4">
        <v>12.102472799999999</v>
      </c>
      <c r="M198" s="4">
        <v>261.05801973685629</v>
      </c>
      <c r="N198" s="4">
        <v>2.5012456697664249</v>
      </c>
      <c r="O198" s="1" t="str">
        <f>HYPERLINK(".\sm_car_241123_1502\sm_car_241123_1502_197_Ca139TrU_MaTRD_ode23t_1.png","figure")</f>
        <v>figure</v>
      </c>
      <c r="P198" t="s">
        <v>15</v>
      </c>
    </row>
    <row r="199" spans="1:16" x14ac:dyDescent="0.25">
      <c r="A199">
        <v>198</v>
      </c>
      <c r="B199">
        <v>149</v>
      </c>
      <c r="C199" t="s">
        <v>46</v>
      </c>
      <c r="D199" t="s">
        <v>17</v>
      </c>
      <c r="E199" t="s">
        <v>68</v>
      </c>
      <c r="F199" t="s">
        <v>19</v>
      </c>
      <c r="G199" t="s">
        <v>26</v>
      </c>
      <c r="H199" t="s">
        <v>21</v>
      </c>
      <c r="I199" t="s">
        <v>69</v>
      </c>
      <c r="J199" t="s">
        <v>23</v>
      </c>
      <c r="K199">
        <v>1265</v>
      </c>
      <c r="L199" s="4">
        <v>12.0695467</v>
      </c>
      <c r="M199" s="4">
        <v>-5.3880997176934354E-3</v>
      </c>
      <c r="N199" s="4">
        <v>-6.9305897505276604E-4</v>
      </c>
      <c r="O199" s="1" t="str">
        <f>HYPERLINK(".\sm_car_241123_1502\sm_car_241123_1502_198_Ca149TrN_MaPST_ode23t_1.png","figure")</f>
        <v>figure</v>
      </c>
      <c r="P199" t="s">
        <v>15</v>
      </c>
    </row>
    <row r="200" spans="1:16" x14ac:dyDescent="0.25">
      <c r="A200">
        <v>199</v>
      </c>
      <c r="B200">
        <v>139</v>
      </c>
      <c r="C200" t="s">
        <v>45</v>
      </c>
      <c r="D200" t="s">
        <v>17</v>
      </c>
      <c r="E200" t="s">
        <v>18</v>
      </c>
      <c r="F200" t="s">
        <v>19</v>
      </c>
      <c r="G200" t="s">
        <v>26</v>
      </c>
      <c r="H200" t="s">
        <v>21</v>
      </c>
      <c r="I200" t="s">
        <v>70</v>
      </c>
      <c r="J200" t="s">
        <v>23</v>
      </c>
      <c r="K200">
        <v>1604</v>
      </c>
      <c r="L200" s="4">
        <v>35.117947600000001</v>
      </c>
      <c r="M200" s="4">
        <v>36.421876650262611</v>
      </c>
      <c r="N200" s="4">
        <v>0.34881533046418839</v>
      </c>
      <c r="O200" s="1" t="str">
        <f>HYPERLINK(".\sm_car_241123_1502\sm_car_241123_1502_199_Ca139TrN_MaSKD_ode23t_1.png","figure")</f>
        <v>figure</v>
      </c>
      <c r="P200" t="s">
        <v>15</v>
      </c>
    </row>
    <row r="201" spans="1:16" x14ac:dyDescent="0.25">
      <c r="A201">
        <v>200</v>
      </c>
      <c r="B201">
        <v>139</v>
      </c>
      <c r="C201" t="s">
        <v>45</v>
      </c>
      <c r="D201" t="s">
        <v>17</v>
      </c>
      <c r="E201" t="s">
        <v>18</v>
      </c>
      <c r="F201" t="s">
        <v>19</v>
      </c>
      <c r="G201" t="s">
        <v>26</v>
      </c>
      <c r="H201" t="s">
        <v>21</v>
      </c>
      <c r="I201" t="s">
        <v>71</v>
      </c>
      <c r="J201" t="s">
        <v>23</v>
      </c>
      <c r="K201">
        <v>1151</v>
      </c>
      <c r="L201" s="4">
        <v>33.0855745</v>
      </c>
      <c r="M201" s="4">
        <v>3.3429475962349571</v>
      </c>
      <c r="N201" s="4">
        <v>26.737358767737884</v>
      </c>
      <c r="O201" s="1" t="str">
        <f>HYPERLINK(".\sm_car_241123_1502\sm_car_241123_1502_200_Ca139TrN_MaRAD_ode23t_1.png","figure")</f>
        <v>figure</v>
      </c>
      <c r="P201" t="s">
        <v>15</v>
      </c>
    </row>
    <row r="202" spans="1:16" x14ac:dyDescent="0.25">
      <c r="A202">
        <v>201</v>
      </c>
      <c r="B202">
        <v>184</v>
      </c>
      <c r="C202" t="s">
        <v>105</v>
      </c>
      <c r="D202" t="s">
        <v>118</v>
      </c>
      <c r="E202" t="s">
        <v>49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1332</v>
      </c>
      <c r="L202" s="4">
        <v>48.295164700000001</v>
      </c>
      <c r="M202" s="4">
        <v>36.476331308089421</v>
      </c>
      <c r="N202" s="4">
        <v>0.24109185881455872</v>
      </c>
      <c r="O202" s="1" t="str">
        <f>HYPERLINK(".\sm_car_241123_1502\sm_car_241123_1502_201_Ca184TrN_MaSKD_ode23t_1.png","figure")</f>
        <v>figure</v>
      </c>
      <c r="P202" t="s">
        <v>15</v>
      </c>
    </row>
    <row r="203" spans="1:16" x14ac:dyDescent="0.25">
      <c r="A203">
        <v>202</v>
      </c>
      <c r="B203">
        <v>184</v>
      </c>
      <c r="C203" t="s">
        <v>105</v>
      </c>
      <c r="D203" t="s">
        <v>118</v>
      </c>
      <c r="E203" t="s">
        <v>49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643</v>
      </c>
      <c r="L203" s="4">
        <v>21.262493500000001</v>
      </c>
      <c r="M203" s="4">
        <v>12.326067638556825</v>
      </c>
      <c r="N203" s="4">
        <v>21.751464354787551</v>
      </c>
      <c r="O203" s="1" t="str">
        <f>HYPERLINK(".\sm_car_241123_1502\sm_car_241123_1502_202_Ca184TrN_MaRAD_ode23t_1.png","figure")</f>
        <v>figure</v>
      </c>
      <c r="P203" t="s">
        <v>15</v>
      </c>
    </row>
    <row r="204" spans="1:16" x14ac:dyDescent="0.25">
      <c r="A204">
        <v>203</v>
      </c>
      <c r="B204">
        <v>198</v>
      </c>
      <c r="C204" t="s">
        <v>105</v>
      </c>
      <c r="D204" t="s">
        <v>118</v>
      </c>
      <c r="E204" t="s">
        <v>107</v>
      </c>
      <c r="F204" t="s">
        <v>19</v>
      </c>
      <c r="G204" t="s">
        <v>20</v>
      </c>
      <c r="H204" t="s">
        <v>21</v>
      </c>
      <c r="I204" t="s">
        <v>70</v>
      </c>
      <c r="J204" t="s">
        <v>23</v>
      </c>
      <c r="K204">
        <v>1451</v>
      </c>
      <c r="L204" s="4">
        <v>28.142910400000002</v>
      </c>
      <c r="M204" s="4">
        <v>36.483214822677049</v>
      </c>
      <c r="N204" s="4">
        <v>0.2407170927131643</v>
      </c>
      <c r="O204" s="1" t="str">
        <f>HYPERLINK(".\sm_car_241123_1502\sm_car_241123_1502_203_Ca198TrN_MaSKD_ode23t_1.png","figure")</f>
        <v>figure</v>
      </c>
      <c r="P204" t="s">
        <v>15</v>
      </c>
    </row>
    <row r="205" spans="1:16" x14ac:dyDescent="0.25">
      <c r="A205">
        <v>204</v>
      </c>
      <c r="B205">
        <v>198</v>
      </c>
      <c r="C205" t="s">
        <v>105</v>
      </c>
      <c r="D205" t="s">
        <v>118</v>
      </c>
      <c r="E205" t="s">
        <v>107</v>
      </c>
      <c r="F205" t="s">
        <v>19</v>
      </c>
      <c r="G205" t="s">
        <v>20</v>
      </c>
      <c r="H205" t="s">
        <v>21</v>
      </c>
      <c r="I205" t="s">
        <v>71</v>
      </c>
      <c r="J205" t="s">
        <v>23</v>
      </c>
      <c r="K205">
        <v>678</v>
      </c>
      <c r="L205" s="4">
        <v>12.724136100000001</v>
      </c>
      <c r="M205" s="4">
        <v>12.310792710679211</v>
      </c>
      <c r="N205" s="4">
        <v>21.705426376680116</v>
      </c>
      <c r="O205" s="1" t="str">
        <f>HYPERLINK(".\sm_car_241123_1502\sm_car_241123_1502_204_Ca198TrN_MaRAD_ode23t_1.png","figure")</f>
        <v>figure</v>
      </c>
      <c r="P205" t="s">
        <v>15</v>
      </c>
    </row>
    <row r="206" spans="1:16" x14ac:dyDescent="0.25">
      <c r="A206">
        <v>205</v>
      </c>
      <c r="B206">
        <v>156</v>
      </c>
      <c r="C206" t="s">
        <v>45</v>
      </c>
      <c r="D206" t="s">
        <v>17</v>
      </c>
      <c r="E206" t="s">
        <v>18</v>
      </c>
      <c r="F206" t="s">
        <v>19</v>
      </c>
      <c r="G206" t="s">
        <v>38</v>
      </c>
      <c r="H206" t="s">
        <v>21</v>
      </c>
      <c r="I206" t="s">
        <v>54</v>
      </c>
      <c r="J206" t="s">
        <v>23</v>
      </c>
      <c r="K206">
        <v>26583</v>
      </c>
      <c r="L206" s="4">
        <v>391.59310169999998</v>
      </c>
      <c r="M206" s="4">
        <v>20.12607548563318</v>
      </c>
      <c r="N206" s="4">
        <v>3.0737336076885411</v>
      </c>
      <c r="O206" s="1" t="str">
        <f>HYPERLINK(".\sm_car_241123_1502\sm_car_241123_1502_205_Ca156TrN_MaIPA_ode23t.png","figure")</f>
        <v>figure</v>
      </c>
      <c r="P206" t="s">
        <v>15</v>
      </c>
    </row>
    <row r="207" spans="1:16" x14ac:dyDescent="0.25">
      <c r="A207">
        <v>206</v>
      </c>
      <c r="B207">
        <v>130</v>
      </c>
      <c r="C207" t="s">
        <v>16</v>
      </c>
      <c r="D207" t="s">
        <v>17</v>
      </c>
      <c r="E207" t="s">
        <v>18</v>
      </c>
      <c r="F207" t="s">
        <v>19</v>
      </c>
      <c r="G207" t="s">
        <v>38</v>
      </c>
      <c r="H207" t="s">
        <v>21</v>
      </c>
      <c r="I207" t="s">
        <v>54</v>
      </c>
      <c r="J207" t="s">
        <v>23</v>
      </c>
      <c r="K207">
        <v>19431</v>
      </c>
      <c r="L207" s="4">
        <v>258.62512759999998</v>
      </c>
      <c r="M207" s="4">
        <v>16.621970321166863</v>
      </c>
      <c r="N207" s="4">
        <v>0.60006432420704492</v>
      </c>
      <c r="O207" s="1" t="str">
        <f>HYPERLINK(".\sm_car_241123_1502\sm_car_241123_1502_206_Ca130TrN_MaIPA_ode23t.png","figure")</f>
        <v>figure</v>
      </c>
      <c r="P207" t="s">
        <v>15</v>
      </c>
    </row>
    <row r="208" spans="1:16" x14ac:dyDescent="0.25">
      <c r="A208">
        <v>207</v>
      </c>
      <c r="B208">
        <v>171</v>
      </c>
      <c r="C208" t="s">
        <v>45</v>
      </c>
      <c r="D208" t="s">
        <v>17</v>
      </c>
      <c r="E208" t="s">
        <v>72</v>
      </c>
      <c r="F208" t="s">
        <v>19</v>
      </c>
      <c r="G208" t="s">
        <v>26</v>
      </c>
      <c r="H208" t="s">
        <v>21</v>
      </c>
      <c r="I208" t="s">
        <v>73</v>
      </c>
      <c r="J208" t="s">
        <v>23</v>
      </c>
      <c r="K208">
        <v>1359</v>
      </c>
      <c r="L208" s="4">
        <v>23.2331927</v>
      </c>
      <c r="M208" s="4">
        <v>346.82883586527811</v>
      </c>
      <c r="N208" s="4">
        <v>0.71834776993007976</v>
      </c>
      <c r="O208" s="1" t="str">
        <f>HYPERLINK(".\sm_car_241123_1502\sm_car_241123_1502_207_Ca171TrN_MaRDP_ode23t_1.png","figure")</f>
        <v>figure</v>
      </c>
      <c r="P208" t="s">
        <v>15</v>
      </c>
    </row>
    <row r="209" spans="1:16" x14ac:dyDescent="0.25">
      <c r="A209">
        <v>208</v>
      </c>
      <c r="B209">
        <v>172</v>
      </c>
      <c r="C209" t="s">
        <v>46</v>
      </c>
      <c r="D209" t="s">
        <v>17</v>
      </c>
      <c r="E209" t="s">
        <v>72</v>
      </c>
      <c r="F209" t="s">
        <v>19</v>
      </c>
      <c r="G209" t="s">
        <v>26</v>
      </c>
      <c r="H209" t="s">
        <v>21</v>
      </c>
      <c r="I209" t="s">
        <v>73</v>
      </c>
      <c r="J209" t="s">
        <v>23</v>
      </c>
      <c r="K209">
        <v>1312</v>
      </c>
      <c r="L209" s="4">
        <v>10.849632099999999</v>
      </c>
      <c r="M209" s="4">
        <v>142.01821805777246</v>
      </c>
      <c r="N209" s="4">
        <v>3.7473919510242745E-2</v>
      </c>
      <c r="O209" s="1" t="str">
        <f>HYPERLINK(".\sm_car_241123_1502\sm_car_241123_1502_208_Ca172TrN_MaRDP_ode23t_1.png","figure")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1467</v>
      </c>
      <c r="L210" s="4">
        <v>18.314372800000001</v>
      </c>
      <c r="M210" s="4">
        <v>370.9019537178828</v>
      </c>
      <c r="N210" s="4">
        <v>0.7997407776640757</v>
      </c>
      <c r="O210" s="1" t="str">
        <f>HYPERLINK(".\sm_car_241123_1502\sm_car_241123_1502_209_Ca139TrN_MaZPL_ode23t_1.png","figure")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74</v>
      </c>
      <c r="J211" t="s">
        <v>23</v>
      </c>
      <c r="K211">
        <v>2093</v>
      </c>
      <c r="L211" s="4">
        <v>9.7997333999999992</v>
      </c>
      <c r="M211" s="4">
        <v>397.67055998353726</v>
      </c>
      <c r="N211" s="4">
        <v>0.33480242342634919</v>
      </c>
      <c r="O211" s="1" t="str">
        <f>HYPERLINK(".\sm_car_241123_1502\sm_car_241123_1502_210_Ca165TrN_MaZPL_ode23t_1.png","figure")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74</v>
      </c>
      <c r="J212" t="s">
        <v>23</v>
      </c>
      <c r="K212">
        <v>1439</v>
      </c>
      <c r="L212" s="4">
        <v>22.1769198</v>
      </c>
      <c r="M212" s="4">
        <v>370.87867379295108</v>
      </c>
      <c r="N212" s="4">
        <v>0.78431648108385754</v>
      </c>
      <c r="O212" s="1" t="str">
        <f>HYPERLINK(".\sm_car_241123_1502\sm_car_241123_1502_211_Ca171TrN_MaZPL_ode23t_1.png","figure")</f>
        <v>figure</v>
      </c>
      <c r="P212" t="s">
        <v>15</v>
      </c>
    </row>
    <row r="213" spans="1:16" x14ac:dyDescent="0.25">
      <c r="A213">
        <v>212</v>
      </c>
      <c r="B213">
        <v>165</v>
      </c>
      <c r="C213" t="s">
        <v>45</v>
      </c>
      <c r="D213" t="s">
        <v>35</v>
      </c>
      <c r="E213" t="s">
        <v>49</v>
      </c>
      <c r="F213" t="s">
        <v>19</v>
      </c>
      <c r="G213" t="s">
        <v>26</v>
      </c>
      <c r="H213" t="s">
        <v>21</v>
      </c>
      <c r="I213" t="s">
        <v>75</v>
      </c>
      <c r="J213" t="s">
        <v>23</v>
      </c>
      <c r="K213">
        <v>502</v>
      </c>
      <c r="L213" s="4">
        <v>3.9181740999999999</v>
      </c>
      <c r="M213" s="4">
        <v>378.10762409216994</v>
      </c>
      <c r="N213" s="4">
        <v>0.32175485433954626</v>
      </c>
      <c r="O213" s="1" t="str">
        <f>HYPERLINK(".\sm_car_241123_1502\sm_car_241123_1502_212_Ca165TrN_MaCPL_ode23t_1.png","figure")</f>
        <v>figure</v>
      </c>
      <c r="P213" t="s">
        <v>15</v>
      </c>
    </row>
    <row r="214" spans="1:16" x14ac:dyDescent="0.25">
      <c r="A214">
        <v>213</v>
      </c>
      <c r="B214">
        <v>170</v>
      </c>
      <c r="C214" t="s">
        <v>45</v>
      </c>
      <c r="D214" t="s">
        <v>35</v>
      </c>
      <c r="E214" t="s">
        <v>49</v>
      </c>
      <c r="F214" t="s">
        <v>19</v>
      </c>
      <c r="G214" t="s">
        <v>20</v>
      </c>
      <c r="H214" t="s">
        <v>21</v>
      </c>
      <c r="I214" t="s">
        <v>75</v>
      </c>
      <c r="J214" t="s">
        <v>23</v>
      </c>
      <c r="K214">
        <v>468</v>
      </c>
      <c r="L214" s="4">
        <v>2.6598609999999998</v>
      </c>
      <c r="M214" s="4">
        <v>380.917483143298</v>
      </c>
      <c r="N214" s="4">
        <v>0.32780249146191526</v>
      </c>
      <c r="O214" s="1" t="str">
        <f>HYPERLINK(".\sm_car_241123_1502\sm_car_241123_1502_213_Ca170TrN_MaCPL_ode23t_1.png","figure")</f>
        <v>figure</v>
      </c>
      <c r="P214" t="s">
        <v>15</v>
      </c>
    </row>
    <row r="215" spans="1:16" x14ac:dyDescent="0.25">
      <c r="A215">
        <v>214</v>
      </c>
      <c r="B215">
        <v>171</v>
      </c>
      <c r="C215" t="s">
        <v>45</v>
      </c>
      <c r="D215" t="s">
        <v>17</v>
      </c>
      <c r="E215" t="s">
        <v>72</v>
      </c>
      <c r="F215" t="s">
        <v>19</v>
      </c>
      <c r="G215" t="s">
        <v>26</v>
      </c>
      <c r="H215" t="s">
        <v>21</v>
      </c>
      <c r="I215" t="s">
        <v>76</v>
      </c>
      <c r="J215" t="s">
        <v>23</v>
      </c>
      <c r="K215">
        <v>2502</v>
      </c>
      <c r="L215" s="4">
        <v>38.006805800000002</v>
      </c>
      <c r="M215" s="4">
        <v>152.45965766145349</v>
      </c>
      <c r="N215" s="4">
        <v>1.9491692950753812E-3</v>
      </c>
      <c r="O215" s="1" t="str">
        <f>HYPERLINK(".\sm_car_241123_1502\sm_car_241123_1502_214_Ca171TrN_MaRDR_ode23t_1.png","figure")</f>
        <v>figure</v>
      </c>
      <c r="P215" t="s">
        <v>15</v>
      </c>
    </row>
    <row r="216" spans="1:16" x14ac:dyDescent="0.25">
      <c r="A216">
        <v>215</v>
      </c>
      <c r="B216">
        <v>172</v>
      </c>
      <c r="C216" t="s">
        <v>46</v>
      </c>
      <c r="D216" t="s">
        <v>17</v>
      </c>
      <c r="E216" t="s">
        <v>72</v>
      </c>
      <c r="F216" t="s">
        <v>19</v>
      </c>
      <c r="G216" t="s">
        <v>26</v>
      </c>
      <c r="H216" t="s">
        <v>21</v>
      </c>
      <c r="I216" t="s">
        <v>76</v>
      </c>
      <c r="J216" t="s">
        <v>23</v>
      </c>
      <c r="K216">
        <v>2941</v>
      </c>
      <c r="L216" s="4">
        <v>27.0550259</v>
      </c>
      <c r="M216" s="4">
        <v>146.53604427814184</v>
      </c>
      <c r="N216" s="4">
        <v>-4.7557064853255603E-3</v>
      </c>
      <c r="O216" s="1" t="str">
        <f>HYPERLINK(".\sm_car_241123_1502\sm_car_241123_1502_215_Ca172TrN_MaRDR_ode23t_1.png","figure")</f>
        <v>figure</v>
      </c>
      <c r="P216" t="s">
        <v>15</v>
      </c>
    </row>
    <row r="217" spans="1:16" x14ac:dyDescent="0.25">
      <c r="A217">
        <v>216</v>
      </c>
      <c r="B217">
        <v>139</v>
      </c>
      <c r="C217" t="s">
        <v>45</v>
      </c>
      <c r="D217" t="s">
        <v>17</v>
      </c>
      <c r="E217" t="s">
        <v>18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3008</v>
      </c>
      <c r="L217" s="4">
        <v>34.5733155</v>
      </c>
      <c r="M217" s="4">
        <v>176.57520995842134</v>
      </c>
      <c r="N217" s="4">
        <v>8.718499163253169E-4</v>
      </c>
      <c r="O217" s="1" t="str">
        <f>HYPERLINK(".\sm_car_241123_1502\sm_car_241123_1502_216_Ca139TrN_MaZRR_ode23t_1.png","figure")</f>
        <v>figure</v>
      </c>
      <c r="P217" t="s">
        <v>15</v>
      </c>
    </row>
    <row r="218" spans="1:16" x14ac:dyDescent="0.25">
      <c r="A218">
        <v>217</v>
      </c>
      <c r="B218">
        <v>165</v>
      </c>
      <c r="C218" t="s">
        <v>45</v>
      </c>
      <c r="D218" t="s">
        <v>35</v>
      </c>
      <c r="E218" t="s">
        <v>49</v>
      </c>
      <c r="F218" t="s">
        <v>19</v>
      </c>
      <c r="G218" t="s">
        <v>26</v>
      </c>
      <c r="H218" t="s">
        <v>21</v>
      </c>
      <c r="I218" t="s">
        <v>77</v>
      </c>
      <c r="J218" t="s">
        <v>23</v>
      </c>
      <c r="K218">
        <v>3549</v>
      </c>
      <c r="L218" s="4">
        <v>21.096648299999998</v>
      </c>
      <c r="M218" s="4">
        <v>176.84780234687918</v>
      </c>
      <c r="N218" s="4">
        <v>8.1255497005577936E-5</v>
      </c>
      <c r="O218" s="1" t="str">
        <f>HYPERLINK(".\sm_car_241123_1502\sm_car_241123_1502_217_Ca165TrN_MaZRR_ode23t_1.png","figure")</f>
        <v>figure</v>
      </c>
      <c r="P218" t="s">
        <v>15</v>
      </c>
    </row>
    <row r="219" spans="1:16" x14ac:dyDescent="0.25">
      <c r="A219">
        <v>218</v>
      </c>
      <c r="B219">
        <v>171</v>
      </c>
      <c r="C219" t="s">
        <v>45</v>
      </c>
      <c r="D219" t="s">
        <v>17</v>
      </c>
      <c r="E219" t="s">
        <v>72</v>
      </c>
      <c r="F219" t="s">
        <v>19</v>
      </c>
      <c r="G219" t="s">
        <v>26</v>
      </c>
      <c r="H219" t="s">
        <v>21</v>
      </c>
      <c r="I219" t="s">
        <v>77</v>
      </c>
      <c r="J219" t="s">
        <v>23</v>
      </c>
      <c r="K219">
        <v>3001</v>
      </c>
      <c r="L219" s="4">
        <v>47.2324202</v>
      </c>
      <c r="M219" s="4">
        <v>176.58170369395583</v>
      </c>
      <c r="N219" s="4">
        <v>8.7904279900716817E-4</v>
      </c>
      <c r="O219" s="1" t="str">
        <f>HYPERLINK(".\sm_car_241123_1502\sm_car_241123_1502_218_Ca171TrN_MaZRR_ode23t_1.png","figure")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78</v>
      </c>
      <c r="J220" t="s">
        <v>23</v>
      </c>
      <c r="K220">
        <v>5085</v>
      </c>
      <c r="L220" s="4">
        <v>16.353049899999998</v>
      </c>
      <c r="M220" s="4">
        <v>-5.9986006577193107</v>
      </c>
      <c r="N220" s="4">
        <v>2.9354594711232009E-3</v>
      </c>
      <c r="O220" s="1" t="str">
        <f>HYPERLINK(".\sm_car_241123_1502\sm_car_241123_1502_219_Ca170TrN_MaCMP_ode23t_1.png","figure")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79</v>
      </c>
      <c r="J221" t="s">
        <v>23</v>
      </c>
      <c r="K221">
        <v>1806</v>
      </c>
      <c r="L221" s="4">
        <v>10.317291900000001</v>
      </c>
      <c r="M221" s="4">
        <v>-5.9759775820279755</v>
      </c>
      <c r="N221" s="4">
        <v>2.8545512349624452E-3</v>
      </c>
      <c r="O221" s="1" t="str">
        <f>HYPERLINK(".\sm_car_241123_1502\sm_car_241123_1502_220_Ca170TrN_MaCMF_ode23t_1.png","figure")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80</v>
      </c>
      <c r="J222" t="s">
        <v>23</v>
      </c>
      <c r="K222">
        <v>4619</v>
      </c>
      <c r="L222" s="4">
        <v>30.1992017</v>
      </c>
      <c r="M222" s="4">
        <v>-329.53413286904532</v>
      </c>
      <c r="N222" s="4">
        <v>6.1266382821854419</v>
      </c>
      <c r="O222" s="1" t="str">
        <f>HYPERLINK(".\sm_car_241123_1502\sm_car_241123_1502_221_Ca170TrN_MaMPO_ode23t_1.png","figure")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81</v>
      </c>
      <c r="J223" t="s">
        <v>23</v>
      </c>
      <c r="K223">
        <v>1207</v>
      </c>
      <c r="L223" s="4">
        <v>7.8598574000000001</v>
      </c>
      <c r="M223" s="4">
        <v>-13.868977324225781</v>
      </c>
      <c r="N223" s="4">
        <v>0.22366170816673048</v>
      </c>
      <c r="O223" s="1" t="str">
        <f>HYPERLINK(".\sm_car_241123_1502\sm_car_241123_1502_222_Ca170TrN_MaMCI_ode23t_1.png","figure")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110</v>
      </c>
      <c r="J224" t="s">
        <v>23</v>
      </c>
      <c r="K224">
        <v>5985</v>
      </c>
      <c r="L224" s="4">
        <v>16.335258899999999</v>
      </c>
      <c r="M224" s="4">
        <v>-5.9996633771009202</v>
      </c>
      <c r="N224" s="4">
        <v>-4.4812635853229629E-3</v>
      </c>
      <c r="O224" s="1" t="str">
        <f>HYPERLINK(".\sm_car_241123_1502\sm_car_241123_1502_223_Ca170TrN_MaCHO_ode23t_1.png","figure")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111</v>
      </c>
      <c r="J225" t="s">
        <v>23</v>
      </c>
      <c r="K225">
        <v>3422</v>
      </c>
      <c r="L225" s="4">
        <v>15.279489</v>
      </c>
      <c r="M225" s="4">
        <v>-5.9903310526628877</v>
      </c>
      <c r="N225" s="4">
        <v>-4.5453732327402673E-3</v>
      </c>
      <c r="O225" s="1" t="str">
        <f>HYPERLINK(".\sm_car_241123_1502\sm_car_241123_1502_224_Ca170TrN_MaCHF_ode23t_1.png","figure")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82</v>
      </c>
      <c r="J226" t="s">
        <v>23</v>
      </c>
      <c r="K226">
        <v>7100</v>
      </c>
      <c r="L226" s="4">
        <v>27.617110700000001</v>
      </c>
      <c r="M226" s="4">
        <v>-752.11398999166943</v>
      </c>
      <c r="N226" s="4">
        <v>628.45206059232987</v>
      </c>
      <c r="O226" s="1" t="str">
        <f>HYPERLINK(".\sm_car_241123_1502\sm_car_241123_1502_225_Ca170TrN_MaCKY_ode23t_1.png","figure")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83</v>
      </c>
      <c r="J227" t="s">
        <v>23</v>
      </c>
      <c r="K227">
        <v>2134</v>
      </c>
      <c r="L227" s="4">
        <v>13.280010799999999</v>
      </c>
      <c r="M227" s="4">
        <v>-758.74781186064172</v>
      </c>
      <c r="N227" s="4">
        <v>632.74609699334701</v>
      </c>
      <c r="O227" s="1" t="str">
        <f>HYPERLINK(".\sm_car_241123_1502\sm_car_241123_1502_226_Ca170TrN_MaCKF_ode23t_1.png","figure")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84</v>
      </c>
      <c r="J228" t="s">
        <v>23</v>
      </c>
      <c r="K228">
        <v>2818</v>
      </c>
      <c r="L228" s="4">
        <v>12.508037399999999</v>
      </c>
      <c r="M228" s="4">
        <v>177.34518705503942</v>
      </c>
      <c r="N228" s="4">
        <v>288.25164198343356</v>
      </c>
      <c r="O228" s="1" t="str">
        <f>HYPERLINK(".\sm_car_241123_1502\sm_car_241123_1502_227_Ca170TrN_MaCNN_ode23t_1.png","figure")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85</v>
      </c>
      <c r="J229" t="s">
        <v>23</v>
      </c>
      <c r="K229">
        <v>4332</v>
      </c>
      <c r="L229" s="4">
        <v>48.779865800000003</v>
      </c>
      <c r="M229" s="4">
        <v>2994.8767073792701</v>
      </c>
      <c r="N229" s="4">
        <v>-3064.8899970714347</v>
      </c>
      <c r="O229" s="1" t="str">
        <f>HYPERLINK(".\sm_car_241123_1502\sm_car_241123_1502_228_Ca170TrN_MaCNF_ode23t_1.png","figure")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86</v>
      </c>
      <c r="J230" t="s">
        <v>23</v>
      </c>
      <c r="K230">
        <v>2935</v>
      </c>
      <c r="L230" s="4">
        <v>11.2968616</v>
      </c>
      <c r="M230" s="4">
        <v>522.24124762560382</v>
      </c>
      <c r="N230" s="4">
        <v>-164.33060658208879</v>
      </c>
      <c r="O230" s="1" t="str">
        <f>HYPERLINK(".\sm_car_241123_1502\sm_car_241123_1502_229_Ca170TrN_MaCSZ_ode23t_1.png","figure")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87</v>
      </c>
      <c r="J231" t="s">
        <v>23</v>
      </c>
      <c r="K231">
        <v>5686</v>
      </c>
      <c r="L231" s="4">
        <v>64.593555100000003</v>
      </c>
      <c r="M231" s="4">
        <v>-8.9754619194754124</v>
      </c>
      <c r="N231" s="4">
        <v>1.0043869355574518E-2</v>
      </c>
      <c r="O231" s="1" t="str">
        <f>HYPERLINK(".\sm_car_241123_1502\sm_car_241123_1502_230_Ca170TrN_MaCSF_ode23t_1.png","figure")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88</v>
      </c>
      <c r="J232" t="s">
        <v>23</v>
      </c>
      <c r="K232">
        <v>2098</v>
      </c>
      <c r="L232" s="4">
        <v>11.9089063</v>
      </c>
      <c r="M232" s="4">
        <v>209.0228368578945</v>
      </c>
      <c r="N232" s="4">
        <v>379.2468384793093</v>
      </c>
      <c r="O232" s="1" t="str">
        <f>HYPERLINK(".\sm_car_241123_1502\sm_car_241123_1502_231_Ca170TrN_MaCPU_ode23t_1.png","figure")</f>
        <v>figure</v>
      </c>
      <c r="P232" t="s">
        <v>15</v>
      </c>
    </row>
    <row r="233" spans="1:16" x14ac:dyDescent="0.25">
      <c r="A233">
        <v>232</v>
      </c>
      <c r="B233">
        <v>170</v>
      </c>
      <c r="C233" t="s">
        <v>45</v>
      </c>
      <c r="D233" t="s">
        <v>35</v>
      </c>
      <c r="E233" t="s">
        <v>49</v>
      </c>
      <c r="F233" t="s">
        <v>19</v>
      </c>
      <c r="G233" t="s">
        <v>20</v>
      </c>
      <c r="H233" t="s">
        <v>21</v>
      </c>
      <c r="I233" t="s">
        <v>89</v>
      </c>
      <c r="J233" t="s">
        <v>23</v>
      </c>
      <c r="K233">
        <v>2599</v>
      </c>
      <c r="L233" s="4">
        <v>13.0840754</v>
      </c>
      <c r="M233" s="4">
        <v>183.03288762328702</v>
      </c>
      <c r="N233" s="4">
        <v>-170.24404742712977</v>
      </c>
      <c r="O233" s="1" t="str">
        <f>HYPERLINK(".\sm_car_241123_1502\sm_car_241123_1502_232_Ca170TrN_MaCPD_ode23t_1.png","figure")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107</v>
      </c>
      <c r="F234" t="s">
        <v>19</v>
      </c>
      <c r="G234" t="s">
        <v>20</v>
      </c>
      <c r="H234" t="s">
        <v>21</v>
      </c>
      <c r="I234" t="s">
        <v>79</v>
      </c>
      <c r="J234" t="s">
        <v>23</v>
      </c>
      <c r="K234">
        <v>1824</v>
      </c>
      <c r="L234" s="4">
        <v>3.6409446999999999</v>
      </c>
      <c r="M234" s="4">
        <v>-5.9998869885270789</v>
      </c>
      <c r="N234" s="4">
        <v>2.9421914083305259E-3</v>
      </c>
      <c r="O234" s="1" t="str">
        <f>HYPERLINK(".\sm_car_241123_1502\sm_car_241123_1502_233_Ca202TrN_MaCMF_ode23t_1.png","figure")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107</v>
      </c>
      <c r="F235" t="s">
        <v>19</v>
      </c>
      <c r="G235" t="s">
        <v>20</v>
      </c>
      <c r="H235" t="s">
        <v>21</v>
      </c>
      <c r="I235" t="s">
        <v>80</v>
      </c>
      <c r="J235" t="s">
        <v>23</v>
      </c>
      <c r="K235">
        <v>4512</v>
      </c>
      <c r="L235" s="4">
        <v>18.740050700000001</v>
      </c>
      <c r="M235" s="4">
        <v>-329.53415512456854</v>
      </c>
      <c r="N235" s="4">
        <v>6.1265616323202963</v>
      </c>
      <c r="O235" s="1" t="str">
        <f>HYPERLINK(".\sm_car_241123_1502\sm_car_241123_1502_234_Ca202TrN_MaMPO_ode23t_1.png","figure")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107</v>
      </c>
      <c r="F236" t="s">
        <v>19</v>
      </c>
      <c r="G236" t="s">
        <v>20</v>
      </c>
      <c r="H236" t="s">
        <v>21</v>
      </c>
      <c r="I236" t="s">
        <v>81</v>
      </c>
      <c r="J236" t="s">
        <v>23</v>
      </c>
      <c r="K236">
        <v>1185</v>
      </c>
      <c r="L236" s="4">
        <v>5.2102119</v>
      </c>
      <c r="M236" s="4">
        <v>-13.867041164213326</v>
      </c>
      <c r="N236" s="4">
        <v>0.22483481281483364</v>
      </c>
      <c r="O236" s="1" t="str">
        <f>HYPERLINK(".\sm_car_241123_1502\sm_car_241123_1502_235_Ca202TrN_MaMCI_ode23t_1.png","figure")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107</v>
      </c>
      <c r="F237" t="s">
        <v>19</v>
      </c>
      <c r="G237" t="s">
        <v>20</v>
      </c>
      <c r="H237" t="s">
        <v>21</v>
      </c>
      <c r="I237" t="s">
        <v>83</v>
      </c>
      <c r="J237" t="s">
        <v>23</v>
      </c>
      <c r="K237">
        <v>3591</v>
      </c>
      <c r="L237" s="4">
        <v>8.1505348000000009</v>
      </c>
      <c r="M237" s="4">
        <v>-5.9983938531932512</v>
      </c>
      <c r="N237" s="4">
        <v>-7.1906278333237622E-3</v>
      </c>
      <c r="O237" s="1" t="str">
        <f>HYPERLINK(".\sm_car_241123_1502\sm_car_241123_1502_236_Ca202TrN_MaCKF_ode23t_1.png","figure")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107</v>
      </c>
      <c r="F238" t="s">
        <v>19</v>
      </c>
      <c r="G238" t="s">
        <v>20</v>
      </c>
      <c r="H238" t="s">
        <v>21</v>
      </c>
      <c r="I238" t="s">
        <v>85</v>
      </c>
      <c r="J238" t="s">
        <v>23</v>
      </c>
      <c r="K238">
        <v>10153</v>
      </c>
      <c r="L238" s="4">
        <v>74.884853699999994</v>
      </c>
      <c r="M238" s="4">
        <v>-8.9986582018956227</v>
      </c>
      <c r="N238" s="4">
        <v>4.7100104193853375E-2</v>
      </c>
      <c r="O238" s="1" t="str">
        <f>HYPERLINK(".\sm_car_241123_1502\sm_car_241123_1502_237_Ca202TrN_MaCNF_ode23t_1.png","figure")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107</v>
      </c>
      <c r="F239" t="s">
        <v>19</v>
      </c>
      <c r="G239" t="s">
        <v>20</v>
      </c>
      <c r="H239" t="s">
        <v>21</v>
      </c>
      <c r="I239" t="s">
        <v>87</v>
      </c>
      <c r="J239" t="s">
        <v>23</v>
      </c>
      <c r="K239">
        <v>5691</v>
      </c>
      <c r="L239" s="4">
        <v>38.530418500000003</v>
      </c>
      <c r="M239" s="4">
        <v>-8.9995208735314396</v>
      </c>
      <c r="N239" s="4">
        <v>1.019994741320321E-2</v>
      </c>
      <c r="O239" s="1" t="str">
        <f>HYPERLINK(".\sm_car_241123_1502\sm_car_241123_1502_238_Ca202TrN_MaCSF_ode23t_1.png","figure")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107</v>
      </c>
      <c r="F240" t="s">
        <v>19</v>
      </c>
      <c r="G240" t="s">
        <v>20</v>
      </c>
      <c r="H240" t="s">
        <v>21</v>
      </c>
      <c r="I240" t="s">
        <v>78</v>
      </c>
      <c r="J240" t="s">
        <v>23</v>
      </c>
      <c r="K240">
        <v>5400</v>
      </c>
      <c r="L240" s="4">
        <v>15.634503499999999</v>
      </c>
      <c r="M240" s="4">
        <v>-5.9988461117015985</v>
      </c>
      <c r="N240" s="4">
        <v>2.9839559712523537E-3</v>
      </c>
      <c r="O240" s="1" t="str">
        <f>HYPERLINK(".\sm_car_241123_1502\sm_car_241123_1502_239_Ca202TrN_MaCMP_ode23t_1.png","figure")</f>
        <v>figure</v>
      </c>
      <c r="P240" t="s">
        <v>15</v>
      </c>
    </row>
    <row r="241" spans="1:16" x14ac:dyDescent="0.25">
      <c r="A241">
        <v>240</v>
      </c>
      <c r="B241">
        <v>202</v>
      </c>
      <c r="C241" t="s">
        <v>45</v>
      </c>
      <c r="D241" t="s">
        <v>35</v>
      </c>
      <c r="E241" t="s">
        <v>107</v>
      </c>
      <c r="F241" t="s">
        <v>19</v>
      </c>
      <c r="G241" t="s">
        <v>20</v>
      </c>
      <c r="H241" t="s">
        <v>21</v>
      </c>
      <c r="I241" t="s">
        <v>82</v>
      </c>
      <c r="J241" t="s">
        <v>23</v>
      </c>
      <c r="K241">
        <v>14983</v>
      </c>
      <c r="L241" s="4">
        <v>44.322711300000002</v>
      </c>
      <c r="M241" s="4">
        <v>-5.9988217947791913</v>
      </c>
      <c r="N241" s="4">
        <v>-8.9133750789649659E-3</v>
      </c>
      <c r="O241" s="1" t="str">
        <f>HYPERLINK(".\sm_car_241123_1502\sm_car_241123_1502_240_Ca202TrN_MaCKY_ode23t_1.png","figure")</f>
        <v>figure</v>
      </c>
      <c r="P241" t="s">
        <v>15</v>
      </c>
    </row>
    <row r="242" spans="1:16" x14ac:dyDescent="0.25">
      <c r="A242">
        <v>241</v>
      </c>
      <c r="B242">
        <v>202</v>
      </c>
      <c r="C242" t="s">
        <v>45</v>
      </c>
      <c r="D242" t="s">
        <v>35</v>
      </c>
      <c r="E242" t="s">
        <v>107</v>
      </c>
      <c r="F242" t="s">
        <v>19</v>
      </c>
      <c r="G242" t="s">
        <v>20</v>
      </c>
      <c r="H242" t="s">
        <v>21</v>
      </c>
      <c r="I242" t="s">
        <v>75</v>
      </c>
      <c r="J242" t="s">
        <v>23</v>
      </c>
      <c r="K242">
        <v>454</v>
      </c>
      <c r="L242" s="4">
        <v>2.2957938000000002</v>
      </c>
      <c r="M242" s="4">
        <v>381.37409266501925</v>
      </c>
      <c r="N242" s="4">
        <v>0.328782573482719</v>
      </c>
      <c r="O242" s="1" t="str">
        <f>HYPERLINK(".\sm_car_241123_1502\sm_car_241123_1502_241_Ca202TrN_MaCPL_ode23t_1.png","figure")</f>
        <v>figure</v>
      </c>
      <c r="P242" t="s">
        <v>15</v>
      </c>
    </row>
    <row r="243" spans="1:16" x14ac:dyDescent="0.25">
      <c r="A243">
        <v>242</v>
      </c>
      <c r="B243">
        <v>140</v>
      </c>
      <c r="C243" t="s">
        <v>45</v>
      </c>
      <c r="D243" t="s">
        <v>17</v>
      </c>
      <c r="E243" t="s">
        <v>49</v>
      </c>
      <c r="F243" t="s">
        <v>19</v>
      </c>
      <c r="G243" t="s">
        <v>26</v>
      </c>
      <c r="H243" t="s">
        <v>21</v>
      </c>
      <c r="I243" t="s">
        <v>112</v>
      </c>
      <c r="J243" t="s">
        <v>23</v>
      </c>
      <c r="K243">
        <v>2730</v>
      </c>
      <c r="L243" s="4">
        <v>42.9135311</v>
      </c>
      <c r="M243" s="4">
        <v>176.37703309664738</v>
      </c>
      <c r="N243" s="4">
        <v>7.5342289313726695E-4</v>
      </c>
      <c r="O243" s="1" t="str">
        <f>HYPERLINK(".\sm_car_241123_1502\sm_car_241123_1502_242_Ca140TrN_MaCRR_ode23t_1.png","figure")</f>
        <v>figure</v>
      </c>
      <c r="P243" t="s">
        <v>15</v>
      </c>
    </row>
    <row r="244" spans="1:16" x14ac:dyDescent="0.25">
      <c r="A244">
        <v>243</v>
      </c>
      <c r="B244">
        <v>189</v>
      </c>
      <c r="C244" t="s">
        <v>45</v>
      </c>
      <c r="D244" t="s">
        <v>17</v>
      </c>
      <c r="E244" t="s">
        <v>107</v>
      </c>
      <c r="F244" t="s">
        <v>19</v>
      </c>
      <c r="G244" t="s">
        <v>26</v>
      </c>
      <c r="H244" t="s">
        <v>21</v>
      </c>
      <c r="I244" t="s">
        <v>112</v>
      </c>
      <c r="J244" t="s">
        <v>23</v>
      </c>
      <c r="K244">
        <v>3406</v>
      </c>
      <c r="L244" s="4">
        <v>35.6533309</v>
      </c>
      <c r="M244" s="4">
        <v>176.43748820249201</v>
      </c>
      <c r="N244" s="4">
        <v>7.932908032698341E-4</v>
      </c>
      <c r="O244" s="1" t="str">
        <f>HYPERLINK(".\sm_car_241123_1502\sm_car_241123_1502_243_Ca189TrN_MaCRR_ode23t_1.png","figure")</f>
        <v>figure</v>
      </c>
      <c r="P244" t="s">
        <v>15</v>
      </c>
    </row>
    <row r="245" spans="1:16" x14ac:dyDescent="0.25">
      <c r="A245">
        <v>244</v>
      </c>
      <c r="B245">
        <v>173</v>
      </c>
      <c r="C245" t="s">
        <v>45</v>
      </c>
      <c r="D245" t="s">
        <v>35</v>
      </c>
      <c r="E245" t="s">
        <v>49</v>
      </c>
      <c r="F245" t="s">
        <v>19</v>
      </c>
      <c r="G245" t="s">
        <v>90</v>
      </c>
      <c r="H245" t="s">
        <v>21</v>
      </c>
      <c r="I245" t="s">
        <v>91</v>
      </c>
      <c r="J245" t="s">
        <v>92</v>
      </c>
      <c r="K245">
        <v>1548</v>
      </c>
      <c r="L245" s="4">
        <v>59.707259399999998</v>
      </c>
      <c r="M245" s="4">
        <v>51.299508517828592</v>
      </c>
      <c r="N245" s="4">
        <v>9.0082801492795232E-3</v>
      </c>
      <c r="O245" s="1" t="str">
        <f>HYPERLINK(".\sm_car_241123_1502\sm_car_241123_1502_244_Ca173TrN_MaDCA_daessc_1.png","figure")</f>
        <v>figure</v>
      </c>
      <c r="P245" t="s">
        <v>15</v>
      </c>
    </row>
    <row r="246" spans="1:16" x14ac:dyDescent="0.25">
      <c r="A246">
        <v>245</v>
      </c>
      <c r="B246">
        <v>173</v>
      </c>
      <c r="C246" t="s">
        <v>45</v>
      </c>
      <c r="D246" t="s">
        <v>35</v>
      </c>
      <c r="E246" t="s">
        <v>49</v>
      </c>
      <c r="F246" t="s">
        <v>19</v>
      </c>
      <c r="G246" t="s">
        <v>90</v>
      </c>
      <c r="H246" t="s">
        <v>21</v>
      </c>
      <c r="I246" t="s">
        <v>93</v>
      </c>
      <c r="J246" t="s">
        <v>92</v>
      </c>
      <c r="K246">
        <v>4072</v>
      </c>
      <c r="L246" s="4">
        <v>101.8704919</v>
      </c>
      <c r="M246" s="4">
        <v>980.4677215735303</v>
      </c>
      <c r="N246" s="4">
        <v>0.72220342117473113</v>
      </c>
      <c r="O246" s="1" t="str">
        <f>HYPERLINK(".\sm_car_241123_1502\sm_car_241123_1502_245_Ca173TrN_MaDC1_daessc_1.png","figure")</f>
        <v>figure</v>
      </c>
      <c r="P246" t="s">
        <v>15</v>
      </c>
    </row>
    <row r="247" spans="1:16" x14ac:dyDescent="0.25">
      <c r="A247">
        <v>246</v>
      </c>
      <c r="B247">
        <v>165</v>
      </c>
      <c r="C247" t="s">
        <v>45</v>
      </c>
      <c r="D247" t="s">
        <v>35</v>
      </c>
      <c r="E247" t="s">
        <v>49</v>
      </c>
      <c r="F247" t="s">
        <v>19</v>
      </c>
      <c r="G247" t="s">
        <v>26</v>
      </c>
      <c r="H247" t="s">
        <v>21</v>
      </c>
      <c r="I247" t="s">
        <v>91</v>
      </c>
      <c r="J247" t="s">
        <v>23</v>
      </c>
      <c r="K247">
        <v>323</v>
      </c>
      <c r="L247" s="4">
        <v>2.9236627999999998</v>
      </c>
      <c r="M247" s="4">
        <v>53.507506990221358</v>
      </c>
      <c r="N247" s="4">
        <v>1.0271429377190354E-2</v>
      </c>
      <c r="O247" s="1" t="str">
        <f>HYPERLINK(".\sm_car_241123_1502\sm_car_241123_1502_246_Ca165TrN_MaDCA_ode23t_1.png","figure")</f>
        <v>figure</v>
      </c>
      <c r="P247" t="s">
        <v>15</v>
      </c>
    </row>
    <row r="248" spans="1:16" x14ac:dyDescent="0.25">
      <c r="A248">
        <v>247</v>
      </c>
      <c r="B248">
        <v>165</v>
      </c>
      <c r="C248" t="s">
        <v>45</v>
      </c>
      <c r="D248" t="s">
        <v>35</v>
      </c>
      <c r="E248" t="s">
        <v>49</v>
      </c>
      <c r="F248" t="s">
        <v>19</v>
      </c>
      <c r="G248" t="s">
        <v>26</v>
      </c>
      <c r="H248" t="s">
        <v>21</v>
      </c>
      <c r="I248" t="s">
        <v>93</v>
      </c>
      <c r="J248" t="s">
        <v>23</v>
      </c>
      <c r="K248">
        <v>1195</v>
      </c>
      <c r="L248" s="4">
        <v>6.4606877999999996</v>
      </c>
      <c r="M248" s="4">
        <v>992.65401143277631</v>
      </c>
      <c r="N248" s="4">
        <v>0.80439587423970227</v>
      </c>
      <c r="O248" s="1" t="str">
        <f>HYPERLINK(".\sm_car_241123_1502\sm_car_241123_1502_247_Ca165TrN_MaDC1_ode23t_1.png","figure")</f>
        <v>figure</v>
      </c>
      <c r="P248" t="s">
        <v>15</v>
      </c>
    </row>
    <row r="249" spans="1:16" x14ac:dyDescent="0.25">
      <c r="A249">
        <v>248</v>
      </c>
      <c r="B249">
        <v>196</v>
      </c>
      <c r="C249" t="s">
        <v>45</v>
      </c>
      <c r="D249" t="s">
        <v>35</v>
      </c>
      <c r="E249" t="s">
        <v>107</v>
      </c>
      <c r="F249" t="s">
        <v>19</v>
      </c>
      <c r="G249" t="s">
        <v>90</v>
      </c>
      <c r="H249" t="s">
        <v>21</v>
      </c>
      <c r="I249" t="s">
        <v>93</v>
      </c>
      <c r="J249" t="s">
        <v>92</v>
      </c>
      <c r="K249">
        <v>4106</v>
      </c>
      <c r="L249" s="4">
        <v>54.284880299999998</v>
      </c>
      <c r="M249" s="4">
        <v>980.46442614897956</v>
      </c>
      <c r="N249" s="4">
        <v>0.72249088873186118</v>
      </c>
      <c r="O249" s="1" t="str">
        <f>HYPERLINK(".\sm_car_241123_1502\sm_car_241123_1502_248_Ca196TrN_MaDC1_daessc_1.png","figure")</f>
        <v>figure</v>
      </c>
      <c r="P249" t="s">
        <v>15</v>
      </c>
    </row>
    <row r="250" spans="1:16" x14ac:dyDescent="0.25">
      <c r="A250">
        <v>249</v>
      </c>
      <c r="B250">
        <v>179</v>
      </c>
      <c r="C250" t="s">
        <v>45</v>
      </c>
      <c r="D250" t="s">
        <v>57</v>
      </c>
      <c r="E250" t="s">
        <v>18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493</v>
      </c>
      <c r="L250" s="4">
        <v>4.7727094000000001</v>
      </c>
      <c r="M250" s="4">
        <v>147.84764152626099</v>
      </c>
      <c r="N250" s="4">
        <v>9.4925551372133557E-2</v>
      </c>
      <c r="O250" s="1" t="str">
        <f>HYPERLINK(".\sm_car_241123_1502\sm_car_241123_1502_249_Ca179TrN_MaWOT_ode23t_1.png","figure")</f>
        <v>figure</v>
      </c>
      <c r="P250" t="s">
        <v>15</v>
      </c>
    </row>
    <row r="251" spans="1:16" x14ac:dyDescent="0.25">
      <c r="A251">
        <v>250</v>
      </c>
      <c r="B251">
        <v>180</v>
      </c>
      <c r="C251" t="s">
        <v>45</v>
      </c>
      <c r="D251" t="s">
        <v>57</v>
      </c>
      <c r="E251" t="s">
        <v>49</v>
      </c>
      <c r="F251" t="s">
        <v>19</v>
      </c>
      <c r="G251" t="s">
        <v>26</v>
      </c>
      <c r="H251" t="s">
        <v>21</v>
      </c>
      <c r="I251" t="s">
        <v>22</v>
      </c>
      <c r="J251" t="s">
        <v>23</v>
      </c>
      <c r="K251">
        <v>508</v>
      </c>
      <c r="L251" s="4">
        <v>5.8355594000000002</v>
      </c>
      <c r="M251" s="4">
        <v>147.83262207180729</v>
      </c>
      <c r="N251" s="4">
        <v>9.4501794394446212E-2</v>
      </c>
      <c r="O251" s="1" t="str">
        <f>HYPERLINK(".\sm_car_241123_1502\sm_car_241123_1502_250_Ca180TrN_MaWOT_ode23t_1.png","figure")</f>
        <v>figure</v>
      </c>
      <c r="P251" t="s">
        <v>15</v>
      </c>
    </row>
    <row r="252" spans="1:16" x14ac:dyDescent="0.25">
      <c r="A252">
        <v>251</v>
      </c>
      <c r="B252">
        <v>197</v>
      </c>
      <c r="C252" t="s">
        <v>45</v>
      </c>
      <c r="D252" t="s">
        <v>57</v>
      </c>
      <c r="E252" t="s">
        <v>107</v>
      </c>
      <c r="F252" t="s">
        <v>19</v>
      </c>
      <c r="G252" t="s">
        <v>26</v>
      </c>
      <c r="H252" t="s">
        <v>21</v>
      </c>
      <c r="I252" t="s">
        <v>22</v>
      </c>
      <c r="J252" t="s">
        <v>23</v>
      </c>
      <c r="K252">
        <v>468</v>
      </c>
      <c r="L252" s="4">
        <v>1.8341924999999999</v>
      </c>
      <c r="M252" s="4">
        <v>147.86086461076084</v>
      </c>
      <c r="N252" s="4">
        <v>9.4539497255184513E-2</v>
      </c>
      <c r="O252" s="1" t="str">
        <f>HYPERLINK(".\sm_car_241123_1502\sm_car_241123_1502_251_Ca197TrN_MaWOT_ode23t_1.png","figure")</f>
        <v>figure</v>
      </c>
      <c r="P252" t="s">
        <v>15</v>
      </c>
    </row>
    <row r="253" spans="1:16" x14ac:dyDescent="0.25">
      <c r="A253">
        <v>252</v>
      </c>
      <c r="B253">
        <v>182</v>
      </c>
      <c r="C253" t="s">
        <v>45</v>
      </c>
      <c r="D253" t="s">
        <v>17</v>
      </c>
      <c r="E253" t="s">
        <v>49</v>
      </c>
      <c r="F253" t="s">
        <v>19</v>
      </c>
      <c r="G253" t="s">
        <v>26</v>
      </c>
      <c r="H253" t="s">
        <v>21</v>
      </c>
      <c r="I253" t="s">
        <v>64</v>
      </c>
      <c r="J253" t="s">
        <v>23</v>
      </c>
      <c r="K253">
        <v>414</v>
      </c>
      <c r="L253" s="4">
        <v>11.3789452</v>
      </c>
      <c r="M253" s="4">
        <v>63.170402740877307</v>
      </c>
      <c r="N253" s="4">
        <v>-25.339355432324108</v>
      </c>
      <c r="O253" s="1" t="str">
        <f>HYPERLINK(".\sm_car_241123_1502\sm_car_241123_1502_252_Ca182TrN_MaTUR_ode23t_1.png","figure")</f>
        <v>figure</v>
      </c>
      <c r="P253" t="s">
        <v>15</v>
      </c>
    </row>
    <row r="254" spans="1:16" x14ac:dyDescent="0.25">
      <c r="A254">
        <v>253</v>
      </c>
      <c r="B254">
        <v>203</v>
      </c>
      <c r="C254" t="s">
        <v>45</v>
      </c>
      <c r="D254" t="s">
        <v>17</v>
      </c>
      <c r="E254" t="s">
        <v>107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364</v>
      </c>
      <c r="L254" s="4">
        <v>4.3069873999999997</v>
      </c>
      <c r="M254" s="4">
        <v>63.141186529644656</v>
      </c>
      <c r="N254" s="4">
        <v>-25.326688577130984</v>
      </c>
      <c r="O254" s="1" t="str">
        <f>HYPERLINK(".\sm_car_241123_1502\sm_car_241123_1502_253_Ca203TrN_MaTUR_ode23t_1.png","figure")</f>
        <v>figure</v>
      </c>
      <c r="P254" t="s">
        <v>15</v>
      </c>
    </row>
    <row r="255" spans="1:16" x14ac:dyDescent="0.25">
      <c r="A255">
        <v>254</v>
      </c>
      <c r="B255">
        <v>185</v>
      </c>
      <c r="C255" t="s">
        <v>45</v>
      </c>
      <c r="D255" t="s">
        <v>17</v>
      </c>
      <c r="E255" t="s">
        <v>18</v>
      </c>
      <c r="F255" t="s">
        <v>19</v>
      </c>
      <c r="G255" t="s">
        <v>26</v>
      </c>
      <c r="H255" t="s">
        <v>21</v>
      </c>
      <c r="I255" t="s">
        <v>64</v>
      </c>
      <c r="J255" t="s">
        <v>23</v>
      </c>
      <c r="K255">
        <v>535</v>
      </c>
      <c r="L255" s="4">
        <v>21.9588371</v>
      </c>
      <c r="M255" s="4">
        <v>114.15006792178177</v>
      </c>
      <c r="N255" s="4">
        <v>-80.76911185940854</v>
      </c>
      <c r="O255" s="1" t="str">
        <f>HYPERLINK(".\sm_car_241123_1502\sm_car_241123_1502_254_Ca185TrN_MaTUR_ode23t_1.png","figure")</f>
        <v>figure</v>
      </c>
      <c r="P255" t="s">
        <v>15</v>
      </c>
    </row>
    <row r="256" spans="1:16" x14ac:dyDescent="0.25">
      <c r="A256">
        <v>255</v>
      </c>
      <c r="B256">
        <v>188</v>
      </c>
      <c r="C256" t="s">
        <v>45</v>
      </c>
      <c r="D256" t="s">
        <v>113</v>
      </c>
      <c r="E256" t="s">
        <v>49</v>
      </c>
      <c r="F256" t="s">
        <v>19</v>
      </c>
      <c r="G256" t="s">
        <v>26</v>
      </c>
      <c r="H256" t="s">
        <v>21</v>
      </c>
      <c r="I256" t="s">
        <v>64</v>
      </c>
      <c r="J256" t="s">
        <v>23</v>
      </c>
      <c r="K256">
        <v>546</v>
      </c>
      <c r="L256" s="4">
        <v>6.3459143999999998</v>
      </c>
      <c r="M256" s="4">
        <v>140.63365732096716</v>
      </c>
      <c r="N256" s="4">
        <v>-71.773509494489019</v>
      </c>
      <c r="O256" s="1" t="str">
        <f>HYPERLINK(".\sm_car_241123_1502\sm_car_241123_1502_255_Ca188TrN_MaTUR_ode23t_1.png","figure")</f>
        <v>figure</v>
      </c>
      <c r="P256" t="s">
        <v>15</v>
      </c>
    </row>
    <row r="257" spans="1:16" x14ac:dyDescent="0.25">
      <c r="A257">
        <v>256</v>
      </c>
      <c r="B257" t="s">
        <v>94</v>
      </c>
      <c r="C257" t="s">
        <v>95</v>
      </c>
      <c r="D257" t="s">
        <v>35</v>
      </c>
      <c r="E257" t="s">
        <v>18</v>
      </c>
      <c r="F257" t="s">
        <v>19</v>
      </c>
      <c r="G257" t="s">
        <v>96</v>
      </c>
      <c r="H257" t="s">
        <v>21</v>
      </c>
      <c r="I257" t="s">
        <v>22</v>
      </c>
      <c r="J257" t="s">
        <v>23</v>
      </c>
      <c r="K257">
        <v>436</v>
      </c>
      <c r="L257" s="4">
        <v>12.092655600000001</v>
      </c>
      <c r="M257" s="4">
        <v>79.221006331472424</v>
      </c>
      <c r="N257" s="4">
        <v>-0.33385057271286384</v>
      </c>
      <c r="O257" s="1" t="str">
        <f>HYPERLINK(".\sm_car_241123_1502\sm_car_Axle3_241123_1502_256_CaAxle3_000TrN_MaWOT_ode23t_1.png","figure")</f>
        <v>figure</v>
      </c>
      <c r="P257" t="s">
        <v>15</v>
      </c>
    </row>
    <row r="258" spans="1:16" x14ac:dyDescent="0.25">
      <c r="A258">
        <v>257</v>
      </c>
      <c r="B258" t="s">
        <v>99</v>
      </c>
      <c r="C258" t="s">
        <v>100</v>
      </c>
      <c r="D258" t="s">
        <v>35</v>
      </c>
      <c r="E258" t="s">
        <v>18</v>
      </c>
      <c r="F258" t="s">
        <v>19</v>
      </c>
      <c r="G258" t="s">
        <v>96</v>
      </c>
      <c r="H258" t="s">
        <v>21</v>
      </c>
      <c r="I258" t="s">
        <v>22</v>
      </c>
      <c r="J258" t="s">
        <v>23</v>
      </c>
      <c r="K258">
        <v>498</v>
      </c>
      <c r="L258" s="4">
        <v>13.004633800000001</v>
      </c>
      <c r="M258" s="4">
        <v>69.133372940784071</v>
      </c>
      <c r="N258" s="4">
        <v>8.3860847378028749E-2</v>
      </c>
      <c r="O258" s="1" t="str">
        <f>HYPERLINK(".\sm_car_241123_1502\sm_car_Axle3_241123_1502_257_CaAxle3_008TrN_MaWOT_ode23t_1.png","figure")</f>
        <v>figure</v>
      </c>
      <c r="P258" t="s">
        <v>15</v>
      </c>
    </row>
    <row r="259" spans="1:16" x14ac:dyDescent="0.25">
      <c r="A259">
        <v>258</v>
      </c>
      <c r="B259" t="s">
        <v>97</v>
      </c>
      <c r="C259" t="s">
        <v>95</v>
      </c>
      <c r="D259" t="s">
        <v>35</v>
      </c>
      <c r="E259" t="s">
        <v>49</v>
      </c>
      <c r="F259" t="s">
        <v>19</v>
      </c>
      <c r="G259" t="s">
        <v>98</v>
      </c>
      <c r="H259" t="s">
        <v>21</v>
      </c>
      <c r="I259" t="s">
        <v>22</v>
      </c>
      <c r="J259" t="s">
        <v>23</v>
      </c>
      <c r="K259">
        <v>426</v>
      </c>
      <c r="L259" s="4">
        <v>10.908620300000001</v>
      </c>
      <c r="M259" s="4">
        <v>79.26753082601013</v>
      </c>
      <c r="N259" s="4">
        <v>-0.31346583892466412</v>
      </c>
      <c r="O259" s="1" t="str">
        <f>HYPERLINK(".\sm_car_241123_1502\sm_car_Axle3_241123_1502_258_CaAxle3_003TrN_MaWOT_ode23t_1.png","figure")</f>
        <v>figure</v>
      </c>
      <c r="P259" t="s">
        <v>15</v>
      </c>
    </row>
    <row r="260" spans="1:16" x14ac:dyDescent="0.25">
      <c r="A260">
        <v>259</v>
      </c>
      <c r="B260" t="s">
        <v>114</v>
      </c>
      <c r="C260" t="s">
        <v>95</v>
      </c>
      <c r="D260" t="s">
        <v>35</v>
      </c>
      <c r="E260" t="s">
        <v>107</v>
      </c>
      <c r="F260" t="s">
        <v>19</v>
      </c>
      <c r="G260" t="s">
        <v>98</v>
      </c>
      <c r="H260" t="s">
        <v>21</v>
      </c>
      <c r="I260" t="s">
        <v>22</v>
      </c>
      <c r="J260" t="s">
        <v>23</v>
      </c>
      <c r="K260">
        <v>439</v>
      </c>
      <c r="L260" s="4">
        <v>1.9198504000000001</v>
      </c>
      <c r="M260" s="4">
        <v>80.152382869234771</v>
      </c>
      <c r="N260" s="4">
        <v>-0.31967573922971104</v>
      </c>
      <c r="O260" s="1" t="str">
        <f>HYPERLINK(".\sm_car_241123_1502\sm_car_Axle3_241123_1502_259_CaAxle3_017TrN_MaWOT_ode23t_1.png","figure")</f>
        <v>figure</v>
      </c>
      <c r="P260" t="s">
        <v>15</v>
      </c>
    </row>
    <row r="261" spans="1:16" x14ac:dyDescent="0.25">
      <c r="A261">
        <v>260</v>
      </c>
      <c r="B261" t="s">
        <v>101</v>
      </c>
      <c r="C261" t="s">
        <v>100</v>
      </c>
      <c r="D261" t="s">
        <v>35</v>
      </c>
      <c r="E261" t="s">
        <v>49</v>
      </c>
      <c r="F261" t="s">
        <v>19</v>
      </c>
      <c r="G261" t="s">
        <v>96</v>
      </c>
      <c r="H261" t="s">
        <v>102</v>
      </c>
      <c r="I261" t="s">
        <v>22</v>
      </c>
      <c r="J261" t="s">
        <v>23</v>
      </c>
      <c r="K261">
        <v>379</v>
      </c>
      <c r="L261" s="4">
        <v>26.695742500000001</v>
      </c>
      <c r="M261" s="4">
        <v>23.326696789988087</v>
      </c>
      <c r="N261" s="4">
        <v>2.4823975510691876E-3</v>
      </c>
      <c r="O261" s="1" t="str">
        <f>HYPERLINK(".\sm_car_241123_1502\sm_car_Axle3_241123_1502_260_CaAxle3_010TrK_MaWOT_ode23t_1.png","figure")</f>
        <v>figure</v>
      </c>
      <c r="P261" t="s">
        <v>15</v>
      </c>
    </row>
    <row r="262" spans="1:16" x14ac:dyDescent="0.25">
      <c r="A262">
        <v>261</v>
      </c>
      <c r="B262" t="s">
        <v>101</v>
      </c>
      <c r="C262" t="s">
        <v>100</v>
      </c>
      <c r="D262" t="s">
        <v>35</v>
      </c>
      <c r="E262" t="s">
        <v>49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402</v>
      </c>
      <c r="L262" s="4">
        <v>26.921316699999998</v>
      </c>
      <c r="M262" s="4">
        <v>23.441152687124056</v>
      </c>
      <c r="N262" s="4">
        <v>2.5318358314709612E-3</v>
      </c>
      <c r="O262" s="1" t="str">
        <f>HYPERLINK(".\sm_car_241123_1502\sm_car_Axle3_241123_1502_261_CaAxle3_010TrK_MaWOT_ode23t_1.png","figure")</f>
        <v>figure</v>
      </c>
      <c r="P262" t="s">
        <v>15</v>
      </c>
    </row>
    <row r="263" spans="1:16" x14ac:dyDescent="0.25">
      <c r="A263">
        <v>262</v>
      </c>
      <c r="B263" t="s">
        <v>115</v>
      </c>
      <c r="C263" t="s">
        <v>100</v>
      </c>
      <c r="D263" t="s">
        <v>35</v>
      </c>
      <c r="E263" t="s">
        <v>107</v>
      </c>
      <c r="F263" t="s">
        <v>19</v>
      </c>
      <c r="G263" t="s">
        <v>96</v>
      </c>
      <c r="H263" t="s">
        <v>102</v>
      </c>
      <c r="I263" t="s">
        <v>22</v>
      </c>
      <c r="J263" t="s">
        <v>23</v>
      </c>
      <c r="K263">
        <v>396</v>
      </c>
      <c r="L263" s="4">
        <v>2.1950306999999998</v>
      </c>
      <c r="M263" s="4">
        <v>26.913954103016266</v>
      </c>
      <c r="N263" s="4">
        <v>3.6183847063573776E-3</v>
      </c>
      <c r="O263" s="1" t="str">
        <f>HYPERLINK(".\sm_car_241123_1502\sm_car_Axle3_241123_1502_262_CaAxle3_019TrK_MaWOT_ode23t_1.png","figure")</f>
        <v>figure</v>
      </c>
      <c r="P263" t="s">
        <v>15</v>
      </c>
    </row>
    <row r="264" spans="1:16" x14ac:dyDescent="0.25">
      <c r="A264">
        <v>263</v>
      </c>
      <c r="B264" t="s">
        <v>115</v>
      </c>
      <c r="C264" t="s">
        <v>100</v>
      </c>
      <c r="D264" t="s">
        <v>35</v>
      </c>
      <c r="E264" t="s">
        <v>107</v>
      </c>
      <c r="F264" t="s">
        <v>19</v>
      </c>
      <c r="G264" t="s">
        <v>96</v>
      </c>
      <c r="H264" t="s">
        <v>102</v>
      </c>
      <c r="I264" t="s">
        <v>22</v>
      </c>
      <c r="J264" t="s">
        <v>23</v>
      </c>
      <c r="K264">
        <v>396</v>
      </c>
      <c r="L264" s="4">
        <v>2.2607343000000002</v>
      </c>
      <c r="M264" s="4">
        <v>26.904156801506645</v>
      </c>
      <c r="N264" s="4">
        <v>3.6114680369608437E-3</v>
      </c>
      <c r="O264" s="1" t="str">
        <f>HYPERLINK(".\sm_car_241123_1502\sm_car_Axle3_241123_1502_263_CaAxle3_019TrK_MaWOT_ode23t_1.png","figure")</f>
        <v>figure</v>
      </c>
      <c r="P264" t="s">
        <v>15</v>
      </c>
    </row>
    <row r="265" spans="1:16" x14ac:dyDescent="0.25">
      <c r="A265">
        <v>264</v>
      </c>
      <c r="B265" t="s">
        <v>103</v>
      </c>
      <c r="C265" t="s">
        <v>100</v>
      </c>
      <c r="D265" t="s">
        <v>35</v>
      </c>
      <c r="E265" t="s">
        <v>18</v>
      </c>
      <c r="F265" t="s">
        <v>19</v>
      </c>
      <c r="G265" t="s">
        <v>104</v>
      </c>
      <c r="H265" t="s">
        <v>102</v>
      </c>
      <c r="I265" t="s">
        <v>53</v>
      </c>
      <c r="J265" t="s">
        <v>23</v>
      </c>
      <c r="K265">
        <v>661</v>
      </c>
      <c r="L265" s="4">
        <v>16.542351100000001</v>
      </c>
      <c r="M265" s="4">
        <v>253.19406751486042</v>
      </c>
      <c r="N265" s="4">
        <v>-9.6615839002293313E-2</v>
      </c>
      <c r="O265" s="1" t="str">
        <f>HYPERLINK(".\sm_car_241123_1502\sm_car_Axle3_241123_1502_264_CaAxle3_012TrK_MaDLC_ode23t_1.png","figure")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764</v>
      </c>
      <c r="L266" s="4">
        <v>19.122975100000001</v>
      </c>
      <c r="M266" s="4">
        <v>253.18755761217346</v>
      </c>
      <c r="N266" s="4">
        <v>-9.5565005073703801E-2</v>
      </c>
      <c r="O266" s="1" t="str">
        <f>HYPERLINK(".\sm_car_241123_1502\sm_car_Axle3_241123_1502_265_CaAxle3_012TrK_MaDLC_ode23t_1.png","figure")</f>
        <v>figure</v>
      </c>
      <c r="P266" t="s">
        <v>15</v>
      </c>
    </row>
    <row r="267" spans="1:16" x14ac:dyDescent="0.25">
      <c r="A267">
        <v>266</v>
      </c>
      <c r="B267" t="s">
        <v>103</v>
      </c>
      <c r="C267" t="s">
        <v>100</v>
      </c>
      <c r="D267" t="s">
        <v>35</v>
      </c>
      <c r="E267" t="s">
        <v>18</v>
      </c>
      <c r="F267" t="s">
        <v>19</v>
      </c>
      <c r="G267" t="s">
        <v>104</v>
      </c>
      <c r="H267" t="s">
        <v>102</v>
      </c>
      <c r="I267" t="s">
        <v>53</v>
      </c>
      <c r="J267" t="s">
        <v>23</v>
      </c>
      <c r="K267">
        <v>660</v>
      </c>
      <c r="L267" s="4">
        <v>16.621590099999999</v>
      </c>
      <c r="M267" s="4">
        <v>255.64662657963299</v>
      </c>
      <c r="N267" s="4">
        <v>-0.10418261222092262</v>
      </c>
      <c r="O267" s="1" t="str">
        <f>HYPERLINK(".\sm_car_241123_1502\sm_car_Axle3_241123_1502_266_CaAxle3_012TrK_MaDLC_ode23t_1.png","figure")</f>
        <v>figure</v>
      </c>
      <c r="P267" t="s">
        <v>15</v>
      </c>
    </row>
    <row r="268" spans="1:16" x14ac:dyDescent="0.25">
      <c r="A268">
        <v>267</v>
      </c>
      <c r="B268" t="s">
        <v>103</v>
      </c>
      <c r="C268" t="s">
        <v>100</v>
      </c>
      <c r="D268" t="s">
        <v>35</v>
      </c>
      <c r="E268" t="s">
        <v>18</v>
      </c>
      <c r="F268" t="s">
        <v>19</v>
      </c>
      <c r="G268" t="s">
        <v>104</v>
      </c>
      <c r="H268" t="s">
        <v>102</v>
      </c>
      <c r="I268" t="s">
        <v>53</v>
      </c>
      <c r="J268" t="s">
        <v>23</v>
      </c>
      <c r="K268">
        <v>935</v>
      </c>
      <c r="L268" s="4">
        <v>20.927743100000001</v>
      </c>
      <c r="M268" s="4">
        <v>253.33336706756739</v>
      </c>
      <c r="N268" s="4">
        <v>-8.9193638585967072E-2</v>
      </c>
      <c r="O268" s="1" t="str">
        <f>HYPERLINK(".\sm_car_241123_1502\sm_car_Axle3_241123_1502_267_CaAxle3_012TrK_MaDLC_ode23t_1.png","figure")</f>
        <v>figure</v>
      </c>
      <c r="P268" t="s">
        <v>15</v>
      </c>
    </row>
  </sheetData>
  <autoFilter ref="A1:P268" xr:uid="{9DC3993A-E85F-4F85-9546-C8A91E04A18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2024b_241123_1502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2024-11-23T17:10:33Z</dcterms:modified>
</cp:coreProperties>
</file>