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SimResults\"/>
    </mc:Choice>
  </mc:AlternateContent>
  <xr:revisionPtr revIDLastSave="0" documentId="13_ncr:1_{F99C6BFD-ACCB-49E5-A02F-B80FD064B5F0}" xr6:coauthVersionLast="47" xr6:coauthVersionMax="47" xr10:uidLastSave="{00000000-0000-0000-0000-000000000000}"/>
  <bookViews>
    <workbookView xWindow="28680" yWindow="-120" windowWidth="29040" windowHeight="15720" xr2:uid="{86C44CE1-1010-4E30-92B1-BDE677C7682C}"/>
  </bookViews>
  <sheets>
    <sheet name="2022b_240831_0552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4" l="1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</calcChain>
</file>

<file path=xl/sharedStrings.xml><?xml version="1.0" encoding="utf-8"?>
<sst xmlns="http://schemas.openxmlformats.org/spreadsheetml/2006/main" count="2418" uniqueCount="122">
  <si>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</si>
  <si>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</si>
  <si>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</si>
  <si>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</si>
  <si>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</si>
  <si>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</si>
  <si>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</si>
  <si>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</si>
  <si>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</si>
  <si>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</si>
  <si>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</si>
  <si>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</si>
  <si>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</si>
  <si>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</si>
  <si>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</si>
  <si>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</si>
  <si>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</si>
  <si>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</si>
  <si>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</si>
  <si>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</si>
  <si>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</si>
  <si>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</si>
  <si>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</si>
  <si>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</si>
  <si>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</si>
  <si>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</si>
  <si>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</si>
  <si>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</si>
  <si>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</si>
  <si>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</si>
  <si>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</si>
  <si>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</si>
  <si>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</si>
  <si>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</si>
  <si>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</si>
  <si>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</si>
  <si>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</si>
  <si>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</si>
  <si>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</si>
  <si>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</si>
  <si>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</si>
  <si>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</si>
  <si>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</si>
  <si>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</si>
  <si>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</si>
  <si>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</si>
  <si>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</si>
  <si>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</si>
  <si>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</si>
  <si>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</si>
  <si>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</si>
  <si>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</si>
  <si>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</si>
  <si>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</si>
  <si>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</si>
  <si>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</si>
  <si>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</si>
  <si>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</si>
  <si>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</si>
  <si>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</si>
  <si>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</si>
  <si>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</si>
  <si>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</si>
  <si>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</si>
  <si>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</si>
  <si>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</si>
  <si>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</si>
  <si>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</si>
  <si>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</si>
  <si>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</si>
  <si>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</si>
  <si>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</si>
  <si>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</si>
  <si>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</si>
  <si>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</si>
  <si>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</si>
  <si>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</si>
  <si>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</si>
  <si>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</si>
  <si>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</si>
  <si>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</si>
  <si>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</si>
  <si>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</si>
  <si>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</si>
  <si>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</si>
  <si>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</si>
  <si>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</si>
  <si>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</si>
  <si>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</si>
  <si>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</si>
  <si>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</si>
  <si>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</si>
  <si>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</si>
  <si>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</si>
  <si>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Axle3_000</t>
  </si>
  <si>
    <t>Makhulu3Axle</t>
  </si>
  <si>
    <t>6x2</t>
  </si>
  <si>
    <t>Axle3_003</t>
  </si>
  <si>
    <t>6x4</t>
  </si>
  <si>
    <t>Axle3_008</t>
  </si>
  <si>
    <t>Amandla3Axle</t>
  </si>
  <si>
    <t>Axle3_010</t>
  </si>
  <si>
    <t>Kumanzi</t>
  </si>
  <si>
    <t>Axle3_012</t>
  </si>
  <si>
    <t>6x2Gen</t>
  </si>
  <si>
    <t>Achilles</t>
  </si>
  <si>
    <t>dwpua</t>
  </si>
  <si>
    <t>dwdec</t>
  </si>
  <si>
    <t>MFMbody</t>
  </si>
  <si>
    <t>RackDrivenShafts</t>
  </si>
  <si>
    <t>MFMbody2x</t>
  </si>
  <si>
    <t>CRG Hockenheim</t>
  </si>
  <si>
    <t>CRG Hockenheim F</t>
  </si>
  <si>
    <t>CRG Rough Road</t>
  </si>
  <si>
    <t>15DOF2Mot</t>
  </si>
  <si>
    <t>Axle3_017</t>
  </si>
  <si>
    <t>Axle3_019</t>
  </si>
  <si>
    <t>MATHWORKS-OL1OH</t>
  </si>
  <si>
    <t>MF-Swift Version: 2306</t>
  </si>
  <si>
    <t>9.13.0.2553342 (R2022b) Update 9</t>
  </si>
  <si>
    <t>31-Aug-2024 08:49:31</t>
  </si>
  <si>
    <t>srcR22a R2022b fixedSusp withFastRestart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</si>
</sst>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C4B2-4636-4020-89DF-44F5835D4D0E}">
  <dimension ref="A1:R266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6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  <col min="18" max="18" width="38.71093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120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396</v>
      </c>
      <c r="L2" s="4">
        <v>9.1498916000000001</v>
      </c>
      <c r="M2" s="4">
        <v>233.7943545125583</v>
      </c>
      <c r="N2" s="4">
        <v>8.7573756048312766E-3</v>
      </c>
      <c r="O2" s="1" t="str">
        <f>HYPERLINK(".\sm_car_240831_0552\sm_car_240831_0552_001_Ca000TrN_MaWOT_ode23t.png","figure")</f>
        <v>figure</v>
      </c>
      <c r="P2" t="s">
        <v>15</v>
      </c>
      <c r="R2" s="2" t="s">
        <v>117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523</v>
      </c>
      <c r="L3" s="4">
        <v>11.4733515</v>
      </c>
      <c r="M3" s="4">
        <v>72.046473658093873</v>
      </c>
      <c r="N3" s="4">
        <v>-0.55378048573647509</v>
      </c>
      <c r="O3" s="1" t="str">
        <f>HYPERLINK(".\sm_car_240831_0552\sm_car_240831_0552_002_Ca000TrN_MaLSS_ode23t.png","figure")</f>
        <v>figure</v>
      </c>
      <c r="P3" t="s">
        <v>15</v>
      </c>
      <c r="R3" s="2" t="s">
        <v>119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395</v>
      </c>
      <c r="L4" s="4">
        <v>10.1230327</v>
      </c>
      <c r="M4" s="4">
        <v>232.8822007105031</v>
      </c>
      <c r="N4" s="4">
        <v>2.3644105581510733E-4</v>
      </c>
      <c r="O4" s="1" t="str">
        <f>HYPERLINK(".\sm_car_240831_0552\sm_car_240831_0552_003_Ca001TrN_MaWOT_ode23t.png","figure")</f>
        <v>figure</v>
      </c>
      <c r="P4" t="s">
        <v>15</v>
      </c>
      <c r="R4" s="2" t="s">
        <v>118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515</v>
      </c>
      <c r="L5" s="4">
        <v>10.989243500000001</v>
      </c>
      <c r="M5" s="4">
        <v>71.757457013757588</v>
      </c>
      <c r="N5" s="4">
        <v>-0.54700847146136078</v>
      </c>
      <c r="O5" s="1" t="str">
        <f>HYPERLINK(".\sm_car_240831_0552\sm_car_240831_0552_004_Ca001TrN_MaLSS_ode23t.png","figure")</f>
        <v>figure</v>
      </c>
      <c r="P5" t="s">
        <v>15</v>
      </c>
      <c r="R5" t="s">
        <v>121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421</v>
      </c>
      <c r="L6" s="4">
        <v>12.146564700000001</v>
      </c>
      <c r="M6" s="4">
        <v>233.04224977274501</v>
      </c>
      <c r="N6" s="4">
        <v>0.1053894950427358</v>
      </c>
      <c r="O6" s="1" t="str">
        <f>HYPERLINK(".\sm_car_240831_0552\sm_car_240831_0552_005_Ca002TrN_MaWOT_ode23t.png","figure")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520</v>
      </c>
      <c r="L7" s="4">
        <v>14.734250599999999</v>
      </c>
      <c r="M7" s="4">
        <v>71.752365266088034</v>
      </c>
      <c r="N7" s="4">
        <v>-0.54378686888942385</v>
      </c>
      <c r="O7" s="1" t="str">
        <f>HYPERLINK(".\sm_car_240831_0552\sm_car_240831_0552_006_Ca002TrN_MaLSS_ode23t.png","figure")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439</v>
      </c>
      <c r="L8" s="4">
        <v>13.866700099999999</v>
      </c>
      <c r="M8" s="4">
        <v>232.41399247012859</v>
      </c>
      <c r="N8" s="4">
        <v>6.3596962579487909E-2</v>
      </c>
      <c r="O8" s="1" t="str">
        <f>HYPERLINK(".\sm_car_240831_0552\sm_car_240831_0552_007_Ca003TrN_MaWOT_ode23t.png","figure")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537</v>
      </c>
      <c r="L9" s="4">
        <v>16.157549100000001</v>
      </c>
      <c r="M9" s="4">
        <v>71.6219756120379</v>
      </c>
      <c r="N9" s="4">
        <v>-0.53826877556506703</v>
      </c>
      <c r="O9" s="1" t="str">
        <f>HYPERLINK(".\sm_car_240831_0552\sm_car_240831_0552_008_Ca003TrN_MaLSS_ode23t.png","figure")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1051</v>
      </c>
      <c r="L10" s="4">
        <v>13.7786594</v>
      </c>
      <c r="M10" s="4">
        <v>234.02316443880059</v>
      </c>
      <c r="N10" s="4">
        <v>9.6058262110875915E-3</v>
      </c>
      <c r="O10" s="1" t="str">
        <f>HYPERLINK(".\sm_car_240831_0552\sm_car_240831_0552_009_Ca004TrN_MaWOT_ode23t.png","figure")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1181</v>
      </c>
      <c r="L11" s="4">
        <v>16.710882600000001</v>
      </c>
      <c r="M11" s="4">
        <v>72.064660752801259</v>
      </c>
      <c r="N11" s="4">
        <v>-0.55549756154943275</v>
      </c>
      <c r="O11" s="1" t="str">
        <f>HYPERLINK(".\sm_car_240831_0552\sm_car_240831_0552_010_Ca004TrN_MaLSS_ode23t.png","figure")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1060</v>
      </c>
      <c r="L12" s="4">
        <v>15.7341502</v>
      </c>
      <c r="M12" s="4">
        <v>232.98202922332666</v>
      </c>
      <c r="N12" s="4">
        <v>3.7407534692555726E-4</v>
      </c>
      <c r="O12" s="1" t="str">
        <f>HYPERLINK(".\sm_car_240831_0552\sm_car_240831_0552_011_Ca005TrN_MaWOT_ode23t.png","figure")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1189</v>
      </c>
      <c r="L13" s="4">
        <v>18.357461700000002</v>
      </c>
      <c r="M13" s="4">
        <v>71.772677078246218</v>
      </c>
      <c r="N13" s="4">
        <v>-0.54641030284604653</v>
      </c>
      <c r="O13" s="1" t="str">
        <f>HYPERLINK(".\sm_car_240831_0552\sm_car_240831_0552_012_Ca005TrN_MaLSS_ode23t.png","figure")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1136</v>
      </c>
      <c r="L14" s="4">
        <v>17.056894400000001</v>
      </c>
      <c r="M14" s="4">
        <v>232.9261193606373</v>
      </c>
      <c r="N14" s="4">
        <v>6.4938838824118675E-2</v>
      </c>
      <c r="O14" s="1" t="str">
        <f>HYPERLINK(".\sm_car_240831_0552\sm_car_240831_0552_013_Ca006TrN_MaWOT_ode23t.png","figure")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1244</v>
      </c>
      <c r="L15" s="4">
        <v>17.3291763</v>
      </c>
      <c r="M15" s="4">
        <v>71.7512295995258</v>
      </c>
      <c r="N15" s="4">
        <v>-0.54450141108533645</v>
      </c>
      <c r="O15" s="1" t="str">
        <f>HYPERLINK(".\sm_car_240831_0552\sm_car_240831_0552_014_Ca006TrN_MaLSS_ode23t.png","figure")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1176</v>
      </c>
      <c r="L16" s="4">
        <v>19.8756284</v>
      </c>
      <c r="M16" s="4">
        <v>232.62238172191275</v>
      </c>
      <c r="N16" s="4">
        <v>6.6085677653763178E-2</v>
      </c>
      <c r="O16" s="1" t="str">
        <f>HYPERLINK(".\sm_car_240831_0552\sm_car_240831_0552_015_Ca007TrN_MaWOT_ode23t.png","figure")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1244</v>
      </c>
      <c r="L17" s="4">
        <v>20.808223699999999</v>
      </c>
      <c r="M17" s="4">
        <v>71.634151251256895</v>
      </c>
      <c r="N17" s="4">
        <v>-0.53942493675765002</v>
      </c>
      <c r="O17" s="1" t="str">
        <f>HYPERLINK(".\sm_car_240831_0552\sm_car_240831_0552_016_Ca007TrN_MaLSS_ode23t.png","figure")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386</v>
      </c>
      <c r="L18" s="4">
        <v>7.1775301000000002</v>
      </c>
      <c r="M18" s="4">
        <v>234.9178138771637</v>
      </c>
      <c r="N18" s="4">
        <v>-6.9784035487130608E-2</v>
      </c>
      <c r="O18" s="1" t="str">
        <f>HYPERLINK(".\sm_car_240831_0552\sm_car_240831_0552_017_Ca016TrN_MaWOT_ode23t.png","figure")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474</v>
      </c>
      <c r="L19" s="4">
        <v>6.5812172000000002</v>
      </c>
      <c r="M19" s="4">
        <v>72.416849589060007</v>
      </c>
      <c r="N19" s="4">
        <v>-2.1645375953034684E-2</v>
      </c>
      <c r="O19" s="1" t="str">
        <f>HYPERLINK(".\sm_car_240831_0552\sm_car_240831_0552_018_Ca016TrN_MaLSS_ode23t.png","figure")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389</v>
      </c>
      <c r="L20" s="4">
        <v>9.6189040000000006</v>
      </c>
      <c r="M20" s="4">
        <v>233.76155691267664</v>
      </c>
      <c r="N20" s="4">
        <v>2.0404364388403647E-2</v>
      </c>
      <c r="O20" s="1" t="str">
        <f>HYPERLINK(".\sm_car_240831_0552\sm_car_240831_0552_019_Ca032TrN_MaWOT_ode23t.png","figure")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507</v>
      </c>
      <c r="L21" s="4">
        <v>11.0525424</v>
      </c>
      <c r="M21" s="4">
        <v>72.057023163750472</v>
      </c>
      <c r="N21" s="4">
        <v>-0.53546339973508339</v>
      </c>
      <c r="O21" s="1" t="str">
        <f>HYPERLINK(".\sm_car_240831_0552\sm_car_240831_0552_020_Ca032TrN_MaLSS_ode23t.png","figure")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407</v>
      </c>
      <c r="L22" s="4">
        <v>8.4415241000000005</v>
      </c>
      <c r="M22" s="4">
        <v>234.0508395225398</v>
      </c>
      <c r="N22" s="4">
        <v>-4.4155107329615579E-3</v>
      </c>
      <c r="O22" s="1" t="str">
        <f>HYPERLINK(".\sm_car_240831_0552\sm_car_240831_0552_021_Ca048TrN_MaWOT_ode23t.png","figure")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504</v>
      </c>
      <c r="L23" s="4">
        <v>10.635370399999999</v>
      </c>
      <c r="M23" s="4">
        <v>72.054315419250372</v>
      </c>
      <c r="N23" s="4">
        <v>-0.54055352190235073</v>
      </c>
      <c r="O23" s="1" t="str">
        <f>HYPERLINK(".\sm_car_240831_0552\sm_car_240831_0552_022_Ca048TrN_MaLSS_ode23t.png","figure")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390</v>
      </c>
      <c r="L24" s="4">
        <v>10.6308819</v>
      </c>
      <c r="M24" s="4">
        <v>234.11628092355735</v>
      </c>
      <c r="N24" s="4">
        <v>2.2153153933866365E-2</v>
      </c>
      <c r="O24" s="1" t="str">
        <f>HYPERLINK(".\sm_car_240831_0552\sm_car_240831_0552_023_Ca064TrN_MaWOT_ode23t.png","figure")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508</v>
      </c>
      <c r="L25" s="4">
        <v>11.9096665</v>
      </c>
      <c r="M25" s="4">
        <v>72.06283625530213</v>
      </c>
      <c r="N25" s="4">
        <v>-0.53088141627245788</v>
      </c>
      <c r="O25" s="1" t="str">
        <f>HYPERLINK(".\sm_car_240831_0552\sm_car_240831_0552_024_Ca064TrN_MaLSS_ode23t.png","figure")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391</v>
      </c>
      <c r="L26" s="4">
        <v>8.7924684000000006</v>
      </c>
      <c r="M26" s="4">
        <v>234.26851736786753</v>
      </c>
      <c r="N26" s="4">
        <v>-8.6101901358082763E-3</v>
      </c>
      <c r="O26" s="1" t="str">
        <f>HYPERLINK(".\sm_car_240831_0552\sm_car_240831_0552_025_Ca080TrN_MaWOT_ode23t.png","figure")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520</v>
      </c>
      <c r="L27" s="4">
        <v>12.936087000000001</v>
      </c>
      <c r="M27" s="4">
        <v>72.122339486937932</v>
      </c>
      <c r="N27" s="4">
        <v>-0.54086569565090004</v>
      </c>
      <c r="O27" s="1" t="str">
        <f>HYPERLINK(".\sm_car_240831_0552\sm_car_240831_0552_026_Ca080TrN_MaLSS_ode23t.png","figure")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394</v>
      </c>
      <c r="L28" s="4">
        <v>7.9485085</v>
      </c>
      <c r="M28" s="4">
        <v>236.00726724279676</v>
      </c>
      <c r="N28" s="4">
        <v>3.1743772217962263E-2</v>
      </c>
      <c r="O28" s="1" t="str">
        <f>HYPERLINK(".\sm_car_240831_0552\sm_car_240831_0552_027_Ca096TrN_MaWOT_ode23t.png","figure")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502</v>
      </c>
      <c r="L29" s="4">
        <v>10.159668</v>
      </c>
      <c r="M29" s="4">
        <v>72.654770046266265</v>
      </c>
      <c r="N29" s="4">
        <v>-0.53988110208508111</v>
      </c>
      <c r="O29" s="1" t="str">
        <f>HYPERLINK(".\sm_car_240831_0552\sm_car_240831_0552_028_Ca096TrN_MaLSS_ode23t.png","figure")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376</v>
      </c>
      <c r="L30" s="4">
        <v>3.0864666999999999</v>
      </c>
      <c r="M30" s="4">
        <v>242.67039980383566</v>
      </c>
      <c r="N30" s="4">
        <v>0.23235808260815013</v>
      </c>
      <c r="O30" s="1" t="str">
        <f>HYPERLINK(".\sm_car_240831_0552\sm_car_240831_0552_029_Ca112TrN_MaWOT_ode23t.png","figure")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486</v>
      </c>
      <c r="L31" s="4">
        <v>3.5474212999999999</v>
      </c>
      <c r="M31" s="4">
        <v>74.661827177005804</v>
      </c>
      <c r="N31" s="4">
        <v>-0.33805720242627213</v>
      </c>
      <c r="O31" s="1" t="str">
        <f>HYPERLINK(".\sm_car_240831_0552\sm_car_240831_0552_030_Ca112TrN_MaLSS_ode23t.png","figure")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374</v>
      </c>
      <c r="L32" s="4">
        <v>3.0715414000000001</v>
      </c>
      <c r="M32" s="4">
        <v>241.60085135400595</v>
      </c>
      <c r="N32" s="4">
        <v>0.230750799965588</v>
      </c>
      <c r="O32" s="1" t="str">
        <f>HYPERLINK(".\sm_car_240831_0552\sm_car_240831_0552_031_Ca113TrN_MaWOT_ode23t.png","figure")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475</v>
      </c>
      <c r="L33" s="4">
        <v>3.7420743999999999</v>
      </c>
      <c r="M33" s="4">
        <v>74.346271681195418</v>
      </c>
      <c r="N33" s="4">
        <v>-0.33428783134386963</v>
      </c>
      <c r="O33" s="1" t="str">
        <f>HYPERLINK(".\sm_car_240831_0552\sm_car_240831_0552_032_Ca113TrN_MaLSS_ode23t.png","figure")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379</v>
      </c>
      <c r="L34" s="4">
        <v>4.0131819000000002</v>
      </c>
      <c r="M34" s="4">
        <v>241.53977300560047</v>
      </c>
      <c r="N34" s="4">
        <v>0.22921338427765445</v>
      </c>
      <c r="O34" s="1" t="str">
        <f>HYPERLINK(".\sm_car_240831_0552\sm_car_240831_0552_033_Ca114TrN_MaWOT_ode23t.png","figure")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491</v>
      </c>
      <c r="L35" s="4">
        <v>4.8117992999999997</v>
      </c>
      <c r="M35" s="4">
        <v>74.350404006911177</v>
      </c>
      <c r="N35" s="4">
        <v>-0.33400272664345271</v>
      </c>
      <c r="O35" s="1" t="str">
        <f>HYPERLINK(".\sm_car_240831_0552\sm_car_240831_0552_034_Ca114TrN_MaLSS_ode23t.png","figure")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400</v>
      </c>
      <c r="L36" s="4">
        <v>4.0529605999999996</v>
      </c>
      <c r="M36" s="4">
        <v>241.1616051302743</v>
      </c>
      <c r="N36" s="4">
        <v>0.22787793833452652</v>
      </c>
      <c r="O36" s="1" t="str">
        <f>HYPERLINK(".\sm_car_240831_0552\sm_car_240831_0552_035_Ca115TrN_MaWOT_ode23t.png","figure")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519</v>
      </c>
      <c r="L37" s="4">
        <v>4.5835773</v>
      </c>
      <c r="M37" s="4">
        <v>74.209698334942161</v>
      </c>
      <c r="N37" s="4">
        <v>-0.33258639583364497</v>
      </c>
      <c r="O37" s="1" t="str">
        <f>HYPERLINK(".\sm_car_240831_0552\sm_car_240831_0552_036_Ca115TrN_MaLSS_ode23t.png","figure")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927</v>
      </c>
      <c r="L38" s="4">
        <v>5.4025641999999996</v>
      </c>
      <c r="M38" s="4">
        <v>242.65788580093752</v>
      </c>
      <c r="N38" s="4">
        <v>0.22949613511630912</v>
      </c>
      <c r="O38" s="1" t="str">
        <f>HYPERLINK(".\sm_car_240831_0552\sm_car_240831_0552_037_Ca116TrN_MaWOT_ode23t.png","figure")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1068</v>
      </c>
      <c r="L39" s="4">
        <v>6.5455664999999996</v>
      </c>
      <c r="M39" s="4">
        <v>74.661390944906799</v>
      </c>
      <c r="N39" s="4">
        <v>-0.33906626267669099</v>
      </c>
      <c r="O39" s="1" t="str">
        <f>HYPERLINK(".\sm_car_240831_0552\sm_car_240831_0552_038_Ca116TrN_MaLSS_ode23t.png","figure")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961</v>
      </c>
      <c r="L40" s="4">
        <v>5.9063936999999997</v>
      </c>
      <c r="M40" s="4">
        <v>241.66607253350659</v>
      </c>
      <c r="N40" s="4">
        <v>0.22863166261704349</v>
      </c>
      <c r="O40" s="1" t="str">
        <f>HYPERLINK(".\sm_car_240831_0552\sm_car_240831_0552_039_Ca117TrN_MaWOT_ode23t.png","figure")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1063</v>
      </c>
      <c r="L41" s="4">
        <v>7.0343242000000004</v>
      </c>
      <c r="M41" s="4">
        <v>74.35004253322262</v>
      </c>
      <c r="N41" s="4">
        <v>-0.33710773291154911</v>
      </c>
      <c r="O41" s="1" t="str">
        <f>HYPERLINK(".\sm_car_240831_0552\sm_car_240831_0552_040_Ca117TrN_MaLSS_ode23t.png","figure")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952</v>
      </c>
      <c r="L42" s="4">
        <v>6.4351336000000003</v>
      </c>
      <c r="M42" s="4">
        <v>241.61013409606161</v>
      </c>
      <c r="N42" s="4">
        <v>0.23060527323192562</v>
      </c>
      <c r="O42" s="1" t="str">
        <f>HYPERLINK(".\sm_car_240831_0552\sm_car_240831_0552_041_Ca118TrN_MaWOT_ode23t.png","figure")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1048</v>
      </c>
      <c r="L43" s="4">
        <v>7.7733289000000001</v>
      </c>
      <c r="M43" s="4">
        <v>74.351207248327455</v>
      </c>
      <c r="N43" s="4">
        <v>-0.33501992000174008</v>
      </c>
      <c r="O43" s="1" t="str">
        <f>HYPERLINK(".\sm_car_240831_0552\sm_car_240831_0552_042_Ca118TrN_MaLSS_ode23t.png","figure")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961</v>
      </c>
      <c r="L44" s="4">
        <v>6.7109227999999996</v>
      </c>
      <c r="M44" s="4">
        <v>241.12925700737776</v>
      </c>
      <c r="N44" s="4">
        <v>0.22722561830956689</v>
      </c>
      <c r="O44" s="1" t="str">
        <f>HYPERLINK(".\sm_car_240831_0552\sm_car_240831_0552_043_Ca119TrN_MaWOT_ode23t.png","figure")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1079</v>
      </c>
      <c r="L45" s="4">
        <v>7.229368</v>
      </c>
      <c r="M45" s="4">
        <v>74.199582953237666</v>
      </c>
      <c r="N45" s="4">
        <v>-0.33429099859004158</v>
      </c>
      <c r="O45" s="1" t="str">
        <f>HYPERLINK(".\sm_car_240831_0552\sm_car_240831_0552_044_Ca119TrN_MaLSS_ode23t.png","figure")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389</v>
      </c>
      <c r="L46" s="4">
        <v>16.217455099999999</v>
      </c>
      <c r="M46" s="4">
        <v>100.87002099533962</v>
      </c>
      <c r="N46" s="4">
        <v>-1.4513297576261085E-2</v>
      </c>
      <c r="O46" s="1" t="str">
        <f>HYPERLINK(".\sm_car_240831_0552\sm_car_240831_0552_045_Ca128TrN_MaWOT_ode23t.png","figure")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469</v>
      </c>
      <c r="L47" s="4">
        <v>15.507318700000001</v>
      </c>
      <c r="M47" s="4">
        <v>37.32377991831784</v>
      </c>
      <c r="N47" s="4">
        <v>-0.13878629517121699</v>
      </c>
      <c r="O47" s="1" t="str">
        <f>HYPERLINK(".\sm_car_240831_0552\sm_car_240831_0552_046_Ca128TrN_MaLSS_ode23t.png","figure")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405</v>
      </c>
      <c r="L48" s="4">
        <v>14.8087082</v>
      </c>
      <c r="M48" s="4">
        <v>232.62601049011514</v>
      </c>
      <c r="N48" s="4">
        <v>7.8808434939440536E-2</v>
      </c>
      <c r="O48" s="1" t="str">
        <f>HYPERLINK(".\sm_car_240831_0552\sm_car_240831_0552_047_Ca129TrN_MaWOT_ode23t.png","figure")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491</v>
      </c>
      <c r="L49" s="4">
        <v>16.050200799999999</v>
      </c>
      <c r="M49" s="4">
        <v>71.607048878863068</v>
      </c>
      <c r="N49" s="4">
        <v>-0.54337998872352422</v>
      </c>
      <c r="O49" s="1" t="str">
        <f>HYPERLINK(".\sm_car_240831_0552\sm_car_240831_0552_048_Ca129TrN_MaLSS_ode23t.png","figure")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790</v>
      </c>
      <c r="L50" s="4">
        <v>25.6861921</v>
      </c>
      <c r="M50" s="4">
        <v>220.39479942065375</v>
      </c>
      <c r="N50" s="4">
        <v>-1.4631428018255614</v>
      </c>
      <c r="O50" s="1" t="str">
        <f>HYPERLINK(".\sm_car_240831_0552\sm_car_240831_0552_049_Ca130TrN_MaWOT_ode23t.png","figure")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763</v>
      </c>
      <c r="L51" s="4">
        <v>24.720813799999998</v>
      </c>
      <c r="M51" s="4">
        <v>69.572421336151137</v>
      </c>
      <c r="N51" s="4">
        <v>-0.55072863116367465</v>
      </c>
      <c r="O51" s="1" t="str">
        <f>HYPERLINK(".\sm_car_240831_0552\sm_car_240831_0552_050_Ca130TrN_MaLSS_ode23t.png","figure")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589</v>
      </c>
      <c r="L52" s="4">
        <v>16.0497993</v>
      </c>
      <c r="M52" s="4">
        <v>177.37310331643786</v>
      </c>
      <c r="N52" s="4">
        <v>-5.9421223180854126</v>
      </c>
      <c r="O52" s="1" t="str">
        <f>HYPERLINK(".\sm_car_240831_0552\sm_car_240831_0552_051_Ca131TrN_MaWOT_ode23t.png","figure")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510</v>
      </c>
      <c r="L53" s="4">
        <v>15.3466863</v>
      </c>
      <c r="M53" s="4">
        <v>37.435270491184433</v>
      </c>
      <c r="N53" s="4">
        <v>-0.16682841469423221</v>
      </c>
      <c r="O53" s="1" t="str">
        <f>HYPERLINK(".\sm_car_240831_0552\sm_car_240831_0552_052_Ca131TrN_MaLSS_ode23t.png","figure")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372</v>
      </c>
      <c r="L54" s="4">
        <v>9.9166354000000005</v>
      </c>
      <c r="M54" s="4">
        <v>232.25434405901916</v>
      </c>
      <c r="N54" s="4">
        <v>3.7523701952729201E-2</v>
      </c>
      <c r="O54" s="1" t="str">
        <f>HYPERLINK(".\sm_car_240831_0552\sm_car_240831_0552_053_Ca132TrN_MaWOT_ode23t.png","figure")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506</v>
      </c>
      <c r="L55" s="4">
        <v>13.172376699999999</v>
      </c>
      <c r="M55" s="4">
        <v>71.223450127714955</v>
      </c>
      <c r="N55" s="4">
        <v>-0.53035927492958723</v>
      </c>
      <c r="O55" s="1" t="str">
        <f>HYPERLINK(".\sm_car_240831_0552\sm_car_240831_0552_054_Ca132TrN_MaLSS_ode23t.png","figure")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395</v>
      </c>
      <c r="L56" s="4">
        <v>7.6726140000000003</v>
      </c>
      <c r="M56" s="4">
        <v>232.8822007105031</v>
      </c>
      <c r="N56" s="4">
        <v>2.3644105581510733E-4</v>
      </c>
      <c r="O56" s="1" t="str">
        <f>HYPERLINK(".\sm_car_240831_0552\sm_car_240831_0552_055_Ca133TrN_MaWOT_ode23t.png","figure")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515</v>
      </c>
      <c r="L57" s="4">
        <v>11.4557667</v>
      </c>
      <c r="M57" s="4">
        <v>71.757457013757588</v>
      </c>
      <c r="N57" s="4">
        <v>-0.54700847146136078</v>
      </c>
      <c r="O57" s="1" t="str">
        <f>HYPERLINK(".\sm_car_240831_0552\sm_car_240831_0552_056_Ca133TrN_MaLSS_ode23t.png","figure")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378</v>
      </c>
      <c r="L58" s="4">
        <v>9.7870079000000008</v>
      </c>
      <c r="M58" s="4">
        <v>233.09474571610622</v>
      </c>
      <c r="N58" s="4">
        <v>5.2498729348790063E-4</v>
      </c>
      <c r="O58" s="1" t="str">
        <f>HYPERLINK(".\sm_car_240831_0552\sm_car_240831_0552_057_Ca134TrN_MaWOT_ode23t.png","figure")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497</v>
      </c>
      <c r="L59" s="4">
        <v>11.920694299999999</v>
      </c>
      <c r="M59" s="4">
        <v>71.763607496146619</v>
      </c>
      <c r="N59" s="4">
        <v>-0.54678316769108926</v>
      </c>
      <c r="O59" s="1" t="str">
        <f>HYPERLINK(".\sm_car_240831_0552\sm_car_240831_0552_058_Ca134TrN_MaLSS_ode23t.png","figure")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363</v>
      </c>
      <c r="L60" s="4">
        <v>8.6595496000000001</v>
      </c>
      <c r="M60" s="4">
        <v>232.96687056818539</v>
      </c>
      <c r="N60" s="4">
        <v>2.4345008538149051E-3</v>
      </c>
      <c r="O60" s="1" t="str">
        <f>HYPERLINK(".\sm_car_240831_0552\sm_car_240831_0552_059_Ca135TrN_MaWOT_ode23t.png","figure")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509</v>
      </c>
      <c r="L61" s="4">
        <v>10.170810100000001</v>
      </c>
      <c r="M61" s="4">
        <v>71.767240915703141</v>
      </c>
      <c r="N61" s="4">
        <v>-0.54703871911959723</v>
      </c>
      <c r="O61" s="1" t="str">
        <f>HYPERLINK(".\sm_car_240831_0552\sm_car_240831_0552_060_Ca135TrN_MaLSS_ode23t.png","figure")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428</v>
      </c>
      <c r="L62" s="4">
        <v>11.3625569</v>
      </c>
      <c r="M62" s="4">
        <v>233.02276811029415</v>
      </c>
      <c r="N62" s="4">
        <v>6.7390265492644014E-2</v>
      </c>
      <c r="O62" s="1" t="str">
        <f>HYPERLINK(".\sm_car_240831_0552\sm_car_240831_0552_061_Ca136TrN_MaWOT_ode23t.png","figure")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529</v>
      </c>
      <c r="L63" s="4">
        <v>15.159424899999999</v>
      </c>
      <c r="M63" s="4">
        <v>71.756416474655808</v>
      </c>
      <c r="N63" s="4">
        <v>-0.54166270523377635</v>
      </c>
      <c r="O63" s="1" t="str">
        <f>HYPERLINK(".\sm_car_240831_0552\sm_car_240831_0552_062_Ca136TrN_MaLSS_ode23t.png","figure")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333</v>
      </c>
      <c r="L64" s="4">
        <v>7.0006101999999997</v>
      </c>
      <c r="M64" s="4">
        <v>233.64010681043797</v>
      </c>
      <c r="N64" s="4">
        <v>0.14247475862687123</v>
      </c>
      <c r="O64" s="1" t="str">
        <f>HYPERLINK(".\sm_car_240831_0552\sm_car_240831_0552_063_Ca137TrN_MaWOT_ode23t.png","figure")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469</v>
      </c>
      <c r="L65" s="4">
        <v>9.6560754000000006</v>
      </c>
      <c r="M65" s="4">
        <v>71.797454459517354</v>
      </c>
      <c r="N65" s="4">
        <v>-0.50403038507243769</v>
      </c>
      <c r="O65" s="1" t="str">
        <f>HYPERLINK(".\sm_car_240831_0552\sm_car_240831_0552_064_Ca137TrN_MaLSS_ode23t.png","figure")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339</v>
      </c>
      <c r="L66" s="4">
        <v>10.9626888</v>
      </c>
      <c r="M66" s="4">
        <v>233.54460894402655</v>
      </c>
      <c r="N66" s="4">
        <v>0.15285371875530679</v>
      </c>
      <c r="O66" s="1" t="str">
        <f>HYPERLINK(".\sm_car_240831_0552\sm_car_240831_0552_065_Ca138TrN_MaWOT_ode23t.png","figure")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499</v>
      </c>
      <c r="L67" s="4">
        <v>13.877742599999999</v>
      </c>
      <c r="M67" s="4">
        <v>71.664139815490941</v>
      </c>
      <c r="N67" s="4">
        <v>-0.82645650615734678</v>
      </c>
      <c r="O67" s="1" t="str">
        <f>HYPERLINK(".\sm_car_240831_0552\sm_car_240831_0552_066_Ca138TrN_MaLSS_ode23t.png","figure")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475</v>
      </c>
      <c r="L68" s="4">
        <v>16.230572200000001</v>
      </c>
      <c r="M68" s="4">
        <v>411.71264603021757</v>
      </c>
      <c r="N68" s="4">
        <v>1.5858094166407377</v>
      </c>
      <c r="O68" s="1" t="str">
        <f>HYPERLINK(".\sm_car_240831_0552\sm_car_240831_0552_067_Ca139TrN_MaWOT_ode23t.png","figure")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526</v>
      </c>
      <c r="L69" s="4">
        <v>13.9979978</v>
      </c>
      <c r="M69" s="4">
        <v>157.23585894298103</v>
      </c>
      <c r="N69" s="4">
        <v>-0.57303786506528909</v>
      </c>
      <c r="O69" s="1" t="str">
        <f>HYPERLINK(".\sm_car_240831_0552\sm_car_240831_0552_068_Ca139TrN_MaLSS_ode23t.png","figure")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1689</v>
      </c>
      <c r="L70" s="4">
        <v>28.0843417</v>
      </c>
      <c r="M70" s="4">
        <v>411.78570068868981</v>
      </c>
      <c r="N70" s="4">
        <v>1.5688271603269441</v>
      </c>
      <c r="O70" s="1" t="str">
        <f>HYPERLINK(".\sm_car_240831_0552\sm_car_240831_0552_069_Ca141TrN_MaWOT_ode23t.png","figure")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1696</v>
      </c>
      <c r="L71" s="4">
        <v>21.5435768</v>
      </c>
      <c r="M71" s="4">
        <v>157.30946242188563</v>
      </c>
      <c r="N71" s="4">
        <v>-0.56325567797862031</v>
      </c>
      <c r="O71" s="1" t="str">
        <f>HYPERLINK(".\sm_car_240831_0552\sm_car_240831_0552_070_Ca141TrN_MaLSS_ode23t.png","figure")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337</v>
      </c>
      <c r="L72" s="4">
        <v>17.544184300000001</v>
      </c>
      <c r="M72" s="4">
        <v>96.717479370668556</v>
      </c>
      <c r="N72" s="4">
        <v>-4.0408862266687565E-2</v>
      </c>
      <c r="O72" s="1" t="str">
        <f>HYPERLINK(".\sm_car_240831_0552\sm_car_240831_0552_071_Ca143TrN_MaWOT_ode23t.png","figure")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433</v>
      </c>
      <c r="L73" s="4">
        <v>16.6644361</v>
      </c>
      <c r="M73" s="4">
        <v>25.17407962142207</v>
      </c>
      <c r="N73" s="4">
        <v>-5.4658032845276497E-2</v>
      </c>
      <c r="O73" s="1" t="str">
        <f>HYPERLINK(".\sm_car_240831_0552\sm_car_240831_0552_072_Ca143TrN_MaLSS_ode23t.png","figure")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339</v>
      </c>
      <c r="L74" s="4">
        <v>13.6553817</v>
      </c>
      <c r="M74" s="4">
        <v>115.04801379002851</v>
      </c>
      <c r="N74" s="4">
        <v>0.53014906927755645</v>
      </c>
      <c r="O74" s="1" t="str">
        <f>HYPERLINK(".\sm_car_240831_0552\sm_car_240831_0552_073_Ca144TrN_MaWOT_ode23t.png","figure")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450</v>
      </c>
      <c r="L75" s="4">
        <v>14.033815000000001</v>
      </c>
      <c r="M75" s="4">
        <v>35.860747365879675</v>
      </c>
      <c r="N75" s="4">
        <v>-3.5266079154181937E-2</v>
      </c>
      <c r="O75" s="1" t="str">
        <f>HYPERLINK(".\sm_car_240831_0552\sm_car_240831_0552_074_Ca144TrN_MaLSS_ode23t.png","figure")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2112</v>
      </c>
      <c r="L76" s="4">
        <v>19.931553300000001</v>
      </c>
      <c r="M76" s="4">
        <v>401.07028541923484</v>
      </c>
      <c r="N76" s="4">
        <v>-67.003762983892031</v>
      </c>
      <c r="O76" s="1" t="str">
        <f>HYPERLINK(".\sm_car_240831_0552\sm_car_240831_0552_075_Ca147TrN_MaWOT_ode23t.png","figure")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1226</v>
      </c>
      <c r="L77" s="4">
        <v>18.200934199999999</v>
      </c>
      <c r="M77" s="4">
        <v>155.47670312189842</v>
      </c>
      <c r="N77" s="4">
        <v>-2.7385597054135302</v>
      </c>
      <c r="O77" s="1" t="str">
        <f>HYPERLINK(".\sm_car_240831_0552\sm_car_240831_0552_076_Ca147TrN_MaLSS_ode23t.png","figure")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106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1112</v>
      </c>
      <c r="L78" s="4">
        <v>55.841796700000003</v>
      </c>
      <c r="M78" s="4">
        <v>184.65914925335852</v>
      </c>
      <c r="N78" s="4">
        <v>-2.9826880831486206E-2</v>
      </c>
      <c r="O78" s="1" t="str">
        <f>HYPERLINK(".\sm_car_240831_0552\sm_car_240831_0552_077_Ca183TrN_MaWOT_ode23t.png","figure")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106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1395</v>
      </c>
      <c r="L79" s="4">
        <v>62.020362400000003</v>
      </c>
      <c r="M79" s="4">
        <v>57.737861957379302</v>
      </c>
      <c r="N79" s="4">
        <v>8.2762221105913067E-2</v>
      </c>
      <c r="O79" s="1" t="str">
        <f>HYPERLINK(".\sm_car_240831_0552\sm_car_240831_0552_078_Ca183TrN_MaLSS_ode23t.png","figure")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379</v>
      </c>
      <c r="L80" s="4">
        <v>12.8043817</v>
      </c>
      <c r="M80" s="4">
        <v>233.88981813902785</v>
      </c>
      <c r="N80" s="4">
        <v>9.2440376925831073E-3</v>
      </c>
      <c r="O80" s="1" t="str">
        <f>HYPERLINK(".\sm_car_240831_0552\sm_car_240831_0552_079_Ca008TrN_MaWOT_ode23t_1.png","figure")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551</v>
      </c>
      <c r="L81" s="4">
        <v>13.8129963</v>
      </c>
      <c r="M81" s="4">
        <v>72.061177590033125</v>
      </c>
      <c r="N81" s="4">
        <v>-0.54984787726948581</v>
      </c>
      <c r="O81" s="1" t="str">
        <f>HYPERLINK(".\sm_car_240831_0552\sm_car_240831_0552_080_Ca008TrN_MaLSS_ode23t_1.png","figure")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367</v>
      </c>
      <c r="L82" s="4">
        <v>13.1979507</v>
      </c>
      <c r="M82" s="4">
        <v>233.12167979409475</v>
      </c>
      <c r="N82" s="4">
        <v>1.0273730614252664E-3</v>
      </c>
      <c r="O82" s="1" t="str">
        <f>HYPERLINK(".\sm_car_240831_0552\sm_car_240831_0552_081_Ca009TrN_MaWOT_ode23t_1.png","figure")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530</v>
      </c>
      <c r="L83" s="4">
        <v>13.994478600000001</v>
      </c>
      <c r="M83" s="4">
        <v>71.773296887041298</v>
      </c>
      <c r="N83" s="4">
        <v>-0.54074126859330529</v>
      </c>
      <c r="O83" s="1" t="str">
        <f>HYPERLINK(".\sm_car_240831_0552\sm_car_240831_0552_082_Ca009TrN_MaLSS_ode23t_1.png","figure")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377</v>
      </c>
      <c r="L84" s="4">
        <v>12.169965599999999</v>
      </c>
      <c r="M84" s="4">
        <v>232.79255825601646</v>
      </c>
      <c r="N84" s="4">
        <v>6.9480676210600292E-2</v>
      </c>
      <c r="O84" s="1" t="str">
        <f>HYPERLINK(".\sm_car_240831_0552\sm_car_240831_0552_083_Ca010TrN_MaWOT_ode23t_1.png","figure")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546</v>
      </c>
      <c r="L85" s="4">
        <v>16.6536942</v>
      </c>
      <c r="M85" s="4">
        <v>71.76656912111082</v>
      </c>
      <c r="N85" s="4">
        <v>-0.53935820258967604</v>
      </c>
      <c r="O85" s="1" t="str">
        <f>HYPERLINK(".\sm_car_240831_0552\sm_car_240831_0552_084_Ca010TrN_MaLSS_ode23t_1.png","figure")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420</v>
      </c>
      <c r="L86" s="4">
        <v>16.5374403</v>
      </c>
      <c r="M86" s="4">
        <v>232.57831995212061</v>
      </c>
      <c r="N86" s="4">
        <v>6.7205287637926922E-2</v>
      </c>
      <c r="O86" s="1" t="str">
        <f>HYPERLINK(".\sm_car_240831_0552\sm_car_240831_0552_085_Ca011TrN_MaWOT_ode23t_1.png","figure")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591</v>
      </c>
      <c r="L87" s="4">
        <v>20.314343600000001</v>
      </c>
      <c r="M87" s="4">
        <v>71.634212836885865</v>
      </c>
      <c r="N87" s="4">
        <v>-0.53886098161264628</v>
      </c>
      <c r="O87" s="1" t="str">
        <f>HYPERLINK(".\sm_car_240831_0552\sm_car_240831_0552_086_Ca011TrN_MaLSS_ode23t_1.png","figure")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818</v>
      </c>
      <c r="L88" s="4">
        <v>11.0042171</v>
      </c>
      <c r="M88" s="4">
        <v>234.08037263710426</v>
      </c>
      <c r="N88" s="4">
        <v>9.9499337266434999E-3</v>
      </c>
      <c r="O88" s="1" t="str">
        <f>HYPERLINK(".\sm_car_240831_0552\sm_car_240831_0552_087_Ca012TrN_MaWOT_ode23t_1.png","figure")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944</v>
      </c>
      <c r="L89" s="4">
        <v>12.9350223</v>
      </c>
      <c r="M89" s="4">
        <v>72.056974258112263</v>
      </c>
      <c r="N89" s="4">
        <v>-0.55809562998318374</v>
      </c>
      <c r="O89" s="1" t="str">
        <f>HYPERLINK(".\sm_car_240831_0552\sm_car_240831_0552_088_Ca012TrN_MaLSS_ode23t_1.png","figure")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818</v>
      </c>
      <c r="L90" s="4">
        <v>15.5794587</v>
      </c>
      <c r="M90" s="4">
        <v>233.05203620098266</v>
      </c>
      <c r="N90" s="4">
        <v>1.5066021242813121E-3</v>
      </c>
      <c r="O90" s="1" t="str">
        <f>HYPERLINK(".\sm_car_240831_0552\sm_car_240831_0552_089_Ca013TrN_MaWOT_ode23t_1.png","figure")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967</v>
      </c>
      <c r="L91" s="4">
        <v>18.9439463</v>
      </c>
      <c r="M91" s="4">
        <v>71.76231921029617</v>
      </c>
      <c r="N91" s="4">
        <v>-0.55091968922749912</v>
      </c>
      <c r="O91" s="1" t="str">
        <f>HYPERLINK(".\sm_car_240831_0552\sm_car_240831_0552_090_Ca013TrN_MaLSS_ode23t_1.png","figure")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859</v>
      </c>
      <c r="L92" s="4">
        <v>16.301118299999999</v>
      </c>
      <c r="M92" s="4">
        <v>232.90666690706524</v>
      </c>
      <c r="N92" s="4">
        <v>6.9970412619759642E-2</v>
      </c>
      <c r="O92" s="1" t="str">
        <f>HYPERLINK(".\sm_car_240831_0552\sm_car_240831_0552_091_Ca014TrN_MaWOT_ode23t_1.png","figure")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1003</v>
      </c>
      <c r="L93" s="4">
        <v>20.455207600000001</v>
      </c>
      <c r="M93" s="4">
        <v>71.766776391197794</v>
      </c>
      <c r="N93" s="4">
        <v>-0.54437019852966262</v>
      </c>
      <c r="O93" s="1" t="str">
        <f>HYPERLINK(".\sm_car_240831_0552\sm_car_240831_0552_092_Ca014TrN_MaLSS_ode23t_1.png","figure")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863</v>
      </c>
      <c r="L94" s="4">
        <v>14.888885200000001</v>
      </c>
      <c r="M94" s="4">
        <v>232.29508518127042</v>
      </c>
      <c r="N94" s="4">
        <v>6.6943108156506712E-2</v>
      </c>
      <c r="O94" s="1" t="str">
        <f>HYPERLINK(".\sm_car_240831_0552\sm_car_240831_0552_093_Ca015TrN_MaWOT_ode23t_1.png","figure")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1028</v>
      </c>
      <c r="L95" s="4">
        <v>18.690529099999999</v>
      </c>
      <c r="M95" s="4">
        <v>71.625886875277402</v>
      </c>
      <c r="N95" s="4">
        <v>-0.54532233720239243</v>
      </c>
      <c r="O95" s="1" t="str">
        <f>HYPERLINK(".\sm_car_240831_0552\sm_car_240831_0552_094_Ca015TrN_MaLSS_ode23t_1.png","figure")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402</v>
      </c>
      <c r="L96" s="4">
        <v>4.5528960999999999</v>
      </c>
      <c r="M96" s="4">
        <v>242.5890714015209</v>
      </c>
      <c r="N96" s="4">
        <v>0.23206489866861765</v>
      </c>
      <c r="O96" s="1" t="str">
        <f>HYPERLINK(".\sm_car_240831_0552\sm_car_240831_0552_095_Ca120TrN_MaWOT_ode23t_1.png","figure")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523</v>
      </c>
      <c r="L97" s="4">
        <v>5.1081118999999999</v>
      </c>
      <c r="M97" s="4">
        <v>74.670422538606061</v>
      </c>
      <c r="N97" s="4">
        <v>-0.33784609217060607</v>
      </c>
      <c r="O97" s="1" t="str">
        <f>HYPERLINK(".\sm_car_240831_0552\sm_car_240831_0552_096_Ca120TrN_MaLSS_ode23t_1.png","figure")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419</v>
      </c>
      <c r="L98" s="4">
        <v>5.5178681999999997</v>
      </c>
      <c r="M98" s="4">
        <v>241.54746412970036</v>
      </c>
      <c r="N98" s="4">
        <v>0.2286791372248424</v>
      </c>
      <c r="O98" s="1" t="str">
        <f>HYPERLINK(".\sm_car_240831_0552\sm_car_240831_0552_097_Ca121TrN_MaWOT_ode23t_1.png","figure")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518</v>
      </c>
      <c r="L99" s="4">
        <v>5.7727154000000001</v>
      </c>
      <c r="M99" s="4">
        <v>74.354010081986644</v>
      </c>
      <c r="N99" s="4">
        <v>-0.32907378161057715</v>
      </c>
      <c r="O99" s="1" t="str">
        <f>HYPERLINK(".\sm_car_240831_0552\sm_car_240831_0552_098_Ca121TrN_MaLSS_ode23t_1.png","figure")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410</v>
      </c>
      <c r="L100" s="4">
        <v>4.5702334000000002</v>
      </c>
      <c r="M100" s="4">
        <v>241.76031608215175</v>
      </c>
      <c r="N100" s="4">
        <v>0.2287509880189641</v>
      </c>
      <c r="O100" s="1" t="str">
        <f>HYPERLINK(".\sm_car_240831_0552\sm_car_240831_0552_099_Ca122TrN_MaWOT_ode23t_1.png","figure")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533</v>
      </c>
      <c r="L101" s="4">
        <v>6.0388383000000001</v>
      </c>
      <c r="M101" s="4">
        <v>74.382058503710709</v>
      </c>
      <c r="N101" s="4">
        <v>-0.33271982565124353</v>
      </c>
      <c r="O101" s="1" t="str">
        <f>HYPERLINK(".\sm_car_240831_0552\sm_car_240831_0552_100_Ca122TrN_MaLSS_ode23t_1.png","figure")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414</v>
      </c>
      <c r="L102" s="4">
        <v>4.7354080999999999</v>
      </c>
      <c r="M102" s="4">
        <v>241.04484655394788</v>
      </c>
      <c r="N102" s="4">
        <v>0.22465897906448798</v>
      </c>
      <c r="O102" s="1" t="str">
        <f>HYPERLINK(".\sm_car_240831_0552\sm_car_240831_0552_101_Ca123TrN_MaWOT_ode23t_1.png","figure")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554</v>
      </c>
      <c r="L103" s="4">
        <v>6.7483472999999998</v>
      </c>
      <c r="M103" s="4">
        <v>74.213416454370815</v>
      </c>
      <c r="N103" s="4">
        <v>-0.33228636994882738</v>
      </c>
      <c r="O103" s="1" t="str">
        <f>HYPERLINK(".\sm_car_240831_0552\sm_car_240831_0552_102_Ca123TrN_MaLSS_ode23t_1.png","figure")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1015</v>
      </c>
      <c r="L104" s="4">
        <v>6.2607625999999996</v>
      </c>
      <c r="M104" s="4">
        <v>242.54521277554818</v>
      </c>
      <c r="N104" s="4">
        <v>0.23283647464583762</v>
      </c>
      <c r="O104" s="1" t="str">
        <f>HYPERLINK(".\sm_car_240831_0552\sm_car_240831_0552_103_Ca124TrN_MaWOT_ode23t_1.png","figure")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1117</v>
      </c>
      <c r="L105" s="4">
        <v>5.5051313999999998</v>
      </c>
      <c r="M105" s="4">
        <v>74.661751867260918</v>
      </c>
      <c r="N105" s="4">
        <v>-0.34112488351822423</v>
      </c>
      <c r="O105" s="1" t="str">
        <f>HYPERLINK(".\sm_car_240831_0552\sm_car_240831_0552_104_Ca124TrN_MaLSS_ode23t_1.png","figure")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1013</v>
      </c>
      <c r="L106" s="4">
        <v>6.5103109000000003</v>
      </c>
      <c r="M106" s="4">
        <v>241.54321991377375</v>
      </c>
      <c r="N106" s="4">
        <v>0.22948012359384246</v>
      </c>
      <c r="O106" s="1" t="str">
        <f>HYPERLINK(".\sm_car_240831_0552\sm_car_240831_0552_105_Ca125TrN_MaWOT_ode23t_1.png","figure")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1134</v>
      </c>
      <c r="L107" s="4">
        <v>6.9896178999999998</v>
      </c>
      <c r="M107" s="4">
        <v>74.344280217840364</v>
      </c>
      <c r="N107" s="4">
        <v>-0.33726477426703827</v>
      </c>
      <c r="O107" s="1" t="str">
        <f>HYPERLINK(".\sm_car_240831_0552\sm_car_240831_0552_106_Ca125TrN_MaLSS_ode23t_1.png","figure")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1007</v>
      </c>
      <c r="L108" s="4">
        <v>5.4263959000000002</v>
      </c>
      <c r="M108" s="4">
        <v>241.64872011860234</v>
      </c>
      <c r="N108" s="4">
        <v>0.22966395422700261</v>
      </c>
      <c r="O108" s="1" t="str">
        <f>HYPERLINK(".\sm_car_240831_0552\sm_car_240831_0552_107_Ca126TrN_MaWOT_ode23t_1.png","figure")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1171</v>
      </c>
      <c r="L109" s="4">
        <v>7.2873507000000002</v>
      </c>
      <c r="M109" s="4">
        <v>74.346636840002731</v>
      </c>
      <c r="N109" s="4">
        <v>-0.33748378352333974</v>
      </c>
      <c r="O109" s="1" t="str">
        <f>HYPERLINK(".\sm_car_240831_0552\sm_car_240831_0552_108_Ca126TrN_MaLSS_ode23t_1.png","figure")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1035</v>
      </c>
      <c r="L110" s="4">
        <v>5.7605314999999999</v>
      </c>
      <c r="M110" s="4">
        <v>240.87403313183822</v>
      </c>
      <c r="N110" s="4">
        <v>0.22829136348677009</v>
      </c>
      <c r="O110" s="1" t="str">
        <f>HYPERLINK(".\sm_car_240831_0552\sm_car_240831_0552_109_Ca127TrN_MaWOT_ode23t_1.png","figure")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1175</v>
      </c>
      <c r="L111" s="4">
        <v>6.8708571999999997</v>
      </c>
      <c r="M111" s="4">
        <v>74.197620729887959</v>
      </c>
      <c r="N111" s="4">
        <v>-0.33498300245992313</v>
      </c>
      <c r="O111" s="1" t="str">
        <f>HYPERLINK(".\sm_car_240831_0552\sm_car_240831_0552_110_Ca127TrN_MaLSS_ode23t_1.png","figure")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459</v>
      </c>
      <c r="L112" s="4">
        <v>21.339457700000001</v>
      </c>
      <c r="M112" s="4">
        <v>411.4519654661467</v>
      </c>
      <c r="N112" s="4">
        <v>1.5906316832174423</v>
      </c>
      <c r="O112" s="1" t="str">
        <f>HYPERLINK(".\sm_car_240831_0552\sm_car_240831_0552_111_Ca140TrN_MaWOT_ode23t_1.png","figure")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561</v>
      </c>
      <c r="L113" s="4">
        <v>17.005392400000002</v>
      </c>
      <c r="M113" s="4">
        <v>157.23775378648574</v>
      </c>
      <c r="N113" s="4">
        <v>-0.56103013973216631</v>
      </c>
      <c r="O113" s="1" t="str">
        <f>HYPERLINK(".\sm_car_240831_0552\sm_car_240831_0552_112_Ca140TrN_MaLSS_ode23t_1.png","figure")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960</v>
      </c>
      <c r="L114" s="4">
        <v>17.305555300000002</v>
      </c>
      <c r="M114" s="4">
        <v>411.79066281328937</v>
      </c>
      <c r="N114" s="4">
        <v>1.5944987829644963</v>
      </c>
      <c r="O114" s="1" t="str">
        <f>HYPERLINK(".\sm_car_240831_0552\sm_car_240831_0552_113_Ca142TrN_MaWOT_ode23t_1.png","figure")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1107</v>
      </c>
      <c r="L115" s="4">
        <v>18.014787099999999</v>
      </c>
      <c r="M115" s="4">
        <v>157.33772544740492</v>
      </c>
      <c r="N115" s="4">
        <v>-0.57625387568378428</v>
      </c>
      <c r="O115" s="1" t="str">
        <f>HYPERLINK(".\sm_car_240831_0552\sm_car_240831_0552_114_Ca142TrN_MaLSS_ode23t_1.png","figure")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346</v>
      </c>
      <c r="L116" s="4">
        <v>16.855668699999999</v>
      </c>
      <c r="M116" s="4">
        <v>96.615684526513192</v>
      </c>
      <c r="N116" s="4">
        <v>-4.1982048482484435E-2</v>
      </c>
      <c r="O116" s="1" t="str">
        <f>HYPERLINK(".\sm_car_240831_0552\sm_car_240831_0552_115_Ca145TrN_MaWOT_ode23t_1.png","figure")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451</v>
      </c>
      <c r="L117" s="4">
        <v>16.636411800000001</v>
      </c>
      <c r="M117" s="4">
        <v>25.166113695689589</v>
      </c>
      <c r="N117" s="4">
        <v>-5.1639386815979682E-2</v>
      </c>
      <c r="O117" s="1" t="str">
        <f>HYPERLINK(".\sm_car_240831_0552\sm_car_240831_0552_116_Ca145TrN_MaLSS_ode23t_1.png","figure")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321</v>
      </c>
      <c r="L118" s="4">
        <v>11.9848658</v>
      </c>
      <c r="M118" s="4">
        <v>115.1116549754821</v>
      </c>
      <c r="N118" s="4">
        <v>0.53506826013176589</v>
      </c>
      <c r="O118" s="1" t="str">
        <f>HYPERLINK(".\sm_car_240831_0552\sm_car_240831_0552_117_Ca146TrN_MaWOT_ode23t_1.png","figure")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456</v>
      </c>
      <c r="L119" s="4">
        <v>13.729969199999999</v>
      </c>
      <c r="M119" s="4">
        <v>35.870251409757721</v>
      </c>
      <c r="N119" s="4">
        <v>-3.0691183805647605E-2</v>
      </c>
      <c r="O119" s="1" t="str">
        <f>HYPERLINK(".\sm_car_240831_0552\sm_car_240831_0552_118_Ca146TrN_MaLSS_ode23t_1.png","figure")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321</v>
      </c>
      <c r="L120" s="4">
        <v>12.0467595</v>
      </c>
      <c r="M120" s="4">
        <v>115.1116549754821</v>
      </c>
      <c r="N120" s="4">
        <v>0.53506826013176589</v>
      </c>
      <c r="O120" s="1" t="str">
        <f>HYPERLINK(".\sm_car_240831_0552\sm_car_240831_0552_119_Ca146TrN_MaWOT_ode23t_1.png","figure")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456</v>
      </c>
      <c r="L121" s="4">
        <v>14.6128889</v>
      </c>
      <c r="M121" s="4">
        <v>35.870251409757721</v>
      </c>
      <c r="N121" s="4">
        <v>-3.0691183805647605E-2</v>
      </c>
      <c r="O121" s="1" t="str">
        <f>HYPERLINK(".\sm_car_240831_0552\sm_car_240831_0552_120_Ca146TrN_MaLSS_ode23t_1.png","figure")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459</v>
      </c>
      <c r="L122" s="4">
        <v>20.9446403</v>
      </c>
      <c r="M122" s="4">
        <v>183.13819254039828</v>
      </c>
      <c r="N122" s="4">
        <v>0.30546477154608082</v>
      </c>
      <c r="O122" s="1" t="str">
        <f>HYPERLINK(".\sm_car_240831_0552\sm_car_240831_0552_121_Ca161TrN_MaWOT_ode23t_1.png","figure")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615</v>
      </c>
      <c r="L123" s="4">
        <v>28.193571500000001</v>
      </c>
      <c r="M123" s="4">
        <v>157.06350979804316</v>
      </c>
      <c r="N123" s="4">
        <v>-0.55955630853390559</v>
      </c>
      <c r="O123" s="1" t="str">
        <f>HYPERLINK(".\sm_car_240831_0552\sm_car_240831_0552_122_Ca161TrN_MaLSS_ode23t_1.png","figure")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490</v>
      </c>
      <c r="L124" s="4">
        <v>24.4845161</v>
      </c>
      <c r="M124" s="4">
        <v>282.36928118052697</v>
      </c>
      <c r="N124" s="4">
        <v>0.73353593910924308</v>
      </c>
      <c r="O124" s="1" t="str">
        <f>HYPERLINK(".\sm_car_240831_0552\sm_car_240831_0552_123_Ca163TrN_MaWOT_ode23t_1.png","figure")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678</v>
      </c>
      <c r="L125" s="4">
        <v>25.360621699999999</v>
      </c>
      <c r="M125" s="4">
        <v>260.88749239898777</v>
      </c>
      <c r="N125" s="4">
        <v>-0.44331826383753992</v>
      </c>
      <c r="O125" s="1" t="str">
        <f>HYPERLINK(".\sm_car_240831_0552\sm_car_240831_0552_124_Ca163TrN_MaLSS_ode23t_1.png","figure")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106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322</v>
      </c>
      <c r="L126" s="4">
        <v>16.342509400000001</v>
      </c>
      <c r="M126" s="4">
        <v>313.20816812667243</v>
      </c>
      <c r="N126" s="4">
        <v>1.5291435344814343E-4</v>
      </c>
      <c r="O126" s="1" t="str">
        <f>HYPERLINK(".\sm_car_240831_0552\sm_car_240831_0552_125_Ca184TrN_MaWOT_ode23t_1.png","figure")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106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479</v>
      </c>
      <c r="L127" s="4">
        <v>14.2668187</v>
      </c>
      <c r="M127" s="4">
        <v>112.44333081299311</v>
      </c>
      <c r="N127" s="4">
        <v>-0.19957904970453647</v>
      </c>
      <c r="O127" s="1" t="str">
        <f>HYPERLINK(".\sm_car_240831_0552\sm_car_240831_0552_126_Ca184TrN_MaLSS_ode23t_1.png","figure")</f>
        <v>figure</v>
      </c>
      <c r="P127" t="s">
        <v>15</v>
      </c>
    </row>
    <row r="128" spans="1:16" x14ac:dyDescent="0.25">
      <c r="A128">
        <v>127</v>
      </c>
      <c r="B128">
        <v>12</v>
      </c>
      <c r="C128" t="s">
        <v>16</v>
      </c>
      <c r="D128" t="s">
        <v>17</v>
      </c>
      <c r="E128" t="s">
        <v>49</v>
      </c>
      <c r="F128" t="s">
        <v>28</v>
      </c>
      <c r="G128" t="s">
        <v>20</v>
      </c>
      <c r="H128" t="s">
        <v>21</v>
      </c>
      <c r="I128" t="s">
        <v>53</v>
      </c>
      <c r="J128" t="s">
        <v>23</v>
      </c>
      <c r="K128">
        <v>828</v>
      </c>
      <c r="L128" s="4">
        <v>13.5885561</v>
      </c>
      <c r="M128" s="4">
        <v>381.81587083882511</v>
      </c>
      <c r="N128" s="4">
        <v>-2.8642016000723913E-5</v>
      </c>
      <c r="O128" s="1" t="str">
        <f>HYPERLINK(".\sm_car_240831_0552\sm_car_240831_0552_127_Ca012TrN_MaDLC_ode23t_1.png","figure")</f>
        <v>figure</v>
      </c>
      <c r="P128" t="s">
        <v>15</v>
      </c>
    </row>
    <row r="129" spans="1:16" x14ac:dyDescent="0.25">
      <c r="A129">
        <v>128</v>
      </c>
      <c r="B129">
        <v>12</v>
      </c>
      <c r="C129" t="s">
        <v>16</v>
      </c>
      <c r="D129" t="s">
        <v>17</v>
      </c>
      <c r="E129" t="s">
        <v>49</v>
      </c>
      <c r="F129" t="s">
        <v>28</v>
      </c>
      <c r="G129" t="s">
        <v>20</v>
      </c>
      <c r="H129" t="s">
        <v>21</v>
      </c>
      <c r="I129" t="s">
        <v>54</v>
      </c>
      <c r="J129" t="s">
        <v>23</v>
      </c>
      <c r="K129">
        <v>904</v>
      </c>
      <c r="L129" s="4">
        <v>17.627455699999999</v>
      </c>
      <c r="M129" s="4">
        <v>75.695097292580172</v>
      </c>
      <c r="N129" s="4">
        <v>0.76556561609180662</v>
      </c>
      <c r="O129" s="1" t="str">
        <f>HYPERLINK(".\sm_car_240831_0552\sm_car_240831_0552_128_Ca012TrN_MaIPA_ode23t_1.png","figure")</f>
        <v>figure</v>
      </c>
      <c r="P129" t="s">
        <v>15</v>
      </c>
    </row>
    <row r="130" spans="1:16" x14ac:dyDescent="0.25">
      <c r="A130">
        <v>129</v>
      </c>
      <c r="B130">
        <v>142</v>
      </c>
      <c r="C130" t="s">
        <v>45</v>
      </c>
      <c r="D130" t="s">
        <v>17</v>
      </c>
      <c r="E130" t="s">
        <v>49</v>
      </c>
      <c r="F130" t="s">
        <v>28</v>
      </c>
      <c r="G130" t="s">
        <v>26</v>
      </c>
      <c r="H130" t="s">
        <v>21</v>
      </c>
      <c r="I130" t="s">
        <v>53</v>
      </c>
      <c r="J130" t="s">
        <v>23</v>
      </c>
      <c r="K130">
        <v>810</v>
      </c>
      <c r="L130" s="4">
        <v>16.267005999999999</v>
      </c>
      <c r="M130" s="4">
        <v>383.23466695148863</v>
      </c>
      <c r="N130" s="4">
        <v>1.3295457539141964E-3</v>
      </c>
      <c r="O130" s="1" t="str">
        <f>HYPERLINK(".\sm_car_240831_0552\sm_car_240831_0552_129_Ca142TrN_MaDLC_ode23t_1.png","figure")</f>
        <v>figure</v>
      </c>
      <c r="P130" t="s">
        <v>15</v>
      </c>
    </row>
    <row r="131" spans="1:16" x14ac:dyDescent="0.25">
      <c r="A131">
        <v>130</v>
      </c>
      <c r="B131">
        <v>142</v>
      </c>
      <c r="C131" t="s">
        <v>45</v>
      </c>
      <c r="D131" t="s">
        <v>17</v>
      </c>
      <c r="E131" t="s">
        <v>49</v>
      </c>
      <c r="F131" t="s">
        <v>28</v>
      </c>
      <c r="G131" t="s">
        <v>26</v>
      </c>
      <c r="H131" t="s">
        <v>21</v>
      </c>
      <c r="I131" t="s">
        <v>54</v>
      </c>
      <c r="J131" t="s">
        <v>23</v>
      </c>
      <c r="K131">
        <v>1542</v>
      </c>
      <c r="L131" s="4">
        <v>40.897267599999999</v>
      </c>
      <c r="M131" s="4">
        <v>85.058423777422746</v>
      </c>
      <c r="N131" s="4">
        <v>0.83646563911599581</v>
      </c>
      <c r="O131" s="1" t="str">
        <f>HYPERLINK(".\sm_car_240831_0552\sm_car_240831_0552_130_Ca142TrN_MaIPA_ode23t_1.png","figure")</f>
        <v>figure</v>
      </c>
      <c r="P131" t="s">
        <v>15</v>
      </c>
    </row>
    <row r="132" spans="1:16" x14ac:dyDescent="0.25">
      <c r="A132">
        <v>131</v>
      </c>
      <c r="B132">
        <v>145</v>
      </c>
      <c r="C132" t="s">
        <v>46</v>
      </c>
      <c r="D132" t="s">
        <v>17</v>
      </c>
      <c r="E132" t="s">
        <v>50</v>
      </c>
      <c r="F132" t="s">
        <v>19</v>
      </c>
      <c r="G132" t="s">
        <v>26</v>
      </c>
      <c r="H132" t="s">
        <v>21</v>
      </c>
      <c r="I132" t="s">
        <v>53</v>
      </c>
      <c r="J132" t="s">
        <v>23</v>
      </c>
      <c r="K132">
        <v>518</v>
      </c>
      <c r="L132" s="4">
        <v>18.487023900000001</v>
      </c>
      <c r="M132" s="4">
        <v>372.20353828539584</v>
      </c>
      <c r="N132" s="4">
        <v>1.3703737203147881E-3</v>
      </c>
      <c r="O132" s="1" t="str">
        <f>HYPERLINK(".\sm_car_240831_0552\sm_car_240831_0552_131_Ca145TrN_MaDLC_ode23t_1.png","figure")</f>
        <v>figure</v>
      </c>
      <c r="P132" t="s">
        <v>15</v>
      </c>
    </row>
    <row r="133" spans="1:16" x14ac:dyDescent="0.25">
      <c r="A133">
        <v>132</v>
      </c>
      <c r="B133">
        <v>145</v>
      </c>
      <c r="C133" t="s">
        <v>46</v>
      </c>
      <c r="D133" t="s">
        <v>17</v>
      </c>
      <c r="E133" t="s">
        <v>50</v>
      </c>
      <c r="F133" t="s">
        <v>19</v>
      </c>
      <c r="G133" t="s">
        <v>26</v>
      </c>
      <c r="H133" t="s">
        <v>21</v>
      </c>
      <c r="I133" t="s">
        <v>54</v>
      </c>
      <c r="J133" t="s">
        <v>23</v>
      </c>
      <c r="K133">
        <v>317</v>
      </c>
      <c r="L133" s="4">
        <v>14.7257867</v>
      </c>
      <c r="M133" s="4">
        <v>28.2728261248444</v>
      </c>
      <c r="N133" s="4">
        <v>1.5548543716459501E-2</v>
      </c>
      <c r="O133" s="1" t="str">
        <f>HYPERLINK(".\sm_car_240831_0552\sm_car_240831_0552_132_Ca145TrN_MaIPA_ode23t_1.png","figure")</f>
        <v>figure</v>
      </c>
      <c r="P133" t="s">
        <v>15</v>
      </c>
    </row>
    <row r="134" spans="1:16" x14ac:dyDescent="0.25">
      <c r="A134">
        <v>133</v>
      </c>
      <c r="B134">
        <v>184</v>
      </c>
      <c r="C134" t="s">
        <v>105</v>
      </c>
      <c r="D134" t="s">
        <v>106</v>
      </c>
      <c r="E134" t="s">
        <v>49</v>
      </c>
      <c r="F134" t="s">
        <v>19</v>
      </c>
      <c r="G134" t="s">
        <v>20</v>
      </c>
      <c r="H134" t="s">
        <v>21</v>
      </c>
      <c r="I134" t="s">
        <v>53</v>
      </c>
      <c r="J134" t="s">
        <v>23</v>
      </c>
      <c r="K134">
        <v>470</v>
      </c>
      <c r="L134" s="4">
        <v>13.6640666</v>
      </c>
      <c r="M134" s="4">
        <v>370.246261317544</v>
      </c>
      <c r="N134" s="4">
        <v>-1.5045424150983422E-6</v>
      </c>
      <c r="O134" s="1" t="str">
        <f>HYPERLINK(".\sm_car_240831_0552\sm_car_240831_0552_133_Ca184TrN_MaDLC_ode23t_1.png","figure")</f>
        <v>figure</v>
      </c>
      <c r="P134" t="s">
        <v>15</v>
      </c>
    </row>
    <row r="135" spans="1:16" x14ac:dyDescent="0.25">
      <c r="A135">
        <v>134</v>
      </c>
      <c r="B135">
        <v>184</v>
      </c>
      <c r="C135" t="s">
        <v>105</v>
      </c>
      <c r="D135" t="s">
        <v>106</v>
      </c>
      <c r="E135" t="s">
        <v>49</v>
      </c>
      <c r="F135" t="s">
        <v>19</v>
      </c>
      <c r="G135" t="s">
        <v>20</v>
      </c>
      <c r="H135" t="s">
        <v>21</v>
      </c>
      <c r="I135" t="s">
        <v>54</v>
      </c>
      <c r="J135" t="s">
        <v>23</v>
      </c>
      <c r="K135">
        <v>375</v>
      </c>
      <c r="L135" s="4">
        <v>15.8811632</v>
      </c>
      <c r="M135" s="4">
        <v>61.825138185713087</v>
      </c>
      <c r="N135" s="4">
        <v>0.56400296068770284</v>
      </c>
      <c r="O135" s="1" t="str">
        <f>HYPERLINK(".\sm_car_240831_0552\sm_car_240831_0552_134_Ca184TrN_MaIPA_ode23t_1.png","figure")</f>
        <v>figure</v>
      </c>
      <c r="P135" t="s">
        <v>15</v>
      </c>
    </row>
    <row r="136" spans="1:16" x14ac:dyDescent="0.25">
      <c r="A136">
        <v>135</v>
      </c>
      <c r="B136">
        <v>204</v>
      </c>
      <c r="C136" t="s">
        <v>105</v>
      </c>
      <c r="D136" t="s">
        <v>107</v>
      </c>
      <c r="E136" t="s">
        <v>18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2007</v>
      </c>
      <c r="L136" s="4">
        <v>40.629813800000001</v>
      </c>
      <c r="M136" s="4">
        <v>337.60905704156403</v>
      </c>
      <c r="N136" s="4">
        <v>1.4529794220381476E-3</v>
      </c>
      <c r="O136" s="1" t="str">
        <f>HYPERLINK(".\sm_car_240831_0552\sm_car_240831_0552_135_Ca204TrN_MaDLC_ode23t_1.png","figure")</f>
        <v>figure</v>
      </c>
      <c r="P136" t="s">
        <v>15</v>
      </c>
    </row>
    <row r="137" spans="1:16" x14ac:dyDescent="0.25">
      <c r="A137">
        <v>136</v>
      </c>
      <c r="B137">
        <v>204</v>
      </c>
      <c r="C137" t="s">
        <v>105</v>
      </c>
      <c r="D137" t="s">
        <v>107</v>
      </c>
      <c r="E137" t="s">
        <v>18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671</v>
      </c>
      <c r="L137" s="4">
        <v>17.065703899999999</v>
      </c>
      <c r="M137" s="4">
        <v>26.038549295500125</v>
      </c>
      <c r="N137" s="4">
        <v>9.6710687165359483E-3</v>
      </c>
      <c r="O137" s="1" t="str">
        <f>HYPERLINK(".\sm_car_240831_0552\sm_car_240831_0552_136_Ca204TrN_MaIPA_ode23t_1.png","figure")</f>
        <v>figure</v>
      </c>
      <c r="P137" t="s">
        <v>15</v>
      </c>
    </row>
    <row r="138" spans="1:16" x14ac:dyDescent="0.25">
      <c r="A138">
        <v>137</v>
      </c>
      <c r="B138">
        <v>12</v>
      </c>
      <c r="C138" t="s">
        <v>16</v>
      </c>
      <c r="D138" t="s">
        <v>17</v>
      </c>
      <c r="E138" t="s">
        <v>49</v>
      </c>
      <c r="F138" t="s">
        <v>28</v>
      </c>
      <c r="G138" t="s">
        <v>20</v>
      </c>
      <c r="H138" t="s">
        <v>21</v>
      </c>
      <c r="I138" t="s">
        <v>55</v>
      </c>
      <c r="J138" t="s">
        <v>23</v>
      </c>
      <c r="K138">
        <v>2953</v>
      </c>
      <c r="L138" s="4">
        <v>33.7573626</v>
      </c>
      <c r="M138" s="4">
        <v>-13.847780190946471</v>
      </c>
      <c r="N138" s="4">
        <v>-0.33308552287417342</v>
      </c>
      <c r="O138" s="1" t="str">
        <f>HYPERLINK(".\sm_car_240831_0552\sm_car_240831_0552_137_Ca012TrN_MaMPK_ode23t_1.png","figure")</f>
        <v>figure</v>
      </c>
      <c r="P138" t="s">
        <v>15</v>
      </c>
    </row>
    <row r="139" spans="1:16" x14ac:dyDescent="0.25">
      <c r="A139">
        <v>138</v>
      </c>
      <c r="B139">
        <v>12</v>
      </c>
      <c r="C139" t="s">
        <v>16</v>
      </c>
      <c r="D139" t="s">
        <v>17</v>
      </c>
      <c r="E139" t="s">
        <v>49</v>
      </c>
      <c r="F139" t="s">
        <v>28</v>
      </c>
      <c r="G139" t="s">
        <v>20</v>
      </c>
      <c r="H139" t="s">
        <v>21</v>
      </c>
      <c r="I139" t="s">
        <v>56</v>
      </c>
      <c r="J139" t="s">
        <v>23</v>
      </c>
      <c r="K139">
        <v>3395</v>
      </c>
      <c r="L139" s="4">
        <v>32.439301399999998</v>
      </c>
      <c r="M139" s="4">
        <v>5.000592858738159</v>
      </c>
      <c r="N139" s="4">
        <v>-0.40453936201744167</v>
      </c>
      <c r="O139" s="1" t="str">
        <f>HYPERLINK(".\sm_car_240831_0552\sm_car_240831_0552_138_Ca012TrN_MaMPC_ode23t_1.png","figure")</f>
        <v>figure</v>
      </c>
      <c r="P139" t="s">
        <v>15</v>
      </c>
    </row>
    <row r="140" spans="1:16" x14ac:dyDescent="0.25">
      <c r="A140">
        <v>139</v>
      </c>
      <c r="B140">
        <v>142</v>
      </c>
      <c r="C140" t="s">
        <v>45</v>
      </c>
      <c r="D140" t="s">
        <v>17</v>
      </c>
      <c r="E140" t="s">
        <v>49</v>
      </c>
      <c r="F140" t="s">
        <v>28</v>
      </c>
      <c r="G140" t="s">
        <v>26</v>
      </c>
      <c r="H140" t="s">
        <v>21</v>
      </c>
      <c r="I140" t="s">
        <v>55</v>
      </c>
      <c r="J140" t="s">
        <v>23</v>
      </c>
      <c r="K140">
        <v>2655</v>
      </c>
      <c r="L140" s="4">
        <v>38.630972399999997</v>
      </c>
      <c r="M140" s="4">
        <v>-13.852761223322524</v>
      </c>
      <c r="N140" s="4">
        <v>-0.25473891610582267</v>
      </c>
      <c r="O140" s="1" t="str">
        <f>HYPERLINK(".\sm_car_240831_0552\sm_car_240831_0552_139_Ca142TrN_MaMPK_ode23t_1.png","figure")</f>
        <v>figure</v>
      </c>
      <c r="P140" t="s">
        <v>15</v>
      </c>
    </row>
    <row r="141" spans="1:16" x14ac:dyDescent="0.25">
      <c r="A141">
        <v>140</v>
      </c>
      <c r="B141">
        <v>142</v>
      </c>
      <c r="C141" t="s">
        <v>45</v>
      </c>
      <c r="D141" t="s">
        <v>17</v>
      </c>
      <c r="E141" t="s">
        <v>49</v>
      </c>
      <c r="F141" t="s">
        <v>28</v>
      </c>
      <c r="G141" t="s">
        <v>26</v>
      </c>
      <c r="H141" t="s">
        <v>21</v>
      </c>
      <c r="I141" t="s">
        <v>56</v>
      </c>
      <c r="J141" t="s">
        <v>23</v>
      </c>
      <c r="K141">
        <v>3282</v>
      </c>
      <c r="L141" s="4">
        <v>53.665437500000003</v>
      </c>
      <c r="M141" s="4">
        <v>5.0170096680227285</v>
      </c>
      <c r="N141" s="4">
        <v>-0.46646649611267138</v>
      </c>
      <c r="O141" s="1" t="str">
        <f>HYPERLINK(".\sm_car_240831_0552\sm_car_240831_0552_140_Ca142TrN_MaMPC_ode23t_1.png","figure")</f>
        <v>figure</v>
      </c>
      <c r="P141" t="s">
        <v>15</v>
      </c>
    </row>
    <row r="142" spans="1:16" x14ac:dyDescent="0.25">
      <c r="A142">
        <v>141</v>
      </c>
      <c r="B142">
        <v>116</v>
      </c>
      <c r="C142" t="s">
        <v>16</v>
      </c>
      <c r="D142" t="s">
        <v>35</v>
      </c>
      <c r="E142" t="s">
        <v>18</v>
      </c>
      <c r="F142" t="s">
        <v>28</v>
      </c>
      <c r="G142" t="s">
        <v>20</v>
      </c>
      <c r="H142" t="s">
        <v>21</v>
      </c>
      <c r="I142" t="s">
        <v>55</v>
      </c>
      <c r="J142" t="s">
        <v>23</v>
      </c>
      <c r="K142">
        <v>3161</v>
      </c>
      <c r="L142" s="4">
        <v>13.773294999999999</v>
      </c>
      <c r="M142" s="4">
        <v>-13.850977560584633</v>
      </c>
      <c r="N142" s="4">
        <v>-0.24100002399552564</v>
      </c>
      <c r="O142" s="1" t="str">
        <f>HYPERLINK(".\sm_car_240831_0552\sm_car_240831_0552_141_Ca116TrN_MaMPK_ode23t_1.png","figure")</f>
        <v>figure</v>
      </c>
      <c r="P142" t="s">
        <v>15</v>
      </c>
    </row>
    <row r="143" spans="1:16" x14ac:dyDescent="0.25">
      <c r="A143">
        <v>142</v>
      </c>
      <c r="B143">
        <v>116</v>
      </c>
      <c r="C143" t="s">
        <v>16</v>
      </c>
      <c r="D143" t="s">
        <v>35</v>
      </c>
      <c r="E143" t="s">
        <v>18</v>
      </c>
      <c r="F143" t="s">
        <v>28</v>
      </c>
      <c r="G143" t="s">
        <v>20</v>
      </c>
      <c r="H143" t="s">
        <v>21</v>
      </c>
      <c r="I143" t="s">
        <v>56</v>
      </c>
      <c r="J143" t="s">
        <v>23</v>
      </c>
      <c r="K143">
        <v>3579</v>
      </c>
      <c r="L143" s="4">
        <v>14.399858699999999</v>
      </c>
      <c r="M143" s="4">
        <v>5.0122191652075179</v>
      </c>
      <c r="N143" s="4">
        <v>-0.45274772935643937</v>
      </c>
      <c r="O143" s="1" t="str">
        <f>HYPERLINK(".\sm_car_240831_0552\sm_car_240831_0552_142_Ca116TrN_MaMPC_ode23t_1.png","figure")</f>
        <v>figure</v>
      </c>
      <c r="P143" t="s">
        <v>15</v>
      </c>
    </row>
    <row r="144" spans="1:16" x14ac:dyDescent="0.25">
      <c r="A144">
        <v>143</v>
      </c>
      <c r="B144">
        <v>143</v>
      </c>
      <c r="C144" t="s">
        <v>46</v>
      </c>
      <c r="D144" t="s">
        <v>17</v>
      </c>
      <c r="E144" t="s">
        <v>47</v>
      </c>
      <c r="F144" t="s">
        <v>19</v>
      </c>
      <c r="G144" t="s">
        <v>26</v>
      </c>
      <c r="H144" t="s">
        <v>21</v>
      </c>
      <c r="I144" t="s">
        <v>55</v>
      </c>
      <c r="J144" t="s">
        <v>23</v>
      </c>
      <c r="K144">
        <v>3018</v>
      </c>
      <c r="L144" s="4">
        <v>60.026987499999997</v>
      </c>
      <c r="M144" s="4">
        <v>-13.853555083457415</v>
      </c>
      <c r="N144" s="4">
        <v>-0.16311856120337181</v>
      </c>
      <c r="O144" s="1" t="str">
        <f>HYPERLINK(".\sm_car_240831_0552\sm_car_240831_0552_143_Ca143TrN_MaMPK_ode23t_1.png","figure")</f>
        <v>figure</v>
      </c>
      <c r="P144" t="s">
        <v>15</v>
      </c>
    </row>
    <row r="145" spans="1:16" x14ac:dyDescent="0.25">
      <c r="A145">
        <v>144</v>
      </c>
      <c r="B145">
        <v>143</v>
      </c>
      <c r="C145" t="s">
        <v>46</v>
      </c>
      <c r="D145" t="s">
        <v>17</v>
      </c>
      <c r="E145" t="s">
        <v>47</v>
      </c>
      <c r="F145" t="s">
        <v>19</v>
      </c>
      <c r="G145" t="s">
        <v>26</v>
      </c>
      <c r="H145" t="s">
        <v>21</v>
      </c>
      <c r="I145" t="s">
        <v>56</v>
      </c>
      <c r="J145" t="s">
        <v>23</v>
      </c>
      <c r="K145">
        <v>3266</v>
      </c>
      <c r="L145" s="4">
        <v>78.546660700000004</v>
      </c>
      <c r="M145" s="4">
        <v>5.0225784026237257</v>
      </c>
      <c r="N145" s="4">
        <v>-0.33110364967076472</v>
      </c>
      <c r="O145" s="1" t="str">
        <f>HYPERLINK(".\sm_car_240831_0552\sm_car_240831_0552_144_Ca143TrN_MaMPC_ode23t_1.png","figure")</f>
        <v>figure</v>
      </c>
      <c r="P145" t="s">
        <v>15</v>
      </c>
    </row>
    <row r="146" spans="1:16" x14ac:dyDescent="0.25">
      <c r="A146">
        <v>145</v>
      </c>
      <c r="B146">
        <v>166</v>
      </c>
      <c r="C146" t="s">
        <v>45</v>
      </c>
      <c r="D146" t="s">
        <v>57</v>
      </c>
      <c r="E146" t="s">
        <v>18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3432</v>
      </c>
      <c r="L146" s="4">
        <v>55.063404800000001</v>
      </c>
      <c r="M146" s="4">
        <v>-13.849446257355439</v>
      </c>
      <c r="N146" s="4">
        <v>-0.25697186133145761</v>
      </c>
      <c r="O146" s="1" t="str">
        <f>HYPERLINK(".\sm_car_240831_0552\sm_car_240831_0552_145_Ca166TrN_MaMPK_ode23t_1.png","figure")</f>
        <v>figure</v>
      </c>
      <c r="P146" t="s">
        <v>15</v>
      </c>
    </row>
    <row r="147" spans="1:16" x14ac:dyDescent="0.25">
      <c r="A147">
        <v>146</v>
      </c>
      <c r="B147">
        <v>166</v>
      </c>
      <c r="C147" t="s">
        <v>45</v>
      </c>
      <c r="D147" t="s">
        <v>57</v>
      </c>
      <c r="E147" t="s">
        <v>18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3678</v>
      </c>
      <c r="L147" s="4">
        <v>59.611334100000001</v>
      </c>
      <c r="M147" s="4">
        <v>5.0179504093877094</v>
      </c>
      <c r="N147" s="4">
        <v>-0.45413339444730688</v>
      </c>
      <c r="O147" s="1" t="str">
        <f>HYPERLINK(".\sm_car_240831_0552\sm_car_240831_0552_146_Ca166TrN_MaMPC_ode23t_1.png","figure")</f>
        <v>figure</v>
      </c>
      <c r="P147" t="s">
        <v>15</v>
      </c>
    </row>
    <row r="148" spans="1:16" x14ac:dyDescent="0.25">
      <c r="A148">
        <v>147</v>
      </c>
      <c r="B148">
        <v>169</v>
      </c>
      <c r="C148" t="s">
        <v>45</v>
      </c>
      <c r="D148" t="s">
        <v>58</v>
      </c>
      <c r="E148" t="s">
        <v>49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3395</v>
      </c>
      <c r="L148" s="4">
        <v>40.862747300000002</v>
      </c>
      <c r="M148" s="4">
        <v>-13.85177824546413</v>
      </c>
      <c r="N148" s="4">
        <v>-0.25703529029419364</v>
      </c>
      <c r="O148" s="1" t="str">
        <f>HYPERLINK(".\sm_car_240831_0552\sm_car_240831_0552_147_Ca169TrN_MaMPK_ode23t_1.png","figure")</f>
        <v>figure</v>
      </c>
      <c r="P148" t="s">
        <v>15</v>
      </c>
    </row>
    <row r="149" spans="1:16" x14ac:dyDescent="0.25">
      <c r="A149">
        <v>148</v>
      </c>
      <c r="B149">
        <v>169</v>
      </c>
      <c r="C149" t="s">
        <v>45</v>
      </c>
      <c r="D149" t="s">
        <v>58</v>
      </c>
      <c r="E149" t="s">
        <v>49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3475</v>
      </c>
      <c r="L149" s="4">
        <v>49.922618399999998</v>
      </c>
      <c r="M149" s="4">
        <v>5.0174576163866575</v>
      </c>
      <c r="N149" s="4">
        <v>-0.45305502292846106</v>
      </c>
      <c r="O149" s="1" t="str">
        <f>HYPERLINK(".\sm_car_240831_0552\sm_car_240831_0552_148_Ca169TrN_MaMPC_ode23t_1.png","figure")</f>
        <v>figure</v>
      </c>
      <c r="P149" t="s">
        <v>15</v>
      </c>
    </row>
    <row r="150" spans="1:16" x14ac:dyDescent="0.25">
      <c r="A150">
        <v>149</v>
      </c>
      <c r="B150">
        <v>184</v>
      </c>
      <c r="C150" t="s">
        <v>105</v>
      </c>
      <c r="D150" t="s">
        <v>106</v>
      </c>
      <c r="E150" t="s">
        <v>49</v>
      </c>
      <c r="F150" t="s">
        <v>19</v>
      </c>
      <c r="G150" t="s">
        <v>20</v>
      </c>
      <c r="H150" t="s">
        <v>21</v>
      </c>
      <c r="I150" t="s">
        <v>55</v>
      </c>
      <c r="J150" t="s">
        <v>23</v>
      </c>
      <c r="K150">
        <v>2348</v>
      </c>
      <c r="L150" s="4">
        <v>55.67597</v>
      </c>
      <c r="M150" s="4">
        <v>-13.849935576243402</v>
      </c>
      <c r="N150" s="4">
        <v>-0.36630748479045161</v>
      </c>
      <c r="O150" s="1" t="str">
        <f>HYPERLINK(".\sm_car_240831_0552\sm_car_240831_0552_149_Ca184TrN_MaMPK_ode23t_1.png","figure")</f>
        <v>figure</v>
      </c>
      <c r="P150" t="s">
        <v>15</v>
      </c>
    </row>
    <row r="151" spans="1:16" x14ac:dyDescent="0.25">
      <c r="A151">
        <v>150</v>
      </c>
      <c r="B151">
        <v>184</v>
      </c>
      <c r="C151" t="s">
        <v>105</v>
      </c>
      <c r="D151" t="s">
        <v>106</v>
      </c>
      <c r="E151" t="s">
        <v>49</v>
      </c>
      <c r="F151" t="s">
        <v>19</v>
      </c>
      <c r="G151" t="s">
        <v>20</v>
      </c>
      <c r="H151" t="s">
        <v>21</v>
      </c>
      <c r="I151" t="s">
        <v>56</v>
      </c>
      <c r="J151" t="s">
        <v>23</v>
      </c>
      <c r="K151">
        <v>2388</v>
      </c>
      <c r="L151" s="4">
        <v>63.275234900000001</v>
      </c>
      <c r="M151" s="4">
        <v>4.9938978962090852</v>
      </c>
      <c r="N151" s="4">
        <v>-0.41836330742668348</v>
      </c>
      <c r="O151" s="1" t="str">
        <f>HYPERLINK(".\sm_car_240831_0552\sm_car_240831_0552_150_Ca184TrN_MaMPC_ode23t_1.png","figure")</f>
        <v>figure</v>
      </c>
      <c r="P151" t="s">
        <v>15</v>
      </c>
    </row>
    <row r="152" spans="1:16" x14ac:dyDescent="0.25">
      <c r="A152">
        <v>151</v>
      </c>
      <c r="B152">
        <v>195</v>
      </c>
      <c r="C152" t="s">
        <v>45</v>
      </c>
      <c r="D152" t="s">
        <v>58</v>
      </c>
      <c r="E152" t="s">
        <v>108</v>
      </c>
      <c r="F152" t="s">
        <v>19</v>
      </c>
      <c r="G152" t="s">
        <v>26</v>
      </c>
      <c r="H152" t="s">
        <v>21</v>
      </c>
      <c r="I152" t="s">
        <v>55</v>
      </c>
      <c r="J152" t="s">
        <v>23</v>
      </c>
      <c r="K152">
        <v>3415</v>
      </c>
      <c r="L152" s="4">
        <v>37.3746954</v>
      </c>
      <c r="M152" s="4">
        <v>-13.847530048445979</v>
      </c>
      <c r="N152" s="4">
        <v>-0.25713088580585081</v>
      </c>
      <c r="O152" s="1" t="str">
        <f>HYPERLINK(".\sm_car_240831_0552\sm_car_240831_0552_151_Ca195TrN_MaMPK_ode23t_1.png","figure")</f>
        <v>figure</v>
      </c>
      <c r="P152" t="s">
        <v>15</v>
      </c>
    </row>
    <row r="153" spans="1:16" x14ac:dyDescent="0.25">
      <c r="A153">
        <v>152</v>
      </c>
      <c r="B153">
        <v>195</v>
      </c>
      <c r="C153" t="s">
        <v>45</v>
      </c>
      <c r="D153" t="s">
        <v>58</v>
      </c>
      <c r="E153" t="s">
        <v>108</v>
      </c>
      <c r="F153" t="s">
        <v>19</v>
      </c>
      <c r="G153" t="s">
        <v>26</v>
      </c>
      <c r="H153" t="s">
        <v>21</v>
      </c>
      <c r="I153" t="s">
        <v>56</v>
      </c>
      <c r="J153" t="s">
        <v>23</v>
      </c>
      <c r="K153">
        <v>3450</v>
      </c>
      <c r="L153" s="4">
        <v>37.488443599999997</v>
      </c>
      <c r="M153" s="4">
        <v>5.0186124656049049</v>
      </c>
      <c r="N153" s="4">
        <v>-0.45305057147046163</v>
      </c>
      <c r="O153" s="1" t="str">
        <f>HYPERLINK(".\sm_car_240831_0552\sm_car_240831_0552_152_Ca195TrN_MaMPC_ode23t_1.png","figure")</f>
        <v>figure</v>
      </c>
      <c r="P153" t="s">
        <v>15</v>
      </c>
    </row>
    <row r="154" spans="1:16" x14ac:dyDescent="0.25">
      <c r="A154">
        <v>153</v>
      </c>
      <c r="B154">
        <v>198</v>
      </c>
      <c r="C154" t="s">
        <v>105</v>
      </c>
      <c r="D154" t="s">
        <v>106</v>
      </c>
      <c r="E154" t="s">
        <v>108</v>
      </c>
      <c r="F154" t="s">
        <v>19</v>
      </c>
      <c r="G154" t="s">
        <v>20</v>
      </c>
      <c r="H154" t="s">
        <v>21</v>
      </c>
      <c r="I154" t="s">
        <v>55</v>
      </c>
      <c r="J154" t="s">
        <v>23</v>
      </c>
      <c r="K154">
        <v>2387</v>
      </c>
      <c r="L154" s="4">
        <v>30.411809900000002</v>
      </c>
      <c r="M154" s="4">
        <v>-13.85129212014373</v>
      </c>
      <c r="N154" s="4">
        <v>-0.36671084073033194</v>
      </c>
      <c r="O154" s="1" t="str">
        <f>HYPERLINK(".\sm_car_240831_0552\sm_car_240831_0552_153_Ca198TrN_MaMPK_ode23t_1.png","figure")</f>
        <v>figure</v>
      </c>
      <c r="P154" t="s">
        <v>15</v>
      </c>
    </row>
    <row r="155" spans="1:16" x14ac:dyDescent="0.25">
      <c r="A155">
        <v>154</v>
      </c>
      <c r="B155">
        <v>198</v>
      </c>
      <c r="C155" t="s">
        <v>105</v>
      </c>
      <c r="D155" t="s">
        <v>106</v>
      </c>
      <c r="E155" t="s">
        <v>108</v>
      </c>
      <c r="F155" t="s">
        <v>19</v>
      </c>
      <c r="G155" t="s">
        <v>20</v>
      </c>
      <c r="H155" t="s">
        <v>21</v>
      </c>
      <c r="I155" t="s">
        <v>56</v>
      </c>
      <c r="J155" t="s">
        <v>23</v>
      </c>
      <c r="K155">
        <v>2404</v>
      </c>
      <c r="L155" s="4">
        <v>31.9323373</v>
      </c>
      <c r="M155" s="4">
        <v>5.0186858710120781</v>
      </c>
      <c r="N155" s="4">
        <v>-0.41847614762462138</v>
      </c>
      <c r="O155" s="1" t="str">
        <f>HYPERLINK(".\sm_car_240831_0552\sm_car_240831_0552_154_Ca198TrN_MaMPC_ode23t_1.png","figure")</f>
        <v>figure</v>
      </c>
      <c r="P155" t="s">
        <v>15</v>
      </c>
    </row>
    <row r="156" spans="1:16" x14ac:dyDescent="0.25">
      <c r="A156">
        <v>155</v>
      </c>
      <c r="B156">
        <v>151</v>
      </c>
      <c r="C156" t="s">
        <v>16</v>
      </c>
      <c r="D156" t="s">
        <v>17</v>
      </c>
      <c r="E156" t="s">
        <v>18</v>
      </c>
      <c r="F156" t="s">
        <v>19</v>
      </c>
      <c r="G156" t="s">
        <v>59</v>
      </c>
      <c r="H156" t="s">
        <v>21</v>
      </c>
      <c r="I156" t="s">
        <v>24</v>
      </c>
      <c r="J156" t="s">
        <v>23</v>
      </c>
      <c r="K156">
        <v>508</v>
      </c>
      <c r="L156" s="4">
        <v>13.8896467</v>
      </c>
      <c r="M156" s="4">
        <v>73.394344531417474</v>
      </c>
      <c r="N156" s="4">
        <v>-0.84672947879271887</v>
      </c>
      <c r="O156" s="1" t="str">
        <f>HYPERLINK(".\sm_car_240831_0552\sm_car_240831_0552_155_Ca151TrN_MaLSS_ode23t_1.png","figure")</f>
        <v>figure</v>
      </c>
      <c r="P156" t="s">
        <v>15</v>
      </c>
    </row>
    <row r="157" spans="1:16" x14ac:dyDescent="0.25">
      <c r="A157">
        <v>156</v>
      </c>
      <c r="B157">
        <v>152</v>
      </c>
      <c r="C157" t="s">
        <v>16</v>
      </c>
      <c r="D157" t="s">
        <v>17</v>
      </c>
      <c r="E157" t="s">
        <v>18</v>
      </c>
      <c r="F157" t="s">
        <v>19</v>
      </c>
      <c r="G157" t="s">
        <v>60</v>
      </c>
      <c r="H157" t="s">
        <v>21</v>
      </c>
      <c r="I157" t="s">
        <v>24</v>
      </c>
      <c r="J157" t="s">
        <v>23</v>
      </c>
      <c r="K157">
        <v>520</v>
      </c>
      <c r="L157" s="4">
        <v>15.7072097</v>
      </c>
      <c r="M157" s="4">
        <v>71.752365266088034</v>
      </c>
      <c r="N157" s="4">
        <v>-0.54378686888942385</v>
      </c>
      <c r="O157" s="1" t="str">
        <f>HYPERLINK(".\sm_car_240831_0552\sm_car_240831_0552_156_Ca152TrN_MaLSS_ode23t_1.png","figure")</f>
        <v>figure</v>
      </c>
      <c r="P157" t="s">
        <v>15</v>
      </c>
    </row>
    <row r="158" spans="1:16" x14ac:dyDescent="0.25">
      <c r="A158">
        <v>157</v>
      </c>
      <c r="B158">
        <v>153</v>
      </c>
      <c r="C158" t="s">
        <v>16</v>
      </c>
      <c r="D158" t="s">
        <v>17</v>
      </c>
      <c r="E158" t="s">
        <v>18</v>
      </c>
      <c r="F158" t="s">
        <v>19</v>
      </c>
      <c r="G158" t="s">
        <v>61</v>
      </c>
      <c r="H158" t="s">
        <v>21</v>
      </c>
      <c r="I158" t="s">
        <v>24</v>
      </c>
      <c r="J158" t="s">
        <v>23</v>
      </c>
      <c r="K158">
        <v>538</v>
      </c>
      <c r="L158" s="4">
        <v>14.0675715</v>
      </c>
      <c r="M158" s="4">
        <v>71.597114022628929</v>
      </c>
      <c r="N158" s="4">
        <v>-0.88815958543458584</v>
      </c>
      <c r="O158" s="1" t="str">
        <f>HYPERLINK(".\sm_car_240831_0552\sm_car_240831_0552_157_Ca153TrN_MaLSS_ode23t_1.png","figure")</f>
        <v>figure</v>
      </c>
      <c r="P158" t="s">
        <v>15</v>
      </c>
    </row>
    <row r="159" spans="1:16" x14ac:dyDescent="0.25">
      <c r="A159">
        <v>158</v>
      </c>
      <c r="B159">
        <v>154</v>
      </c>
      <c r="C159" t="s">
        <v>16</v>
      </c>
      <c r="D159" t="s">
        <v>17</v>
      </c>
      <c r="E159" t="s">
        <v>18</v>
      </c>
      <c r="F159" t="s">
        <v>19</v>
      </c>
      <c r="G159" t="s">
        <v>109</v>
      </c>
      <c r="H159" t="s">
        <v>21</v>
      </c>
      <c r="I159" t="s">
        <v>24</v>
      </c>
      <c r="J159" t="s">
        <v>23</v>
      </c>
      <c r="K159">
        <v>473</v>
      </c>
      <c r="L159" s="4">
        <v>17.410926499999999</v>
      </c>
      <c r="M159" s="4">
        <v>71.792182760424197</v>
      </c>
      <c r="N159" s="4">
        <v>-0.36059864001295194</v>
      </c>
      <c r="O159" s="1" t="str">
        <f>HYPERLINK(".\sm_car_240831_0552\sm_car_240831_0552_158_Ca154TrN_MaLSS_ode23t_1.png","figure")</f>
        <v>figure</v>
      </c>
      <c r="P159" t="s">
        <v>15</v>
      </c>
    </row>
    <row r="160" spans="1:16" x14ac:dyDescent="0.25">
      <c r="A160">
        <v>159</v>
      </c>
      <c r="B160">
        <v>155</v>
      </c>
      <c r="C160" t="s">
        <v>16</v>
      </c>
      <c r="D160" t="s">
        <v>17</v>
      </c>
      <c r="E160" t="s">
        <v>18</v>
      </c>
      <c r="F160" t="s">
        <v>19</v>
      </c>
      <c r="G160" t="s">
        <v>62</v>
      </c>
      <c r="H160" t="s">
        <v>21</v>
      </c>
      <c r="I160" t="s">
        <v>24</v>
      </c>
      <c r="J160" t="s">
        <v>23</v>
      </c>
      <c r="K160">
        <v>538</v>
      </c>
      <c r="L160" s="4">
        <v>19.5492439</v>
      </c>
      <c r="M160" s="4">
        <v>71.629907558251602</v>
      </c>
      <c r="N160" s="4">
        <v>-0.8657669769635884</v>
      </c>
      <c r="O160" s="1" t="str">
        <f>HYPERLINK(".\sm_car_240831_0552\sm_car_240831_0552_159_Ca155TrN_MaLSS_ode23t_1.png","figure")</f>
        <v>figure</v>
      </c>
      <c r="P160" t="s">
        <v>15</v>
      </c>
    </row>
    <row r="161" spans="1:16" x14ac:dyDescent="0.25">
      <c r="A161">
        <v>160</v>
      </c>
      <c r="B161">
        <v>4</v>
      </c>
      <c r="C161" t="s">
        <v>16</v>
      </c>
      <c r="D161" t="s">
        <v>17</v>
      </c>
      <c r="E161" t="s">
        <v>18</v>
      </c>
      <c r="F161" t="s">
        <v>28</v>
      </c>
      <c r="G161" t="s">
        <v>20</v>
      </c>
      <c r="H161" t="s">
        <v>21</v>
      </c>
      <c r="I161" t="s">
        <v>22</v>
      </c>
      <c r="J161" t="s">
        <v>63</v>
      </c>
      <c r="K161">
        <v>3246</v>
      </c>
      <c r="L161" s="4">
        <v>11.0636904</v>
      </c>
      <c r="M161" s="4">
        <v>234.09520337872848</v>
      </c>
      <c r="N161" s="4">
        <v>1.5597601237183302E-2</v>
      </c>
      <c r="O161" s="1" t="str">
        <f>HYPERLINK(".\sm_car_240831_0552\sm_car_240831_0552_160_Ca004TrN_MaWOT_ode3_1.png","figure")</f>
        <v>figure</v>
      </c>
      <c r="P161" t="s">
        <v>15</v>
      </c>
    </row>
    <row r="162" spans="1:16" x14ac:dyDescent="0.25">
      <c r="A162">
        <v>161</v>
      </c>
      <c r="B162">
        <v>4</v>
      </c>
      <c r="C162" t="s">
        <v>16</v>
      </c>
      <c r="D162" t="s">
        <v>17</v>
      </c>
      <c r="E162" t="s">
        <v>18</v>
      </c>
      <c r="F162" t="s">
        <v>28</v>
      </c>
      <c r="G162" t="s">
        <v>20</v>
      </c>
      <c r="H162" t="s">
        <v>21</v>
      </c>
      <c r="I162" t="s">
        <v>24</v>
      </c>
      <c r="J162" t="s">
        <v>63</v>
      </c>
      <c r="K162">
        <v>2564</v>
      </c>
      <c r="L162" s="4">
        <v>7.2106158999999996</v>
      </c>
      <c r="M162" s="4">
        <v>72.060968646483076</v>
      </c>
      <c r="N162" s="4">
        <v>-0.55315112787421983</v>
      </c>
      <c r="O162" s="1" t="str">
        <f>HYPERLINK(".\sm_car_240831_0552\sm_car_240831_0552_161_Ca004TrN_MaLSS_ode3_1.png","figure")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64</v>
      </c>
      <c r="J163" t="s">
        <v>63</v>
      </c>
      <c r="K163">
        <v>2562</v>
      </c>
      <c r="L163" s="4">
        <v>8.7330322999999996</v>
      </c>
      <c r="M163" s="4">
        <v>64.366272556222512</v>
      </c>
      <c r="N163" s="4">
        <v>-25.53945015042936</v>
      </c>
      <c r="O163" s="1" t="str">
        <f>HYPERLINK(".\sm_car_240831_0552\sm_car_240831_0552_162_Ca004TrN_MaTUR_ode3_1.png","figure")</f>
        <v>figure</v>
      </c>
      <c r="P163" t="s">
        <v>15</v>
      </c>
    </row>
    <row r="164" spans="1:16" x14ac:dyDescent="0.25">
      <c r="A164">
        <v>163</v>
      </c>
      <c r="B164">
        <v>116</v>
      </c>
      <c r="C164" t="s">
        <v>16</v>
      </c>
      <c r="D164" t="s">
        <v>35</v>
      </c>
      <c r="E164" t="s">
        <v>18</v>
      </c>
      <c r="F164" t="s">
        <v>28</v>
      </c>
      <c r="G164" t="s">
        <v>20</v>
      </c>
      <c r="H164" t="s">
        <v>21</v>
      </c>
      <c r="I164" t="s">
        <v>22</v>
      </c>
      <c r="J164" t="s">
        <v>63</v>
      </c>
      <c r="K164">
        <v>3244</v>
      </c>
      <c r="L164" s="4">
        <v>3.8007993999999998</v>
      </c>
      <c r="M164" s="4">
        <v>242.70379428436041</v>
      </c>
      <c r="N164" s="4">
        <v>0.23327324309701689</v>
      </c>
      <c r="O164" s="1" t="str">
        <f>HYPERLINK(".\sm_car_240831_0552\sm_car_240831_0552_163_Ca116TrN_MaWOT_ode3_1.png","figure")</f>
        <v>figure</v>
      </c>
      <c r="P164" t="s">
        <v>15</v>
      </c>
    </row>
    <row r="165" spans="1:16" x14ac:dyDescent="0.25">
      <c r="A165">
        <v>164</v>
      </c>
      <c r="B165">
        <v>116</v>
      </c>
      <c r="C165" t="s">
        <v>16</v>
      </c>
      <c r="D165" t="s">
        <v>35</v>
      </c>
      <c r="E165" t="s">
        <v>18</v>
      </c>
      <c r="F165" t="s">
        <v>28</v>
      </c>
      <c r="G165" t="s">
        <v>20</v>
      </c>
      <c r="H165" t="s">
        <v>21</v>
      </c>
      <c r="I165" t="s">
        <v>24</v>
      </c>
      <c r="J165" t="s">
        <v>63</v>
      </c>
      <c r="K165">
        <v>2564</v>
      </c>
      <c r="L165" s="4">
        <v>3.1723002</v>
      </c>
      <c r="M165" s="4">
        <v>74.659491982450774</v>
      </c>
      <c r="N165" s="4">
        <v>-0.34093758006291858</v>
      </c>
      <c r="O165" s="1" t="str">
        <f>HYPERLINK(".\sm_car_240831_0552\sm_car_240831_0552_164_Ca116TrN_MaLSS_ode3_1.png","figure")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64</v>
      </c>
      <c r="J166" t="s">
        <v>63</v>
      </c>
      <c r="K166">
        <v>2563</v>
      </c>
      <c r="L166" s="4">
        <v>3.9168167</v>
      </c>
      <c r="M166" s="4">
        <v>71.32397117118802</v>
      </c>
      <c r="N166" s="4">
        <v>-17.591551103430934</v>
      </c>
      <c r="O166" s="1" t="str">
        <f>HYPERLINK(".\sm_car_240831_0552\sm_car_240831_0552_165_Ca116TrN_MaTUR_ode3_1.png","figure")</f>
        <v>figure</v>
      </c>
      <c r="P166" t="s">
        <v>15</v>
      </c>
    </row>
    <row r="167" spans="1:16" x14ac:dyDescent="0.25">
      <c r="A167">
        <v>166</v>
      </c>
      <c r="B167">
        <v>124</v>
      </c>
      <c r="C167" t="s">
        <v>16</v>
      </c>
      <c r="D167" t="s">
        <v>35</v>
      </c>
      <c r="E167" t="s">
        <v>49</v>
      </c>
      <c r="F167" t="s">
        <v>28</v>
      </c>
      <c r="G167" t="s">
        <v>20</v>
      </c>
      <c r="H167" t="s">
        <v>21</v>
      </c>
      <c r="I167" t="s">
        <v>22</v>
      </c>
      <c r="J167" t="s">
        <v>63</v>
      </c>
      <c r="K167">
        <v>3244</v>
      </c>
      <c r="L167" s="4">
        <v>2.5283266000000002</v>
      </c>
      <c r="M167" s="4">
        <v>242.88013068819623</v>
      </c>
      <c r="N167" s="4">
        <v>0.23307974035338433</v>
      </c>
      <c r="O167" s="1" t="str">
        <f>HYPERLINK(".\sm_car_240831_0552\sm_car_240831_0552_166_Ca124TrN_MaWOT_ode3_1.png","figure")</f>
        <v>figure</v>
      </c>
      <c r="P167" t="s">
        <v>15</v>
      </c>
    </row>
    <row r="168" spans="1:16" x14ac:dyDescent="0.25">
      <c r="A168">
        <v>167</v>
      </c>
      <c r="B168">
        <v>124</v>
      </c>
      <c r="C168" t="s">
        <v>16</v>
      </c>
      <c r="D168" t="s">
        <v>35</v>
      </c>
      <c r="E168" t="s">
        <v>49</v>
      </c>
      <c r="F168" t="s">
        <v>28</v>
      </c>
      <c r="G168" t="s">
        <v>20</v>
      </c>
      <c r="H168" t="s">
        <v>21</v>
      </c>
      <c r="I168" t="s">
        <v>24</v>
      </c>
      <c r="J168" t="s">
        <v>63</v>
      </c>
      <c r="K168">
        <v>2565</v>
      </c>
      <c r="L168" s="4">
        <v>2.0373644999999998</v>
      </c>
      <c r="M168" s="4">
        <v>74.798394612599097</v>
      </c>
      <c r="N168" s="4">
        <v>-0.34251622055333664</v>
      </c>
      <c r="O168" s="1" t="str">
        <f>HYPERLINK(".\sm_car_240831_0552\sm_car_240831_0552_167_Ca124TrN_MaLSS_ode3_1.png","figure")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64</v>
      </c>
      <c r="J169" t="s">
        <v>63</v>
      </c>
      <c r="K169">
        <v>2564</v>
      </c>
      <c r="L169" s="4">
        <v>2.0457245999999998</v>
      </c>
      <c r="M169" s="4">
        <v>71.449352968456878</v>
      </c>
      <c r="N169" s="4">
        <v>-17.63759605520924</v>
      </c>
      <c r="O169" s="1" t="str">
        <f>HYPERLINK(".\sm_car_240831_0552\sm_car_240831_0552_168_Ca124TrN_MaTUR_ode3_1.png","figure")</f>
        <v>figure</v>
      </c>
      <c r="P169" t="s">
        <v>15</v>
      </c>
    </row>
    <row r="170" spans="1:16" x14ac:dyDescent="0.25">
      <c r="A170">
        <v>169</v>
      </c>
      <c r="B170">
        <v>141</v>
      </c>
      <c r="C170" t="s">
        <v>45</v>
      </c>
      <c r="D170" t="s">
        <v>17</v>
      </c>
      <c r="E170" t="s">
        <v>18</v>
      </c>
      <c r="F170" t="s">
        <v>28</v>
      </c>
      <c r="G170" t="s">
        <v>26</v>
      </c>
      <c r="H170" t="s">
        <v>21</v>
      </c>
      <c r="I170" t="s">
        <v>22</v>
      </c>
      <c r="J170" t="s">
        <v>63</v>
      </c>
      <c r="K170">
        <v>3833</v>
      </c>
      <c r="L170" s="4">
        <v>14.3669814</v>
      </c>
      <c r="M170" s="4">
        <v>411.77327955286199</v>
      </c>
      <c r="N170" s="4">
        <v>1.5228309409456255</v>
      </c>
      <c r="O170" s="1" t="str">
        <f>HYPERLINK(".\sm_car_240831_0552\sm_car_240831_0552_169_Ca141TrN_MaWOT_ode3_1.png","figure")</f>
        <v>figure</v>
      </c>
      <c r="P170" t="s">
        <v>15</v>
      </c>
    </row>
    <row r="171" spans="1:16" x14ac:dyDescent="0.25">
      <c r="A171">
        <v>170</v>
      </c>
      <c r="B171">
        <v>141</v>
      </c>
      <c r="C171" t="s">
        <v>45</v>
      </c>
      <c r="D171" t="s">
        <v>17</v>
      </c>
      <c r="E171" t="s">
        <v>18</v>
      </c>
      <c r="F171" t="s">
        <v>28</v>
      </c>
      <c r="G171" t="s">
        <v>26</v>
      </c>
      <c r="H171" t="s">
        <v>21</v>
      </c>
      <c r="I171" t="s">
        <v>24</v>
      </c>
      <c r="J171" t="s">
        <v>63</v>
      </c>
      <c r="K171">
        <v>3192</v>
      </c>
      <c r="L171" s="4">
        <v>12.781636600000001</v>
      </c>
      <c r="M171" s="4">
        <v>157.35652746778001</v>
      </c>
      <c r="N171" s="4">
        <v>-0.56383994623820011</v>
      </c>
      <c r="O171" s="1" t="str">
        <f>HYPERLINK(".\sm_car_240831_0552\sm_car_240831_0552_170_Ca141TrN_MaLSS_ode3_1.png","figure")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64</v>
      </c>
      <c r="J172" t="s">
        <v>63</v>
      </c>
      <c r="K172">
        <v>3160</v>
      </c>
      <c r="L172" s="4">
        <v>12.1054584</v>
      </c>
      <c r="M172" s="4">
        <v>99.307823665682164</v>
      </c>
      <c r="N172" s="4">
        <v>-89.462983441218384</v>
      </c>
      <c r="O172" s="1" t="str">
        <f>HYPERLINK(".\sm_car_240831_0552\sm_car_240831_0552_171_Ca141TrN_MaTUR_ode3_1.png","figure")</f>
        <v>figure</v>
      </c>
      <c r="P172" t="s">
        <v>15</v>
      </c>
    </row>
    <row r="173" spans="1:16" x14ac:dyDescent="0.25">
      <c r="A173">
        <v>172</v>
      </c>
      <c r="B173">
        <v>145</v>
      </c>
      <c r="C173" t="s">
        <v>46</v>
      </c>
      <c r="D173" t="s">
        <v>17</v>
      </c>
      <c r="E173" t="s">
        <v>50</v>
      </c>
      <c r="F173" t="s">
        <v>19</v>
      </c>
      <c r="G173" t="s">
        <v>26</v>
      </c>
      <c r="H173" t="s">
        <v>21</v>
      </c>
      <c r="I173" t="s">
        <v>22</v>
      </c>
      <c r="J173" t="s">
        <v>63</v>
      </c>
      <c r="K173">
        <v>2853</v>
      </c>
      <c r="L173" s="4">
        <v>7.9184369999999999</v>
      </c>
      <c r="M173" s="4">
        <v>96.995322014775226</v>
      </c>
      <c r="N173" s="4">
        <v>-4.6573667052158575E-2</v>
      </c>
      <c r="O173" s="1" t="str">
        <f>HYPERLINK(".\sm_car_240831_0552\sm_car_240831_0552_172_Ca145TrN_MaWOT_ode3_1.png","figure")</f>
        <v>figure</v>
      </c>
      <c r="P173" t="s">
        <v>15</v>
      </c>
    </row>
    <row r="174" spans="1:16" x14ac:dyDescent="0.25">
      <c r="A174">
        <v>173</v>
      </c>
      <c r="B174">
        <v>145</v>
      </c>
      <c r="C174" t="s">
        <v>46</v>
      </c>
      <c r="D174" t="s">
        <v>17</v>
      </c>
      <c r="E174" t="s">
        <v>50</v>
      </c>
      <c r="F174" t="s">
        <v>19</v>
      </c>
      <c r="G174" t="s">
        <v>26</v>
      </c>
      <c r="H174" t="s">
        <v>21</v>
      </c>
      <c r="I174" t="s">
        <v>24</v>
      </c>
      <c r="J174" t="s">
        <v>63</v>
      </c>
      <c r="K174">
        <v>2382</v>
      </c>
      <c r="L174" s="4">
        <v>6.5518397000000004</v>
      </c>
      <c r="M174" s="4">
        <v>25.42026532342183</v>
      </c>
      <c r="N174" s="4">
        <v>-5.3207840803906344E-2</v>
      </c>
      <c r="O174" s="1" t="str">
        <f>HYPERLINK(".\sm_car_240831_0552\sm_car_240831_0552_173_Ca145TrN_MaLSS_ode3_1.png","figure")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64</v>
      </c>
      <c r="J175" t="s">
        <v>63</v>
      </c>
      <c r="K175">
        <v>2381</v>
      </c>
      <c r="L175" s="4">
        <v>6.5896201000000003</v>
      </c>
      <c r="M175" s="4">
        <v>25.26694321471393</v>
      </c>
      <c r="N175" s="4">
        <v>-2.6407447650070699</v>
      </c>
      <c r="O175" s="1" t="str">
        <f>HYPERLINK(".\sm_car_240831_0552\sm_car_240831_0552_174_Ca145TrN_MaTUR_ode3_1.png","figure")</f>
        <v>figure</v>
      </c>
      <c r="P175" t="s">
        <v>15</v>
      </c>
    </row>
    <row r="176" spans="1:16" x14ac:dyDescent="0.25">
      <c r="A176">
        <v>175</v>
      </c>
      <c r="B176">
        <v>199</v>
      </c>
      <c r="C176" t="s">
        <v>46</v>
      </c>
      <c r="D176" t="s">
        <v>17</v>
      </c>
      <c r="E176" t="s">
        <v>110</v>
      </c>
      <c r="F176" t="s">
        <v>19</v>
      </c>
      <c r="G176" t="s">
        <v>26</v>
      </c>
      <c r="H176" t="s">
        <v>21</v>
      </c>
      <c r="I176" t="s">
        <v>22</v>
      </c>
      <c r="J176" t="s">
        <v>63</v>
      </c>
      <c r="K176">
        <v>2856</v>
      </c>
      <c r="L176" s="4">
        <v>10.8822913</v>
      </c>
      <c r="M176" s="4">
        <v>97.744507729046816</v>
      </c>
      <c r="N176" s="4">
        <v>-4.7359678244855444E-2</v>
      </c>
      <c r="O176" s="1" t="str">
        <f>HYPERLINK(".\sm_car_240831_0552\sm_car_240831_0552_175_Ca199TrN_MaWOT_ode3_1.png","figure")</f>
        <v>figure</v>
      </c>
      <c r="P176" t="s">
        <v>15</v>
      </c>
    </row>
    <row r="177" spans="1:16" x14ac:dyDescent="0.25">
      <c r="A177">
        <v>176</v>
      </c>
      <c r="B177">
        <v>199</v>
      </c>
      <c r="C177" t="s">
        <v>46</v>
      </c>
      <c r="D177" t="s">
        <v>17</v>
      </c>
      <c r="E177" t="s">
        <v>110</v>
      </c>
      <c r="F177" t="s">
        <v>19</v>
      </c>
      <c r="G177" t="s">
        <v>26</v>
      </c>
      <c r="H177" t="s">
        <v>21</v>
      </c>
      <c r="I177" t="s">
        <v>24</v>
      </c>
      <c r="J177" t="s">
        <v>63</v>
      </c>
      <c r="K177">
        <v>2383</v>
      </c>
      <c r="L177" s="4">
        <v>8.8395534999999992</v>
      </c>
      <c r="M177" s="4">
        <v>26.056312107681578</v>
      </c>
      <c r="N177" s="4">
        <v>-5.2693296890221342E-2</v>
      </c>
      <c r="O177" s="1" t="str">
        <f>HYPERLINK(".\sm_car_240831_0552\sm_car_240831_0552_176_Ca199TrN_MaLSS_ode3_1.png","figure")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110</v>
      </c>
      <c r="F178" t="s">
        <v>19</v>
      </c>
      <c r="G178" t="s">
        <v>26</v>
      </c>
      <c r="H178" t="s">
        <v>21</v>
      </c>
      <c r="I178" t="s">
        <v>64</v>
      </c>
      <c r="J178" t="s">
        <v>63</v>
      </c>
      <c r="K178">
        <v>2382</v>
      </c>
      <c r="L178" s="4">
        <v>9.0953017999999997</v>
      </c>
      <c r="M178" s="4">
        <v>25.894956540091155</v>
      </c>
      <c r="N178" s="4">
        <v>-2.7238125714713917</v>
      </c>
      <c r="O178" s="1" t="str">
        <f>HYPERLINK(".\sm_car_240831_0552\sm_car_240831_0552_177_Ca199TrN_MaTUR_ode3_1.png","figure")</f>
        <v>figure</v>
      </c>
      <c r="P178" t="s">
        <v>15</v>
      </c>
    </row>
    <row r="179" spans="1:16" x14ac:dyDescent="0.25">
      <c r="A179">
        <v>178</v>
      </c>
      <c r="B179">
        <v>139</v>
      </c>
      <c r="C179" t="s">
        <v>45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53</v>
      </c>
      <c r="J179" t="s">
        <v>23</v>
      </c>
      <c r="K179">
        <v>588</v>
      </c>
      <c r="L179" s="4">
        <v>8.3715048000000003</v>
      </c>
      <c r="M179" s="4">
        <v>383.26827927478541</v>
      </c>
      <c r="N179" s="4">
        <v>1.3719896375405938E-3</v>
      </c>
      <c r="O179" s="1" t="str">
        <f>HYPERLINK(".\sm_car_240831_0552\sm_car_240831_0552_178_Ca139TrN_MaDLC_ode23t_1.png","figure")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65</v>
      </c>
      <c r="I180" t="s">
        <v>53</v>
      </c>
      <c r="J180" t="s">
        <v>23</v>
      </c>
      <c r="K180">
        <v>1131</v>
      </c>
      <c r="L180" s="4">
        <v>36.749520599999997</v>
      </c>
      <c r="M180" s="4">
        <v>381.95828587759462</v>
      </c>
      <c r="N180" s="4">
        <v>1.2744010786729376E-3</v>
      </c>
      <c r="O180" s="1" t="str">
        <f>HYPERLINK(".\sm_car_240831_0552\sm_car_240831_0552_179_Ca139TrE_MaDLC_ode23t_1.png","figure")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66</v>
      </c>
      <c r="I181" t="s">
        <v>53</v>
      </c>
      <c r="J181" t="s">
        <v>23</v>
      </c>
      <c r="K181">
        <v>941</v>
      </c>
      <c r="L181" s="4">
        <v>28.640434500000001</v>
      </c>
      <c r="M181" s="4">
        <v>382.97222710913877</v>
      </c>
      <c r="N181" s="4">
        <v>1.2154287707657474E-3</v>
      </c>
      <c r="O181" s="1" t="str">
        <f>HYPERLINK(".\sm_car_240831_0552\sm_car_240831_0552_180_Ca139TrT_MaDLC_ode23t_1.png","figure")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844</v>
      </c>
      <c r="L182" s="4">
        <v>17.534049799999998</v>
      </c>
      <c r="M182" s="4">
        <v>382.38041686552509</v>
      </c>
      <c r="N182" s="4">
        <v>1.4478252895449018E-3</v>
      </c>
      <c r="O182" s="1" t="str">
        <f>HYPERLINK(".\sm_car_240831_0552\sm_car_240831_0552_181_Ca139TrE_MaDLC_ode23t_1.png","figure")</f>
        <v>figure</v>
      </c>
      <c r="P182" t="s">
        <v>15</v>
      </c>
    </row>
    <row r="183" spans="1:16" x14ac:dyDescent="0.25">
      <c r="A183">
        <v>182</v>
      </c>
      <c r="B183">
        <v>2</v>
      </c>
      <c r="C183" t="s">
        <v>16</v>
      </c>
      <c r="D183" t="s">
        <v>17</v>
      </c>
      <c r="E183" t="s">
        <v>18</v>
      </c>
      <c r="F183" t="s">
        <v>19</v>
      </c>
      <c r="G183" t="s">
        <v>26</v>
      </c>
      <c r="H183" t="s">
        <v>21</v>
      </c>
      <c r="I183" t="s">
        <v>53</v>
      </c>
      <c r="J183" t="s">
        <v>23</v>
      </c>
      <c r="K183">
        <v>672</v>
      </c>
      <c r="L183" s="4">
        <v>10.111246400000001</v>
      </c>
      <c r="M183" s="4">
        <v>381.88645796239723</v>
      </c>
      <c r="N183" s="4">
        <v>-3.7156278581029767E-5</v>
      </c>
      <c r="O183" s="1" t="str">
        <f>HYPERLINK(".\sm_car_240831_0552\sm_car_240831_0552_182_Ca002TrN_MaDLC_ode23t_1.png","figure")</f>
        <v>figure</v>
      </c>
      <c r="P183" t="s">
        <v>15</v>
      </c>
    </row>
    <row r="184" spans="1:16" x14ac:dyDescent="0.25">
      <c r="A184">
        <v>183</v>
      </c>
      <c r="B184">
        <v>2</v>
      </c>
      <c r="C184" t="s">
        <v>16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837</v>
      </c>
      <c r="L184" s="4">
        <v>25.411982699999999</v>
      </c>
      <c r="M184" s="4">
        <v>381.04344376298428</v>
      </c>
      <c r="N184" s="4">
        <v>-1.9967472298709765E-5</v>
      </c>
      <c r="O184" s="1" t="str">
        <f>HYPERLINK(".\sm_car_240831_0552\sm_car_240831_0552_183_Ca002TrE_MaDLC_ode23t_1.png","figure")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66</v>
      </c>
      <c r="I185" t="s">
        <v>53</v>
      </c>
      <c r="J185" t="s">
        <v>23</v>
      </c>
      <c r="K185">
        <v>995</v>
      </c>
      <c r="L185" s="4">
        <v>34.133476999999999</v>
      </c>
      <c r="M185" s="4">
        <v>381.63378410823077</v>
      </c>
      <c r="N185" s="4">
        <v>-3.4239111084133356E-5</v>
      </c>
      <c r="O185" s="1" t="str">
        <f>HYPERLINK(".\sm_car_240831_0552\sm_car_240831_0552_184_Ca002TrT_MaDLC_ode23t_1.png","figure")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844</v>
      </c>
      <c r="L186" s="4">
        <v>21.575849399999999</v>
      </c>
      <c r="M186" s="4">
        <v>381.04374900775804</v>
      </c>
      <c r="N186" s="4">
        <v>-2.0494662080317028E-5</v>
      </c>
      <c r="O186" s="1" t="str">
        <f>HYPERLINK(".\sm_car_240831_0552\sm_car_240831_0552_185_Ca002TrE_MaDLC_ode23t_1.png","figure")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53</v>
      </c>
      <c r="J187" t="s">
        <v>23</v>
      </c>
      <c r="K187">
        <v>518</v>
      </c>
      <c r="L187" s="4">
        <v>18.626929000000001</v>
      </c>
      <c r="M187" s="4">
        <v>372.20353828539584</v>
      </c>
      <c r="N187" s="4">
        <v>1.3703737203147881E-3</v>
      </c>
      <c r="O187" s="1" t="str">
        <f>HYPERLINK(".\sm_car_240831_0552\sm_car_240831_0552_186_Ca145TrN_MaDLC_ode23t_1.png","figure")</f>
        <v>figure</v>
      </c>
      <c r="P187" t="s">
        <v>15</v>
      </c>
    </row>
    <row r="188" spans="1:16" x14ac:dyDescent="0.25">
      <c r="A188">
        <v>187</v>
      </c>
      <c r="B188">
        <v>145</v>
      </c>
      <c r="C188" t="s">
        <v>46</v>
      </c>
      <c r="D188" t="s">
        <v>17</v>
      </c>
      <c r="E188" t="s">
        <v>50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617</v>
      </c>
      <c r="L188" s="4">
        <v>36.280129299999999</v>
      </c>
      <c r="M188" s="4">
        <v>370.93923755553857</v>
      </c>
      <c r="N188" s="4">
        <v>1.3670428975922633E-3</v>
      </c>
      <c r="O188" s="1" t="str">
        <f>HYPERLINK(".\sm_car_240831_0552\sm_car_240831_0552_187_Ca145TrE_MaDLC_ode23t_1.png","figure")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66</v>
      </c>
      <c r="I189" t="s">
        <v>53</v>
      </c>
      <c r="J189" t="s">
        <v>23</v>
      </c>
      <c r="K189">
        <v>656</v>
      </c>
      <c r="L189" s="4">
        <v>43.671144900000002</v>
      </c>
      <c r="M189" s="4">
        <v>371.81358713442904</v>
      </c>
      <c r="N189" s="4">
        <v>1.3964537406421229E-3</v>
      </c>
      <c r="O189" s="1" t="str">
        <f>HYPERLINK(".\sm_car_240831_0552\sm_car_240831_0552_188_Ca145TrT_MaDLC_ode23t_1.png","figure")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607</v>
      </c>
      <c r="L190" s="4">
        <v>27.709631000000002</v>
      </c>
      <c r="M190" s="4">
        <v>370.93938007984502</v>
      </c>
      <c r="N190" s="4">
        <v>1.3679180231340737E-3</v>
      </c>
      <c r="O190" s="1" t="str">
        <f>HYPERLINK(".\sm_car_240831_0552\sm_car_240831_0552_189_Ca145TrE_MaDLC_ode23t_1.png","figure")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199</v>
      </c>
      <c r="C191" t="s">
        <v>46</v>
      </c>
      <c r="D191" t="s">
        <v>17</v>
      </c>
      <c r="E191" t="s">
        <v>110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523</v>
      </c>
      <c r="L191" s="4">
        <v>8.8493242999999993</v>
      </c>
      <c r="M191" s="4">
        <v>372.20163208604168</v>
      </c>
      <c r="N191" s="4">
        <v>1.3797228546188478E-3</v>
      </c>
      <c r="O191" s="1" t="str">
        <f>HYPERLINK(".\sm_car_240831_0552\sm_car_240831_0552_190_Ca199TrN_MaDLC_ode23t_1.png","figure")</f>
        <v>figure</v>
      </c>
      <c r="P191" t="s">
        <v>15</v>
      </c>
    </row>
    <row r="192" spans="1:16" x14ac:dyDescent="0.25">
      <c r="A192">
        <v>191</v>
      </c>
      <c r="B192">
        <v>199</v>
      </c>
      <c r="C192" t="s">
        <v>46</v>
      </c>
      <c r="D192" t="s">
        <v>17</v>
      </c>
      <c r="E192" t="s">
        <v>110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603</v>
      </c>
      <c r="L192" s="4">
        <v>16.954742499999998</v>
      </c>
      <c r="M192" s="4">
        <v>370.94002269801831</v>
      </c>
      <c r="N192" s="4">
        <v>1.37859899098558E-3</v>
      </c>
      <c r="O192" s="1" t="str">
        <f>HYPERLINK(".\sm_car_240831_0552\sm_car_240831_0552_191_Ca199TrE_MaDLC_ode23t_1.png","figure")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110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719</v>
      </c>
      <c r="L193" s="4">
        <v>23.544842599999999</v>
      </c>
      <c r="M193" s="4">
        <v>371.81315714022139</v>
      </c>
      <c r="N193" s="4">
        <v>1.4105024571904323E-3</v>
      </c>
      <c r="O193" s="1" t="str">
        <f>HYPERLINK(".\sm_car_240831_0552\sm_car_240831_0552_192_Ca199TrT_MaDLC_ode23t_1.png","figure")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110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604</v>
      </c>
      <c r="L194" s="4">
        <v>14.3808586</v>
      </c>
      <c r="M194" s="4">
        <v>370.94006540199945</v>
      </c>
      <c r="N194" s="4">
        <v>1.3876280861850887E-3</v>
      </c>
      <c r="O194" s="1" t="str">
        <f>HYPERLINK(".\sm_car_240831_0552\sm_car_240831_0552_193_Ca199TrE_MaDLC_ode23t_1.png","figure")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65</v>
      </c>
      <c r="I195" t="s">
        <v>67</v>
      </c>
      <c r="J195" t="s">
        <v>23</v>
      </c>
      <c r="K195">
        <v>442</v>
      </c>
      <c r="L195" s="4">
        <v>12.245527900000001</v>
      </c>
      <c r="M195" s="4">
        <v>261.08143287514105</v>
      </c>
      <c r="N195" s="4">
        <v>2.5014272012979419</v>
      </c>
      <c r="O195" s="1" t="str">
        <f>HYPERLINK(".\sm_car_240831_0552\sm_car_240831_0552_194_Ca139TrE_MaTRD_ode23t_1.png","figure")</f>
        <v>figure</v>
      </c>
      <c r="P195" t="s">
        <v>15</v>
      </c>
    </row>
    <row r="196" spans="1:16" x14ac:dyDescent="0.25">
      <c r="A196">
        <v>195</v>
      </c>
      <c r="B196">
        <v>139</v>
      </c>
      <c r="C196" t="s">
        <v>45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67</v>
      </c>
      <c r="J196" t="s">
        <v>23</v>
      </c>
      <c r="K196">
        <v>479</v>
      </c>
      <c r="L196" s="4">
        <v>13.2815662</v>
      </c>
      <c r="M196" s="4">
        <v>261.06407630351788</v>
      </c>
      <c r="N196" s="4">
        <v>2.5013619080285934</v>
      </c>
      <c r="O196" s="1" t="str">
        <f>HYPERLINK(".\sm_car_240831_0552\sm_car_240831_0552_195_Ca139TrU_MaTRD_ode23t_1.png","figure")</f>
        <v>figure</v>
      </c>
      <c r="P196" t="s">
        <v>15</v>
      </c>
    </row>
    <row r="197" spans="1:16" x14ac:dyDescent="0.25">
      <c r="A197">
        <v>196</v>
      </c>
      <c r="B197">
        <v>149</v>
      </c>
      <c r="C197" t="s">
        <v>46</v>
      </c>
      <c r="D197" t="s">
        <v>17</v>
      </c>
      <c r="E197" t="s">
        <v>68</v>
      </c>
      <c r="F197" t="s">
        <v>19</v>
      </c>
      <c r="G197" t="s">
        <v>26</v>
      </c>
      <c r="H197" t="s">
        <v>21</v>
      </c>
      <c r="I197" t="s">
        <v>69</v>
      </c>
      <c r="J197" t="s">
        <v>23</v>
      </c>
      <c r="K197">
        <v>1270</v>
      </c>
      <c r="L197" s="4">
        <v>14.3006593</v>
      </c>
      <c r="M197" s="4">
        <v>-5.2072433849134295E-3</v>
      </c>
      <c r="N197" s="4">
        <v>-6.1836375124176891E-4</v>
      </c>
      <c r="O197" s="1" t="str">
        <f>HYPERLINK(".\sm_car_240831_0552\sm_car_240831_0552_196_Ca149TrN_MaPST_ode23t_1.png","figure")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21</v>
      </c>
      <c r="I198" t="s">
        <v>70</v>
      </c>
      <c r="J198" t="s">
        <v>23</v>
      </c>
      <c r="K198">
        <v>3876</v>
      </c>
      <c r="L198" s="4">
        <v>59.796925700000003</v>
      </c>
      <c r="M198" s="4">
        <v>38.423542297841138</v>
      </c>
      <c r="N198" s="4">
        <v>0.27192591555937551</v>
      </c>
      <c r="O198" s="1" t="str">
        <f>HYPERLINK(".\sm_car_240831_0552\sm_car_240831_0552_197_Ca139TrN_MaSKD_ode23t_1.png","figure")</f>
        <v>figure</v>
      </c>
      <c r="P198" t="s">
        <v>15</v>
      </c>
    </row>
    <row r="199" spans="1:16" x14ac:dyDescent="0.25">
      <c r="A199">
        <v>198</v>
      </c>
      <c r="B199">
        <v>139</v>
      </c>
      <c r="C199" t="s">
        <v>45</v>
      </c>
      <c r="D199" t="s">
        <v>17</v>
      </c>
      <c r="E199" t="s">
        <v>18</v>
      </c>
      <c r="F199" t="s">
        <v>19</v>
      </c>
      <c r="G199" t="s">
        <v>26</v>
      </c>
      <c r="H199" t="s">
        <v>21</v>
      </c>
      <c r="I199" t="s">
        <v>71</v>
      </c>
      <c r="J199" t="s">
        <v>23</v>
      </c>
      <c r="K199">
        <v>1675</v>
      </c>
      <c r="L199" s="4">
        <v>40.386415999999997</v>
      </c>
      <c r="M199" s="4">
        <v>4.3315588404125762</v>
      </c>
      <c r="N199" s="4">
        <v>27.637355985778033</v>
      </c>
      <c r="O199" s="1" t="str">
        <f>HYPERLINK(".\sm_car_240831_0552\sm_car_240831_0552_198_Ca139TrN_MaRAD_ode23t_1.png","figure")</f>
        <v>figure</v>
      </c>
      <c r="P199" t="s">
        <v>15</v>
      </c>
    </row>
    <row r="200" spans="1:16" x14ac:dyDescent="0.25">
      <c r="A200">
        <v>199</v>
      </c>
      <c r="B200">
        <v>184</v>
      </c>
      <c r="C200" t="s">
        <v>105</v>
      </c>
      <c r="D200" t="s">
        <v>106</v>
      </c>
      <c r="E200" t="s">
        <v>49</v>
      </c>
      <c r="F200" t="s">
        <v>19</v>
      </c>
      <c r="G200" t="s">
        <v>20</v>
      </c>
      <c r="H200" t="s">
        <v>21</v>
      </c>
      <c r="I200" t="s">
        <v>70</v>
      </c>
      <c r="J200" t="s">
        <v>23</v>
      </c>
      <c r="K200">
        <v>3920</v>
      </c>
      <c r="L200" s="4">
        <v>93.540124599999999</v>
      </c>
      <c r="M200" s="4">
        <v>25.115631739696283</v>
      </c>
      <c r="N200" s="4">
        <v>0.71760036482202694</v>
      </c>
      <c r="O200" s="1" t="str">
        <f>HYPERLINK(".\sm_car_240831_0552\sm_car_240831_0552_199_Ca184TrN_MaSKD_ode23t_1.png","figure")</f>
        <v>figure</v>
      </c>
      <c r="P200" t="s">
        <v>15</v>
      </c>
    </row>
    <row r="201" spans="1:16" x14ac:dyDescent="0.25">
      <c r="A201">
        <v>200</v>
      </c>
      <c r="B201">
        <v>184</v>
      </c>
      <c r="C201" t="s">
        <v>105</v>
      </c>
      <c r="D201" t="s">
        <v>106</v>
      </c>
      <c r="E201" t="s">
        <v>49</v>
      </c>
      <c r="F201" t="s">
        <v>19</v>
      </c>
      <c r="G201" t="s">
        <v>20</v>
      </c>
      <c r="H201" t="s">
        <v>21</v>
      </c>
      <c r="I201" t="s">
        <v>71</v>
      </c>
      <c r="J201" t="s">
        <v>23</v>
      </c>
      <c r="K201">
        <v>1290</v>
      </c>
      <c r="L201" s="4">
        <v>40.186918900000002</v>
      </c>
      <c r="M201" s="4">
        <v>12.230633224848358</v>
      </c>
      <c r="N201" s="4">
        <v>21.583992070597713</v>
      </c>
      <c r="O201" s="1" t="str">
        <f>HYPERLINK(".\sm_car_240831_0552\sm_car_240831_0552_200_Ca184TrN_MaRAD_ode23t_1.png","figure")</f>
        <v>figure</v>
      </c>
      <c r="P201" t="s">
        <v>15</v>
      </c>
    </row>
    <row r="202" spans="1:16" x14ac:dyDescent="0.25">
      <c r="A202">
        <v>201</v>
      </c>
      <c r="B202">
        <v>198</v>
      </c>
      <c r="C202" t="s">
        <v>105</v>
      </c>
      <c r="D202" t="s">
        <v>106</v>
      </c>
      <c r="E202" t="s">
        <v>108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3920</v>
      </c>
      <c r="L202" s="4">
        <v>66.251582900000002</v>
      </c>
      <c r="M202" s="4">
        <v>25.124061014766543</v>
      </c>
      <c r="N202" s="4">
        <v>0.71786936190842576</v>
      </c>
      <c r="O202" s="1" t="str">
        <f>HYPERLINK(".\sm_car_240831_0552\sm_car_240831_0552_201_Ca198TrN_MaSKD_ode23t_1.png","figure")</f>
        <v>figure</v>
      </c>
      <c r="P202" t="s">
        <v>15</v>
      </c>
    </row>
    <row r="203" spans="1:16" x14ac:dyDescent="0.25">
      <c r="A203">
        <v>202</v>
      </c>
      <c r="B203">
        <v>198</v>
      </c>
      <c r="C203" t="s">
        <v>105</v>
      </c>
      <c r="D203" t="s">
        <v>106</v>
      </c>
      <c r="E203" t="s">
        <v>108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1371</v>
      </c>
      <c r="L203" s="4">
        <v>27.187683</v>
      </c>
      <c r="M203" s="4">
        <v>12.218496475340126</v>
      </c>
      <c r="N203" s="4">
        <v>21.540667626027599</v>
      </c>
      <c r="O203" s="1" t="str">
        <f>HYPERLINK(".\sm_car_240831_0552\sm_car_240831_0552_202_Ca198TrN_MaRAD_ode23t_1.png","figure")</f>
        <v>figure</v>
      </c>
      <c r="P203" t="s">
        <v>15</v>
      </c>
    </row>
    <row r="204" spans="1:16" x14ac:dyDescent="0.25">
      <c r="A204">
        <v>203</v>
      </c>
      <c r="B204">
        <v>156</v>
      </c>
      <c r="C204" t="s">
        <v>45</v>
      </c>
      <c r="D204" t="s">
        <v>17</v>
      </c>
      <c r="E204" t="s">
        <v>18</v>
      </c>
      <c r="F204" t="s">
        <v>19</v>
      </c>
      <c r="G204" t="s">
        <v>38</v>
      </c>
      <c r="H204" t="s">
        <v>21</v>
      </c>
      <c r="I204" t="s">
        <v>54</v>
      </c>
      <c r="J204" t="s">
        <v>23</v>
      </c>
      <c r="K204">
        <v>29383</v>
      </c>
      <c r="L204" s="4">
        <v>447.66143799999998</v>
      </c>
      <c r="M204" s="4">
        <v>20.741948638260965</v>
      </c>
      <c r="N204" s="4">
        <v>3.1589084473410591</v>
      </c>
      <c r="O204" s="1" t="str">
        <f>HYPERLINK(".\sm_car_240831_0552\sm_car_240831_0552_203_Ca156TrN_MaIPA_ode23t.png","figure")</f>
        <v>figure</v>
      </c>
      <c r="P204" t="s">
        <v>15</v>
      </c>
    </row>
    <row r="205" spans="1:16" x14ac:dyDescent="0.25">
      <c r="A205">
        <v>204</v>
      </c>
      <c r="B205">
        <v>130</v>
      </c>
      <c r="C205" t="s">
        <v>16</v>
      </c>
      <c r="D205" t="s">
        <v>17</v>
      </c>
      <c r="E205" t="s">
        <v>18</v>
      </c>
      <c r="F205" t="s">
        <v>19</v>
      </c>
      <c r="G205" t="s">
        <v>38</v>
      </c>
      <c r="H205" t="s">
        <v>21</v>
      </c>
      <c r="I205" t="s">
        <v>54</v>
      </c>
      <c r="J205" t="s">
        <v>23</v>
      </c>
      <c r="K205">
        <v>18228</v>
      </c>
      <c r="L205" s="4">
        <v>256.49371889999998</v>
      </c>
      <c r="M205" s="4">
        <v>16.634667276832239</v>
      </c>
      <c r="N205" s="4">
        <v>0.61181242915602996</v>
      </c>
      <c r="O205" s="1" t="str">
        <f>HYPERLINK(".\sm_car_240831_0552\sm_car_240831_0552_204_Ca130TrN_MaIPA_ode23t.png","figure")</f>
        <v>figure</v>
      </c>
      <c r="P205" t="s">
        <v>15</v>
      </c>
    </row>
    <row r="206" spans="1:16" x14ac:dyDescent="0.25">
      <c r="A206">
        <v>205</v>
      </c>
      <c r="B206">
        <v>171</v>
      </c>
      <c r="C206" t="s">
        <v>45</v>
      </c>
      <c r="D206" t="s">
        <v>17</v>
      </c>
      <c r="E206" t="s">
        <v>72</v>
      </c>
      <c r="F206" t="s">
        <v>19</v>
      </c>
      <c r="G206" t="s">
        <v>26</v>
      </c>
      <c r="H206" t="s">
        <v>21</v>
      </c>
      <c r="I206" t="s">
        <v>73</v>
      </c>
      <c r="J206" t="s">
        <v>23</v>
      </c>
      <c r="K206">
        <v>1341</v>
      </c>
      <c r="L206" s="4">
        <v>21.212271000000001</v>
      </c>
      <c r="M206" s="4">
        <v>347.06965940566118</v>
      </c>
      <c r="N206" s="4">
        <v>0.7418504809659543</v>
      </c>
      <c r="O206" s="1" t="str">
        <f>HYPERLINK(".\sm_car_240831_0552\sm_car_240831_0552_205_Ca171TrN_MaRDP_ode23t_1.png","figure")</f>
        <v>figure</v>
      </c>
      <c r="P206" t="s">
        <v>15</v>
      </c>
    </row>
    <row r="207" spans="1:16" x14ac:dyDescent="0.25">
      <c r="A207">
        <v>206</v>
      </c>
      <c r="B207">
        <v>172</v>
      </c>
      <c r="C207" t="s">
        <v>46</v>
      </c>
      <c r="D207" t="s">
        <v>17</v>
      </c>
      <c r="E207" t="s">
        <v>72</v>
      </c>
      <c r="F207" t="s">
        <v>19</v>
      </c>
      <c r="G207" t="s">
        <v>26</v>
      </c>
      <c r="H207" t="s">
        <v>21</v>
      </c>
      <c r="I207" t="s">
        <v>73</v>
      </c>
      <c r="J207" t="s">
        <v>23</v>
      </c>
      <c r="K207">
        <v>1343</v>
      </c>
      <c r="L207" s="4">
        <v>14.4361862</v>
      </c>
      <c r="M207" s="4">
        <v>144.12805935798102</v>
      </c>
      <c r="N207" s="4">
        <v>3.6049700607179436E-2</v>
      </c>
      <c r="O207" s="1" t="str">
        <f>HYPERLINK(".\sm_car_240831_0552\sm_car_240831_0552_206_Ca172TrN_MaRDP_ode23t_1.png","figure")</f>
        <v>figure</v>
      </c>
      <c r="P207" t="s">
        <v>15</v>
      </c>
    </row>
    <row r="208" spans="1:16" x14ac:dyDescent="0.25">
      <c r="A208">
        <v>207</v>
      </c>
      <c r="B208">
        <v>139</v>
      </c>
      <c r="C208" t="s">
        <v>45</v>
      </c>
      <c r="D208" t="s">
        <v>17</v>
      </c>
      <c r="E208" t="s">
        <v>18</v>
      </c>
      <c r="F208" t="s">
        <v>19</v>
      </c>
      <c r="G208" t="s">
        <v>26</v>
      </c>
      <c r="H208" t="s">
        <v>21</v>
      </c>
      <c r="I208" t="s">
        <v>74</v>
      </c>
      <c r="J208" t="s">
        <v>23</v>
      </c>
      <c r="K208">
        <v>1425</v>
      </c>
      <c r="L208" s="4">
        <v>16.335752599999999</v>
      </c>
      <c r="M208" s="4">
        <v>371.49017605651255</v>
      </c>
      <c r="N208" s="4">
        <v>0.81154442293087081</v>
      </c>
      <c r="O208" s="1" t="str">
        <f>HYPERLINK(".\sm_car_240831_0552\sm_car_240831_0552_207_Ca139TrN_MaZPL_ode23t_1.png","figure")</f>
        <v>figure</v>
      </c>
      <c r="P208" t="s">
        <v>15</v>
      </c>
    </row>
    <row r="209" spans="1:16" x14ac:dyDescent="0.25">
      <c r="A209">
        <v>208</v>
      </c>
      <c r="B209">
        <v>165</v>
      </c>
      <c r="C209" t="s">
        <v>45</v>
      </c>
      <c r="D209" t="s">
        <v>35</v>
      </c>
      <c r="E209" t="s">
        <v>49</v>
      </c>
      <c r="F209" t="s">
        <v>19</v>
      </c>
      <c r="G209" t="s">
        <v>26</v>
      </c>
      <c r="H209" t="s">
        <v>21</v>
      </c>
      <c r="I209" t="s">
        <v>74</v>
      </c>
      <c r="J209" t="s">
        <v>23</v>
      </c>
      <c r="K209">
        <v>2100</v>
      </c>
      <c r="L209" s="4">
        <v>10.747296</v>
      </c>
      <c r="M209" s="4">
        <v>397.66022427242137</v>
      </c>
      <c r="N209" s="4">
        <v>0.33478850000376997</v>
      </c>
      <c r="O209" s="1" t="str">
        <f>HYPERLINK(".\sm_car_240831_0552\sm_car_240831_0552_208_Ca165TrN_MaZPL_ode23t_1.png","figure")</f>
        <v>figure</v>
      </c>
      <c r="P209" t="s">
        <v>15</v>
      </c>
    </row>
    <row r="210" spans="1:16" x14ac:dyDescent="0.25">
      <c r="A210">
        <v>209</v>
      </c>
      <c r="B210">
        <v>171</v>
      </c>
      <c r="C210" t="s">
        <v>45</v>
      </c>
      <c r="D210" t="s">
        <v>17</v>
      </c>
      <c r="E210" t="s">
        <v>72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1446</v>
      </c>
      <c r="L210" s="4">
        <v>21.471158899999999</v>
      </c>
      <c r="M210" s="4">
        <v>371.05201521787399</v>
      </c>
      <c r="N210" s="4">
        <v>0.80529120515221708</v>
      </c>
      <c r="O210" s="1" t="str">
        <f>HYPERLINK(".\sm_car_240831_0552\sm_car_240831_0552_209_Ca171TrN_MaZPL_ode23t_1.png","figure")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75</v>
      </c>
      <c r="J211" t="s">
        <v>23</v>
      </c>
      <c r="K211">
        <v>500</v>
      </c>
      <c r="L211" s="4">
        <v>4.9184637999999996</v>
      </c>
      <c r="M211" s="4">
        <v>378.35912196626293</v>
      </c>
      <c r="N211" s="4">
        <v>0.32225264144950688</v>
      </c>
      <c r="O211" s="1" t="str">
        <f>HYPERLINK(".\sm_car_240831_0552\sm_car_240831_0552_210_Ca165TrN_MaCPL_ode23t_1.png","figure")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75</v>
      </c>
      <c r="J212" t="s">
        <v>23</v>
      </c>
      <c r="K212">
        <v>412</v>
      </c>
      <c r="L212" s="4">
        <v>16.205053700000001</v>
      </c>
      <c r="M212" s="4">
        <v>347.40648316636668</v>
      </c>
      <c r="N212" s="4">
        <v>0.70574701768388082</v>
      </c>
      <c r="O212" s="1" t="str">
        <f>HYPERLINK(".\sm_car_240831_0552\sm_car_240831_0552_211_Ca171TrN_MaCPL_ode23t_1.png","figure")</f>
        <v>figure</v>
      </c>
      <c r="P212" t="s">
        <v>15</v>
      </c>
    </row>
    <row r="213" spans="1:16" x14ac:dyDescent="0.25">
      <c r="A213">
        <v>212</v>
      </c>
      <c r="B213">
        <v>171</v>
      </c>
      <c r="C213" t="s">
        <v>45</v>
      </c>
      <c r="D213" t="s">
        <v>17</v>
      </c>
      <c r="E213" t="s">
        <v>72</v>
      </c>
      <c r="F213" t="s">
        <v>19</v>
      </c>
      <c r="G213" t="s">
        <v>26</v>
      </c>
      <c r="H213" t="s">
        <v>21</v>
      </c>
      <c r="I213" t="s">
        <v>76</v>
      </c>
      <c r="J213" t="s">
        <v>23</v>
      </c>
      <c r="K213">
        <v>2418</v>
      </c>
      <c r="L213" s="4">
        <v>40.800214699999998</v>
      </c>
      <c r="M213" s="4">
        <v>151.74108867555034</v>
      </c>
      <c r="N213" s="4">
        <v>1.8475176297232704E-3</v>
      </c>
      <c r="O213" s="1" t="str">
        <f>HYPERLINK(".\sm_car_240831_0552\sm_car_240831_0552_212_Ca171TrN_MaRDR_ode23t_1.png","figure")</f>
        <v>figure</v>
      </c>
      <c r="P213" t="s">
        <v>15</v>
      </c>
    </row>
    <row r="214" spans="1:16" x14ac:dyDescent="0.25">
      <c r="A214">
        <v>213</v>
      </c>
      <c r="B214">
        <v>172</v>
      </c>
      <c r="C214" t="s">
        <v>46</v>
      </c>
      <c r="D214" t="s">
        <v>17</v>
      </c>
      <c r="E214" t="s">
        <v>72</v>
      </c>
      <c r="F214" t="s">
        <v>19</v>
      </c>
      <c r="G214" t="s">
        <v>26</v>
      </c>
      <c r="H214" t="s">
        <v>21</v>
      </c>
      <c r="I214" t="s">
        <v>76</v>
      </c>
      <c r="J214" t="s">
        <v>23</v>
      </c>
      <c r="K214">
        <v>2783</v>
      </c>
      <c r="L214" s="4">
        <v>24.447963000000001</v>
      </c>
      <c r="M214" s="4">
        <v>146.55474750030797</v>
      </c>
      <c r="N214" s="4">
        <v>-4.7447260205888764E-3</v>
      </c>
      <c r="O214" s="1" t="str">
        <f>HYPERLINK(".\sm_car_240831_0552\sm_car_240831_0552_213_Ca172TrN_MaRDR_ode23t_1.png","figure")</f>
        <v>figure</v>
      </c>
      <c r="P214" t="s">
        <v>15</v>
      </c>
    </row>
    <row r="215" spans="1:16" x14ac:dyDescent="0.25">
      <c r="A215">
        <v>214</v>
      </c>
      <c r="B215">
        <v>139</v>
      </c>
      <c r="C215" t="s">
        <v>45</v>
      </c>
      <c r="D215" t="s">
        <v>17</v>
      </c>
      <c r="E215" t="s">
        <v>18</v>
      </c>
      <c r="F215" t="s">
        <v>19</v>
      </c>
      <c r="G215" t="s">
        <v>26</v>
      </c>
      <c r="H215" t="s">
        <v>21</v>
      </c>
      <c r="I215" t="s">
        <v>77</v>
      </c>
      <c r="J215" t="s">
        <v>23</v>
      </c>
      <c r="K215">
        <v>2959</v>
      </c>
      <c r="L215" s="4">
        <v>31.823350699999999</v>
      </c>
      <c r="M215" s="4">
        <v>175.85405729541802</v>
      </c>
      <c r="N215" s="4">
        <v>8.8221899116903871E-4</v>
      </c>
      <c r="O215" s="1" t="str">
        <f>HYPERLINK(".\sm_car_240831_0552\sm_car_240831_0552_214_Ca139TrN_MaZRR_ode23t_1.png","figure")</f>
        <v>figure</v>
      </c>
      <c r="P215" t="s">
        <v>15</v>
      </c>
    </row>
    <row r="216" spans="1:16" x14ac:dyDescent="0.25">
      <c r="A216">
        <v>215</v>
      </c>
      <c r="B216">
        <v>165</v>
      </c>
      <c r="C216" t="s">
        <v>45</v>
      </c>
      <c r="D216" t="s">
        <v>35</v>
      </c>
      <c r="E216" t="s">
        <v>49</v>
      </c>
      <c r="F216" t="s">
        <v>19</v>
      </c>
      <c r="G216" t="s">
        <v>26</v>
      </c>
      <c r="H216" t="s">
        <v>21</v>
      </c>
      <c r="I216" t="s">
        <v>77</v>
      </c>
      <c r="J216" t="s">
        <v>23</v>
      </c>
      <c r="K216">
        <v>3544</v>
      </c>
      <c r="L216" s="4">
        <v>20.4311033</v>
      </c>
      <c r="M216" s="4">
        <v>176.08867186555739</v>
      </c>
      <c r="N216" s="4">
        <v>8.5499157219634354E-5</v>
      </c>
      <c r="O216" s="1" t="str">
        <f>HYPERLINK(".\sm_car_240831_0552\sm_car_240831_0552_215_Ca165TrN_MaZRR_ode23t_1.png","figure")</f>
        <v>figure</v>
      </c>
      <c r="P216" t="s">
        <v>15</v>
      </c>
    </row>
    <row r="217" spans="1:16" x14ac:dyDescent="0.25">
      <c r="A217">
        <v>216</v>
      </c>
      <c r="B217">
        <v>171</v>
      </c>
      <c r="C217" t="s">
        <v>45</v>
      </c>
      <c r="D217" t="s">
        <v>17</v>
      </c>
      <c r="E217" t="s">
        <v>72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2983</v>
      </c>
      <c r="L217" s="4">
        <v>45.074329200000001</v>
      </c>
      <c r="M217" s="4">
        <v>175.86266334473964</v>
      </c>
      <c r="N217" s="4">
        <v>8.756773512580675E-4</v>
      </c>
      <c r="O217" s="1" t="str">
        <f>HYPERLINK(".\sm_car_240831_0552\sm_car_240831_0552_216_Ca171TrN_MaZRR_ode23t_1.png","figure")</f>
        <v>figure</v>
      </c>
      <c r="P217" t="s">
        <v>15</v>
      </c>
    </row>
    <row r="218" spans="1:16" x14ac:dyDescent="0.25">
      <c r="A218">
        <v>217</v>
      </c>
      <c r="B218">
        <v>170</v>
      </c>
      <c r="C218" t="s">
        <v>45</v>
      </c>
      <c r="D218" t="s">
        <v>35</v>
      </c>
      <c r="E218" t="s">
        <v>49</v>
      </c>
      <c r="F218" t="s">
        <v>19</v>
      </c>
      <c r="G218" t="s">
        <v>20</v>
      </c>
      <c r="H218" t="s">
        <v>21</v>
      </c>
      <c r="I218" t="s">
        <v>78</v>
      </c>
      <c r="J218" t="s">
        <v>23</v>
      </c>
      <c r="K218">
        <v>5208</v>
      </c>
      <c r="L218" s="4">
        <v>18.255090599999999</v>
      </c>
      <c r="M218" s="4">
        <v>-14.028981417998676</v>
      </c>
      <c r="N218" s="4">
        <v>3.5161113590662339E-2</v>
      </c>
      <c r="O218" s="1" t="str">
        <f>HYPERLINK(".\sm_car_240831_0552\sm_car_240831_0552_217_Ca170TrN_MaCMP_ode23t_1.png","figure")</f>
        <v>figure</v>
      </c>
      <c r="P218" t="s">
        <v>15</v>
      </c>
    </row>
    <row r="219" spans="1:16" x14ac:dyDescent="0.25">
      <c r="A219">
        <v>218</v>
      </c>
      <c r="B219">
        <v>170</v>
      </c>
      <c r="C219" t="s">
        <v>45</v>
      </c>
      <c r="D219" t="s">
        <v>35</v>
      </c>
      <c r="E219" t="s">
        <v>49</v>
      </c>
      <c r="F219" t="s">
        <v>19</v>
      </c>
      <c r="G219" t="s">
        <v>20</v>
      </c>
      <c r="H219" t="s">
        <v>21</v>
      </c>
      <c r="I219" t="s">
        <v>79</v>
      </c>
      <c r="J219" t="s">
        <v>23</v>
      </c>
      <c r="K219">
        <v>1948</v>
      </c>
      <c r="L219" s="4">
        <v>13.107488399999999</v>
      </c>
      <c r="M219" s="4">
        <v>-14.040675688326502</v>
      </c>
      <c r="N219" s="4">
        <v>3.5294058426109227E-2</v>
      </c>
      <c r="O219" s="1" t="str">
        <f>HYPERLINK(".\sm_car_240831_0552\sm_car_240831_0552_218_Ca170TrN_MaCMF_ode23t_1.png","figure")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80</v>
      </c>
      <c r="J220" t="s">
        <v>23</v>
      </c>
      <c r="K220">
        <v>4917</v>
      </c>
      <c r="L220" s="4">
        <v>42.087222699999998</v>
      </c>
      <c r="M220" s="4">
        <v>-329.43368646608934</v>
      </c>
      <c r="N220" s="4">
        <v>6.1253057715011154</v>
      </c>
      <c r="O220" s="1" t="str">
        <f>HYPERLINK(".\sm_car_240831_0552\sm_car_240831_0552_219_Ca170TrN_MaMPO_ode23t_1.png","figure")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81</v>
      </c>
      <c r="J221" t="s">
        <v>23</v>
      </c>
      <c r="K221">
        <v>2733</v>
      </c>
      <c r="L221" s="4">
        <v>15.1898578</v>
      </c>
      <c r="M221" s="4">
        <v>-13.867543902975022</v>
      </c>
      <c r="N221" s="4">
        <v>0.22371108861523226</v>
      </c>
      <c r="O221" s="1" t="str">
        <f>HYPERLINK(".\sm_car_240831_0552\sm_car_240831_0552_220_Ca170TrN_MaMCI_ode23t_1.png","figure")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111</v>
      </c>
      <c r="J222" t="s">
        <v>23</v>
      </c>
      <c r="K222">
        <v>6643</v>
      </c>
      <c r="L222" s="4">
        <v>23.1243157</v>
      </c>
      <c r="M222" s="4">
        <v>-12.033368409038102</v>
      </c>
      <c r="N222" s="4">
        <v>6.3914318433054068E-3</v>
      </c>
      <c r="O222" s="1" t="str">
        <f>HYPERLINK(".\sm_car_240831_0552\sm_car_240831_0552_221_Ca170TrN_MaCHO_ode23t_1.png","figure")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112</v>
      </c>
      <c r="J223" t="s">
        <v>23</v>
      </c>
      <c r="K223">
        <v>3968</v>
      </c>
      <c r="L223" s="4">
        <v>20.6911424</v>
      </c>
      <c r="M223" s="4">
        <v>-12.037484511018302</v>
      </c>
      <c r="N223" s="4">
        <v>6.4143841677320838E-3</v>
      </c>
      <c r="O223" s="1" t="str">
        <f>HYPERLINK(".\sm_car_240831_0552\sm_car_240831_0552_222_Ca170TrN_MaCHF_ode23t_1.png","figure")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82</v>
      </c>
      <c r="J224" t="s">
        <v>23</v>
      </c>
      <c r="K224">
        <v>7377</v>
      </c>
      <c r="L224" s="4">
        <v>42.337076199999998</v>
      </c>
      <c r="M224" s="4">
        <v>-690.29792798786241</v>
      </c>
      <c r="N224" s="4">
        <v>577.05830751534177</v>
      </c>
      <c r="O224" s="1" t="str">
        <f>HYPERLINK(".\sm_car_240831_0552\sm_car_240831_0552_223_Ca170TrN_MaCKY_ode23t_1.png","figure")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83</v>
      </c>
      <c r="J225" t="s">
        <v>23</v>
      </c>
      <c r="K225">
        <v>2409</v>
      </c>
      <c r="L225" s="4">
        <v>20.048158000000001</v>
      </c>
      <c r="M225" s="4">
        <v>-758.7213276945937</v>
      </c>
      <c r="N225" s="4">
        <v>632.72974261370405</v>
      </c>
      <c r="O225" s="1" t="str">
        <f>HYPERLINK(".\sm_car_240831_0552\sm_car_240831_0552_224_Ca170TrN_MaCKF_ode23t_1.png","figure")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84</v>
      </c>
      <c r="J226" t="s">
        <v>23</v>
      </c>
      <c r="K226">
        <v>2891</v>
      </c>
      <c r="L226" s="4">
        <v>20.762042300000001</v>
      </c>
      <c r="M226" s="4">
        <v>177.35370114165696</v>
      </c>
      <c r="N226" s="4">
        <v>288.27143706702725</v>
      </c>
      <c r="O226" s="1" t="str">
        <f>HYPERLINK(".\sm_car_240831_0552\sm_car_240831_0552_225_Ca170TrN_MaCNN_ode23t_1.png","figure")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85</v>
      </c>
      <c r="J227" t="s">
        <v>23</v>
      </c>
      <c r="K227">
        <v>4881</v>
      </c>
      <c r="L227" s="4">
        <v>69.208584400000007</v>
      </c>
      <c r="M227" s="4">
        <v>2994.8434909539014</v>
      </c>
      <c r="N227" s="4">
        <v>-3064.9249836061031</v>
      </c>
      <c r="O227" s="1" t="str">
        <f>HYPERLINK(".\sm_car_240831_0552\sm_car_240831_0552_226_Ca170TrN_MaCNF_ode23t_1.png","figure")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86</v>
      </c>
      <c r="J228" t="s">
        <v>23</v>
      </c>
      <c r="K228">
        <v>2949</v>
      </c>
      <c r="L228" s="4">
        <v>14.0661852</v>
      </c>
      <c r="M228" s="4">
        <v>522.24623288301598</v>
      </c>
      <c r="N228" s="4">
        <v>-164.33241345556178</v>
      </c>
      <c r="O228" s="1" t="str">
        <f>HYPERLINK(".\sm_car_240831_0552\sm_car_240831_0552_227_Ca170TrN_MaCSZ_ode23t_1.png","figure")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87</v>
      </c>
      <c r="J229" t="s">
        <v>23</v>
      </c>
      <c r="K229">
        <v>5998</v>
      </c>
      <c r="L229" s="4">
        <v>91.420316299999996</v>
      </c>
      <c r="M229" s="4">
        <v>-17.95945732797383</v>
      </c>
      <c r="N229" s="4">
        <v>5.842955337907197E-2</v>
      </c>
      <c r="O229" s="1" t="str">
        <f>HYPERLINK(".\sm_car_240831_0552\sm_car_240831_0552_228_Ca170TrN_MaCSF_ode23t_1.png","figure")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88</v>
      </c>
      <c r="J230" t="s">
        <v>23</v>
      </c>
      <c r="K230">
        <v>2079</v>
      </c>
      <c r="L230" s="4">
        <v>15.993843</v>
      </c>
      <c r="M230" s="4">
        <v>209.02517465689166</v>
      </c>
      <c r="N230" s="4">
        <v>379.2481834404341</v>
      </c>
      <c r="O230" s="1" t="str">
        <f>HYPERLINK(".\sm_car_240831_0552\sm_car_240831_0552_229_Ca170TrN_MaCPU_ode23t_1.png","figure")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89</v>
      </c>
      <c r="J231" t="s">
        <v>23</v>
      </c>
      <c r="K231">
        <v>2563</v>
      </c>
      <c r="L231" s="4">
        <v>17.473148399999999</v>
      </c>
      <c r="M231" s="4">
        <v>183.03376185166962</v>
      </c>
      <c r="N231" s="4">
        <v>-170.24136995414847</v>
      </c>
      <c r="O231" s="1" t="str">
        <f>HYPERLINK(".\sm_car_240831_0552\sm_car_240831_0552_230_Ca170TrN_MaCPD_ode23t_1.png","figure")</f>
        <v>figure</v>
      </c>
      <c r="P231" t="s">
        <v>15</v>
      </c>
    </row>
    <row r="232" spans="1:16" x14ac:dyDescent="0.25">
      <c r="A232">
        <v>231</v>
      </c>
      <c r="B232">
        <v>202</v>
      </c>
      <c r="C232" t="s">
        <v>45</v>
      </c>
      <c r="D232" t="s">
        <v>35</v>
      </c>
      <c r="E232" t="s">
        <v>108</v>
      </c>
      <c r="F232" t="s">
        <v>19</v>
      </c>
      <c r="G232" t="s">
        <v>20</v>
      </c>
      <c r="H232" t="s">
        <v>21</v>
      </c>
      <c r="I232" t="s">
        <v>79</v>
      </c>
      <c r="J232" t="s">
        <v>23</v>
      </c>
      <c r="K232">
        <v>1937</v>
      </c>
      <c r="L232" s="4">
        <v>4.3484980000000002</v>
      </c>
      <c r="M232" s="4">
        <v>-14.04094933211889</v>
      </c>
      <c r="N232" s="4">
        <v>3.5277991797842287E-2</v>
      </c>
      <c r="O232" s="1" t="str">
        <f>HYPERLINK(".\sm_car_240831_0552\sm_car_240831_0552_231_Ca202TrN_MaCMF_ode23t_1.png","figure")</f>
        <v>figure</v>
      </c>
      <c r="P232" t="s">
        <v>15</v>
      </c>
    </row>
    <row r="233" spans="1:16" x14ac:dyDescent="0.25">
      <c r="A233">
        <v>232</v>
      </c>
      <c r="B233">
        <v>202</v>
      </c>
      <c r="C233" t="s">
        <v>45</v>
      </c>
      <c r="D233" t="s">
        <v>35</v>
      </c>
      <c r="E233" t="s">
        <v>108</v>
      </c>
      <c r="F233" t="s">
        <v>19</v>
      </c>
      <c r="G233" t="s">
        <v>20</v>
      </c>
      <c r="H233" t="s">
        <v>21</v>
      </c>
      <c r="I233" t="s">
        <v>80</v>
      </c>
      <c r="J233" t="s">
        <v>23</v>
      </c>
      <c r="K233">
        <v>4834</v>
      </c>
      <c r="L233" s="4">
        <v>22.944673300000002</v>
      </c>
      <c r="M233" s="4">
        <v>-329.43360892717982</v>
      </c>
      <c r="N233" s="4">
        <v>6.1251567966641289</v>
      </c>
      <c r="O233" s="1" t="str">
        <f>HYPERLINK(".\sm_car_240831_0552\sm_car_240831_0552_232_Ca202TrN_MaMPO_ode23t_1.png","figure")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108</v>
      </c>
      <c r="F234" t="s">
        <v>19</v>
      </c>
      <c r="G234" t="s">
        <v>20</v>
      </c>
      <c r="H234" t="s">
        <v>21</v>
      </c>
      <c r="I234" t="s">
        <v>81</v>
      </c>
      <c r="J234" t="s">
        <v>23</v>
      </c>
      <c r="K234">
        <v>2818</v>
      </c>
      <c r="L234" s="4">
        <v>8.8514283999999996</v>
      </c>
      <c r="M234" s="4">
        <v>-13.868150108725004</v>
      </c>
      <c r="N234" s="4">
        <v>0.22323668345262604</v>
      </c>
      <c r="O234" s="1" t="str">
        <f>HYPERLINK(".\sm_car_240831_0552\sm_car_240831_0552_233_Ca202TrN_MaMCI_ode23t_1.png","figure")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108</v>
      </c>
      <c r="F235" t="s">
        <v>19</v>
      </c>
      <c r="G235" t="s">
        <v>20</v>
      </c>
      <c r="H235" t="s">
        <v>21</v>
      </c>
      <c r="I235" t="s">
        <v>83</v>
      </c>
      <c r="J235" t="s">
        <v>23</v>
      </c>
      <c r="K235">
        <v>4137</v>
      </c>
      <c r="L235" s="4">
        <v>11.5521198</v>
      </c>
      <c r="M235" s="4">
        <v>-17.997940730482419</v>
      </c>
      <c r="N235" s="4">
        <v>6.8055025873395E-2</v>
      </c>
      <c r="O235" s="1" t="str">
        <f>HYPERLINK(".\sm_car_240831_0552\sm_car_240831_0552_234_Ca202TrN_MaCKF_ode23t_1.png","figure")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108</v>
      </c>
      <c r="F236" t="s">
        <v>19</v>
      </c>
      <c r="G236" t="s">
        <v>20</v>
      </c>
      <c r="H236" t="s">
        <v>21</v>
      </c>
      <c r="I236" t="s">
        <v>85</v>
      </c>
      <c r="J236" t="s">
        <v>23</v>
      </c>
      <c r="K236">
        <v>11573</v>
      </c>
      <c r="L236" s="4">
        <v>145.77980840000001</v>
      </c>
      <c r="M236" s="4">
        <v>-20.78873108307284</v>
      </c>
      <c r="N236" s="4">
        <v>0.22837935717616323</v>
      </c>
      <c r="O236" s="1" t="str">
        <f>HYPERLINK(".\sm_car_240831_0552\sm_car_240831_0552_235_Ca202TrN_MaCNF_ode23t_1.png","figure")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108</v>
      </c>
      <c r="F237" t="s">
        <v>19</v>
      </c>
      <c r="G237" t="s">
        <v>20</v>
      </c>
      <c r="H237" t="s">
        <v>21</v>
      </c>
      <c r="I237" t="s">
        <v>87</v>
      </c>
      <c r="J237" t="s">
        <v>23</v>
      </c>
      <c r="K237">
        <v>5995</v>
      </c>
      <c r="L237" s="4">
        <v>45.755321799999997</v>
      </c>
      <c r="M237" s="4">
        <v>-17.909579057868321</v>
      </c>
      <c r="N237" s="4">
        <v>5.7827056997631208E-2</v>
      </c>
      <c r="O237" s="1" t="str">
        <f>HYPERLINK(".\sm_car_240831_0552\sm_car_240831_0552_236_Ca202TrN_MaCSF_ode23t_1.png","figure")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108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5471</v>
      </c>
      <c r="L238" s="4">
        <v>18.476208400000001</v>
      </c>
      <c r="M238" s="4">
        <v>-14.039292720109154</v>
      </c>
      <c r="N238" s="4">
        <v>3.5249955902446561E-2</v>
      </c>
      <c r="O238" s="1" t="str">
        <f>HYPERLINK(".\sm_car_240831_0552\sm_car_240831_0552_237_Ca202TrN_MaCMP_ode23t_1.png","figure")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108</v>
      </c>
      <c r="F239" t="s">
        <v>19</v>
      </c>
      <c r="G239" t="s">
        <v>20</v>
      </c>
      <c r="H239" t="s">
        <v>21</v>
      </c>
      <c r="I239" t="s">
        <v>82</v>
      </c>
      <c r="J239" t="s">
        <v>23</v>
      </c>
      <c r="K239">
        <v>15539</v>
      </c>
      <c r="L239" s="4">
        <v>62.112348400000002</v>
      </c>
      <c r="M239" s="4">
        <v>-18.002946008823145</v>
      </c>
      <c r="N239" s="4">
        <v>6.7055674562611509E-2</v>
      </c>
      <c r="O239" s="1" t="str">
        <f>HYPERLINK(".\sm_car_240831_0552\sm_car_240831_0552_238_Ca202TrN_MaCKY_ode23t_1.png","figure")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108</v>
      </c>
      <c r="F240" t="s">
        <v>19</v>
      </c>
      <c r="G240" t="s">
        <v>20</v>
      </c>
      <c r="H240" t="s">
        <v>21</v>
      </c>
      <c r="I240" t="s">
        <v>75</v>
      </c>
      <c r="J240" t="s">
        <v>23</v>
      </c>
      <c r="K240">
        <v>452</v>
      </c>
      <c r="L240" s="4">
        <v>3.3337317</v>
      </c>
      <c r="M240" s="4">
        <v>381.37486659164909</v>
      </c>
      <c r="N240" s="4">
        <v>0.32857745548546308</v>
      </c>
      <c r="O240" s="1" t="str">
        <f>HYPERLINK(".\sm_car_240831_0552\sm_car_240831_0552_239_Ca202TrN_MaCPL_ode23t_1.png","figure")</f>
        <v>figure</v>
      </c>
      <c r="P240" t="s">
        <v>15</v>
      </c>
    </row>
    <row r="241" spans="1:16" x14ac:dyDescent="0.25">
      <c r="A241">
        <v>240</v>
      </c>
      <c r="B241">
        <v>140</v>
      </c>
      <c r="C241" t="s">
        <v>45</v>
      </c>
      <c r="D241" t="s">
        <v>17</v>
      </c>
      <c r="E241" t="s">
        <v>49</v>
      </c>
      <c r="F241" t="s">
        <v>19</v>
      </c>
      <c r="G241" t="s">
        <v>26</v>
      </c>
      <c r="H241" t="s">
        <v>21</v>
      </c>
      <c r="I241" t="s">
        <v>113</v>
      </c>
      <c r="J241" t="s">
        <v>23</v>
      </c>
      <c r="K241">
        <v>2596</v>
      </c>
      <c r="L241" s="4">
        <v>38.227037099999997</v>
      </c>
      <c r="M241" s="4">
        <v>175.66092837559697</v>
      </c>
      <c r="N241" s="4">
        <v>7.4693803280427747E-4</v>
      </c>
      <c r="O241" s="1" t="str">
        <f>HYPERLINK(".\sm_car_240831_0552\sm_car_240831_0552_240_Ca140TrN_MaCRR_ode23t_1.png","figure")</f>
        <v>figure</v>
      </c>
      <c r="P241" t="s">
        <v>15</v>
      </c>
    </row>
    <row r="242" spans="1:16" x14ac:dyDescent="0.25">
      <c r="A242">
        <v>241</v>
      </c>
      <c r="B242">
        <v>189</v>
      </c>
      <c r="C242" t="s">
        <v>45</v>
      </c>
      <c r="D242" t="s">
        <v>17</v>
      </c>
      <c r="E242" t="s">
        <v>108</v>
      </c>
      <c r="F242" t="s">
        <v>19</v>
      </c>
      <c r="G242" t="s">
        <v>26</v>
      </c>
      <c r="H242" t="s">
        <v>21</v>
      </c>
      <c r="I242" t="s">
        <v>113</v>
      </c>
      <c r="J242" t="s">
        <v>23</v>
      </c>
      <c r="K242">
        <v>3294</v>
      </c>
      <c r="L242" s="4">
        <v>41.697895199999998</v>
      </c>
      <c r="M242" s="4">
        <v>175.71686635837548</v>
      </c>
      <c r="N242" s="4">
        <v>7.7967873512296468E-4</v>
      </c>
      <c r="O242" s="1" t="str">
        <f>HYPERLINK(".\sm_car_240831_0552\sm_car_240831_0552_241_Ca189TrN_MaCRR_ode23t_1.png","figure")</f>
        <v>figure</v>
      </c>
      <c r="P242" t="s">
        <v>15</v>
      </c>
    </row>
    <row r="243" spans="1:16" x14ac:dyDescent="0.25">
      <c r="A243">
        <v>242</v>
      </c>
      <c r="B243">
        <v>173</v>
      </c>
      <c r="C243" t="s">
        <v>45</v>
      </c>
      <c r="D243" t="s">
        <v>35</v>
      </c>
      <c r="E243" t="s">
        <v>49</v>
      </c>
      <c r="F243" t="s">
        <v>19</v>
      </c>
      <c r="G243" t="s">
        <v>90</v>
      </c>
      <c r="H243" t="s">
        <v>21</v>
      </c>
      <c r="I243" t="s">
        <v>91</v>
      </c>
      <c r="J243" t="s">
        <v>92</v>
      </c>
      <c r="K243">
        <v>1681</v>
      </c>
      <c r="L243" s="4">
        <v>83.579495800000004</v>
      </c>
      <c r="M243" s="4">
        <v>51.30059800151848</v>
      </c>
      <c r="N243" s="4">
        <v>9.0091380919609387E-3</v>
      </c>
      <c r="O243" s="1" t="str">
        <f>HYPERLINK(".\sm_car_240831_0552\sm_car_240831_0552_242_Ca173TrN_MaDCA_daessc_1.png","figure")</f>
        <v>figure</v>
      </c>
      <c r="P243" t="s">
        <v>15</v>
      </c>
    </row>
    <row r="244" spans="1:16" x14ac:dyDescent="0.25">
      <c r="A244">
        <v>243</v>
      </c>
      <c r="B244">
        <v>173</v>
      </c>
      <c r="C244" t="s">
        <v>45</v>
      </c>
      <c r="D244" t="s">
        <v>35</v>
      </c>
      <c r="E244" t="s">
        <v>49</v>
      </c>
      <c r="F244" t="s">
        <v>19</v>
      </c>
      <c r="G244" t="s">
        <v>90</v>
      </c>
      <c r="H244" t="s">
        <v>21</v>
      </c>
      <c r="I244" t="s">
        <v>93</v>
      </c>
      <c r="J244" t="s">
        <v>92</v>
      </c>
      <c r="K244">
        <v>4198</v>
      </c>
      <c r="L244" s="4">
        <v>139.5483773</v>
      </c>
      <c r="M244" s="4">
        <v>980.46491388483048</v>
      </c>
      <c r="N244" s="4">
        <v>0.7224676736559712</v>
      </c>
      <c r="O244" s="1" t="str">
        <f>HYPERLINK(".\sm_car_240831_0552\sm_car_240831_0552_243_Ca173TrN_MaDC1_daessc_1.png","figure")</f>
        <v>figure</v>
      </c>
      <c r="P244" t="s">
        <v>15</v>
      </c>
    </row>
    <row r="245" spans="1:16" x14ac:dyDescent="0.25">
      <c r="A245">
        <v>244</v>
      </c>
      <c r="B245">
        <v>165</v>
      </c>
      <c r="C245" t="s">
        <v>45</v>
      </c>
      <c r="D245" t="s">
        <v>35</v>
      </c>
      <c r="E245" t="s">
        <v>49</v>
      </c>
      <c r="F245" t="s">
        <v>19</v>
      </c>
      <c r="G245" t="s">
        <v>26</v>
      </c>
      <c r="H245" t="s">
        <v>21</v>
      </c>
      <c r="I245" t="s">
        <v>91</v>
      </c>
      <c r="J245" t="s">
        <v>23</v>
      </c>
      <c r="K245">
        <v>323</v>
      </c>
      <c r="L245" s="4">
        <v>4.1159075999999999</v>
      </c>
      <c r="M245" s="4">
        <v>53.509373479271758</v>
      </c>
      <c r="N245" s="4">
        <v>9.8722696429461403E-3</v>
      </c>
      <c r="O245" s="1" t="str">
        <f>HYPERLINK(".\sm_car_240831_0552\sm_car_240831_0552_244_Ca165TrN_MaDCA_ode23t_1.png","figure")</f>
        <v>figure</v>
      </c>
      <c r="P245" t="s">
        <v>15</v>
      </c>
    </row>
    <row r="246" spans="1:16" x14ac:dyDescent="0.25">
      <c r="A246">
        <v>245</v>
      </c>
      <c r="B246">
        <v>165</v>
      </c>
      <c r="C246" t="s">
        <v>45</v>
      </c>
      <c r="D246" t="s">
        <v>35</v>
      </c>
      <c r="E246" t="s">
        <v>49</v>
      </c>
      <c r="F246" t="s">
        <v>19</v>
      </c>
      <c r="G246" t="s">
        <v>26</v>
      </c>
      <c r="H246" t="s">
        <v>21</v>
      </c>
      <c r="I246" t="s">
        <v>93</v>
      </c>
      <c r="J246" t="s">
        <v>23</v>
      </c>
      <c r="K246">
        <v>1201</v>
      </c>
      <c r="L246" s="4">
        <v>8.4429599999999994</v>
      </c>
      <c r="M246" s="4">
        <v>992.65342631927797</v>
      </c>
      <c r="N246" s="4">
        <v>0.73146900651920777</v>
      </c>
      <c r="O246" s="1" t="str">
        <f>HYPERLINK(".\sm_car_240831_0552\sm_car_240831_0552_245_Ca165TrN_MaDC1_ode23t_1.png","figure")</f>
        <v>figure</v>
      </c>
      <c r="P246" t="s">
        <v>15</v>
      </c>
    </row>
    <row r="247" spans="1:16" x14ac:dyDescent="0.25">
      <c r="A247">
        <v>246</v>
      </c>
      <c r="B247">
        <v>196</v>
      </c>
      <c r="C247" t="s">
        <v>45</v>
      </c>
      <c r="D247" t="s">
        <v>35</v>
      </c>
      <c r="E247" t="s">
        <v>108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4120</v>
      </c>
      <c r="L247" s="4">
        <v>69.749544599999993</v>
      </c>
      <c r="M247" s="4">
        <v>980.46216735002872</v>
      </c>
      <c r="N247" s="4">
        <v>0.72246464000699073</v>
      </c>
      <c r="O247" s="1" t="str">
        <f>HYPERLINK(".\sm_car_240831_0552\sm_car_240831_0552_246_Ca196TrN_MaDC1_daessc_1.png","figure")</f>
        <v>figure</v>
      </c>
      <c r="P247" t="s">
        <v>15</v>
      </c>
    </row>
    <row r="248" spans="1:16" x14ac:dyDescent="0.25">
      <c r="A248">
        <v>247</v>
      </c>
      <c r="B248">
        <v>179</v>
      </c>
      <c r="C248" t="s">
        <v>45</v>
      </c>
      <c r="D248" t="s">
        <v>57</v>
      </c>
      <c r="E248" t="s">
        <v>18</v>
      </c>
      <c r="F248" t="s">
        <v>19</v>
      </c>
      <c r="G248" t="s">
        <v>26</v>
      </c>
      <c r="H248" t="s">
        <v>21</v>
      </c>
      <c r="I248" t="s">
        <v>22</v>
      </c>
      <c r="J248" t="s">
        <v>23</v>
      </c>
      <c r="K248">
        <v>488</v>
      </c>
      <c r="L248" s="4">
        <v>5.5345635</v>
      </c>
      <c r="M248" s="4">
        <v>147.81605712727492</v>
      </c>
      <c r="N248" s="4">
        <v>9.4625708496034577E-2</v>
      </c>
      <c r="O248" s="1" t="str">
        <f>HYPERLINK(".\sm_car_240831_0552\sm_car_240831_0552_247_Ca179TrN_MaWOT_ode23t_1.png","figure")</f>
        <v>figure</v>
      </c>
      <c r="P248" t="s">
        <v>15</v>
      </c>
    </row>
    <row r="249" spans="1:16" x14ac:dyDescent="0.25">
      <c r="A249">
        <v>248</v>
      </c>
      <c r="B249">
        <v>180</v>
      </c>
      <c r="C249" t="s">
        <v>45</v>
      </c>
      <c r="D249" t="s">
        <v>57</v>
      </c>
      <c r="E249" t="s">
        <v>49</v>
      </c>
      <c r="F249" t="s">
        <v>19</v>
      </c>
      <c r="G249" t="s">
        <v>26</v>
      </c>
      <c r="H249" t="s">
        <v>21</v>
      </c>
      <c r="I249" t="s">
        <v>22</v>
      </c>
      <c r="J249" t="s">
        <v>23</v>
      </c>
      <c r="K249">
        <v>514</v>
      </c>
      <c r="L249" s="4">
        <v>7.2324697999999996</v>
      </c>
      <c r="M249" s="4">
        <v>147.83260029758102</v>
      </c>
      <c r="N249" s="4">
        <v>9.4504754045573153E-2</v>
      </c>
      <c r="O249" s="1" t="str">
        <f>HYPERLINK(".\sm_car_240831_0552\sm_car_240831_0552_248_Ca180TrN_MaWOT_ode23t_1.png","figure")</f>
        <v>figure</v>
      </c>
      <c r="P249" t="s">
        <v>15</v>
      </c>
    </row>
    <row r="250" spans="1:16" x14ac:dyDescent="0.25">
      <c r="A250">
        <v>249</v>
      </c>
      <c r="B250">
        <v>197</v>
      </c>
      <c r="C250" t="s">
        <v>45</v>
      </c>
      <c r="D250" t="s">
        <v>57</v>
      </c>
      <c r="E250" t="s">
        <v>108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468</v>
      </c>
      <c r="L250" s="4">
        <v>2.2081900999999999</v>
      </c>
      <c r="M250" s="4">
        <v>147.85948401684769</v>
      </c>
      <c r="N250" s="4">
        <v>9.4523583503709013E-2</v>
      </c>
      <c r="O250" s="1" t="str">
        <f>HYPERLINK(".\sm_car_240831_0552\sm_car_240831_0552_249_Ca197TrN_MaWOT_ode23t_1.png","figure")</f>
        <v>figure</v>
      </c>
      <c r="P250" t="s">
        <v>15</v>
      </c>
    </row>
    <row r="251" spans="1:16" x14ac:dyDescent="0.25">
      <c r="A251">
        <v>250</v>
      </c>
      <c r="B251">
        <v>182</v>
      </c>
      <c r="C251" t="s">
        <v>45</v>
      </c>
      <c r="D251" t="s">
        <v>17</v>
      </c>
      <c r="E251" t="s">
        <v>49</v>
      </c>
      <c r="F251" t="s">
        <v>19</v>
      </c>
      <c r="G251" t="s">
        <v>26</v>
      </c>
      <c r="H251" t="s">
        <v>21</v>
      </c>
      <c r="I251" t="s">
        <v>64</v>
      </c>
      <c r="J251" t="s">
        <v>23</v>
      </c>
      <c r="K251">
        <v>421</v>
      </c>
      <c r="L251" s="4">
        <v>14.2165514</v>
      </c>
      <c r="M251" s="4">
        <v>63.227172416907337</v>
      </c>
      <c r="N251" s="4">
        <v>-25.378190011468046</v>
      </c>
      <c r="O251" s="1" t="str">
        <f>HYPERLINK(".\sm_car_240831_0552\sm_car_240831_0552_250_Ca182TrN_MaTUR_ode23t_1.png","figure")</f>
        <v>figure</v>
      </c>
      <c r="P251" t="s">
        <v>15</v>
      </c>
    </row>
    <row r="252" spans="1:16" x14ac:dyDescent="0.25">
      <c r="A252">
        <v>251</v>
      </c>
      <c r="B252">
        <v>203</v>
      </c>
      <c r="C252" t="s">
        <v>45</v>
      </c>
      <c r="D252" t="s">
        <v>17</v>
      </c>
      <c r="E252" t="s">
        <v>108</v>
      </c>
      <c r="F252" t="s">
        <v>19</v>
      </c>
      <c r="G252" t="s">
        <v>26</v>
      </c>
      <c r="H252" t="s">
        <v>21</v>
      </c>
      <c r="I252" t="s">
        <v>64</v>
      </c>
      <c r="J252" t="s">
        <v>23</v>
      </c>
      <c r="K252">
        <v>351</v>
      </c>
      <c r="L252" s="4">
        <v>5.5574747000000002</v>
      </c>
      <c r="M252" s="4">
        <v>63.21430152446672</v>
      </c>
      <c r="N252" s="4">
        <v>-25.381027537908963</v>
      </c>
      <c r="O252" s="1" t="str">
        <f>HYPERLINK(".\sm_car_240831_0552\sm_car_240831_0552_251_Ca203TrN_MaTUR_ode23t_1.png","figure")</f>
        <v>figure</v>
      </c>
      <c r="P252" t="s">
        <v>15</v>
      </c>
    </row>
    <row r="253" spans="1:16" x14ac:dyDescent="0.25">
      <c r="A253">
        <v>252</v>
      </c>
      <c r="B253">
        <v>185</v>
      </c>
      <c r="C253" t="s">
        <v>45</v>
      </c>
      <c r="D253" t="s">
        <v>17</v>
      </c>
      <c r="E253" t="s">
        <v>18</v>
      </c>
      <c r="F253" t="s">
        <v>19</v>
      </c>
      <c r="G253" t="s">
        <v>26</v>
      </c>
      <c r="H253" t="s">
        <v>21</v>
      </c>
      <c r="I253" t="s">
        <v>64</v>
      </c>
      <c r="J253" t="s">
        <v>23</v>
      </c>
      <c r="K253">
        <v>419</v>
      </c>
      <c r="L253" s="4">
        <v>16.344684600000001</v>
      </c>
      <c r="M253" s="4">
        <v>114.17680892945702</v>
      </c>
      <c r="N253" s="4">
        <v>-80.786480806163979</v>
      </c>
      <c r="O253" s="1" t="str">
        <f>HYPERLINK(".\sm_car_240831_0552\sm_car_240831_0552_252_Ca185TrN_MaTUR_ode23t_1.png","figure")</f>
        <v>figure</v>
      </c>
      <c r="P253" t="s">
        <v>15</v>
      </c>
    </row>
    <row r="254" spans="1:16" x14ac:dyDescent="0.25">
      <c r="A254">
        <v>253</v>
      </c>
      <c r="B254">
        <v>188</v>
      </c>
      <c r="C254" t="s">
        <v>45</v>
      </c>
      <c r="D254" t="s">
        <v>114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538</v>
      </c>
      <c r="L254" s="4">
        <v>8.9750864000000004</v>
      </c>
      <c r="M254" s="4">
        <v>140.62764983894007</v>
      </c>
      <c r="N254" s="4">
        <v>-71.78273018588591</v>
      </c>
      <c r="O254" s="1" t="str">
        <f>HYPERLINK(".\sm_car_240831_0552\sm_car_240831_0552_253_Ca188TrN_MaTUR_ode23t_1.png","figure")</f>
        <v>figure</v>
      </c>
      <c r="P254" t="s">
        <v>15</v>
      </c>
    </row>
    <row r="255" spans="1:16" x14ac:dyDescent="0.25">
      <c r="A255">
        <v>254</v>
      </c>
      <c r="B255" t="s">
        <v>94</v>
      </c>
      <c r="C255" t="s">
        <v>95</v>
      </c>
      <c r="D255" t="s">
        <v>35</v>
      </c>
      <c r="E255" t="s">
        <v>18</v>
      </c>
      <c r="F255" t="s">
        <v>19</v>
      </c>
      <c r="G255" t="s">
        <v>96</v>
      </c>
      <c r="H255" t="s">
        <v>21</v>
      </c>
      <c r="I255" t="s">
        <v>22</v>
      </c>
      <c r="J255" t="s">
        <v>23</v>
      </c>
      <c r="K255">
        <v>453</v>
      </c>
      <c r="L255" s="4">
        <v>16.339258699999998</v>
      </c>
      <c r="M255" s="4">
        <v>79.191403342521781</v>
      </c>
      <c r="N255" s="4">
        <v>-0.33364204715638829</v>
      </c>
      <c r="O255" s="1" t="str">
        <f>HYPERLINK(".\sm_car_240831_0552\sm_car_Axle3_240831_0552_254_CaAxle3_000TrN_MaWOT_ode23t_1.png","figure")</f>
        <v>figure</v>
      </c>
      <c r="P255" t="s">
        <v>15</v>
      </c>
    </row>
    <row r="256" spans="1:16" x14ac:dyDescent="0.25">
      <c r="A256">
        <v>255</v>
      </c>
      <c r="B256" t="s">
        <v>99</v>
      </c>
      <c r="C256" t="s">
        <v>100</v>
      </c>
      <c r="D256" t="s">
        <v>35</v>
      </c>
      <c r="E256" t="s">
        <v>18</v>
      </c>
      <c r="F256" t="s">
        <v>19</v>
      </c>
      <c r="G256" t="s">
        <v>96</v>
      </c>
      <c r="H256" t="s">
        <v>21</v>
      </c>
      <c r="I256" t="s">
        <v>22</v>
      </c>
      <c r="J256" t="s">
        <v>23</v>
      </c>
      <c r="K256">
        <v>490</v>
      </c>
      <c r="L256" s="4">
        <v>15.5121687</v>
      </c>
      <c r="M256" s="4">
        <v>69.13329697133797</v>
      </c>
      <c r="N256" s="4">
        <v>8.3863063097864898E-2</v>
      </c>
      <c r="O256" s="1" t="str">
        <f>HYPERLINK(".\sm_car_240831_0552\sm_car_Axle3_240831_0552_255_CaAxle3_008TrN_MaWOT_ode23t_1.png","figure")</f>
        <v>figure</v>
      </c>
      <c r="P256" t="s">
        <v>15</v>
      </c>
    </row>
    <row r="257" spans="1:16" x14ac:dyDescent="0.25">
      <c r="A257">
        <v>256</v>
      </c>
      <c r="B257" t="s">
        <v>97</v>
      </c>
      <c r="C257" t="s">
        <v>95</v>
      </c>
      <c r="D257" t="s">
        <v>35</v>
      </c>
      <c r="E257" t="s">
        <v>49</v>
      </c>
      <c r="F257" t="s">
        <v>19</v>
      </c>
      <c r="G257" t="s">
        <v>98</v>
      </c>
      <c r="H257" t="s">
        <v>21</v>
      </c>
      <c r="I257" t="s">
        <v>22</v>
      </c>
      <c r="J257" t="s">
        <v>23</v>
      </c>
      <c r="K257">
        <v>426</v>
      </c>
      <c r="L257" s="4">
        <v>14.1977853</v>
      </c>
      <c r="M257" s="4">
        <v>79.26753082601013</v>
      </c>
      <c r="N257" s="4">
        <v>-0.31346583892466412</v>
      </c>
      <c r="O257" s="1" t="str">
        <f>HYPERLINK(".\sm_car_240831_0552\sm_car_Axle3_240831_0552_256_CaAxle3_003TrN_MaWOT_ode23t_1.png","figure")</f>
        <v>figure</v>
      </c>
      <c r="P257" t="s">
        <v>15</v>
      </c>
    </row>
    <row r="258" spans="1:16" x14ac:dyDescent="0.25">
      <c r="A258">
        <v>257</v>
      </c>
      <c r="B258" t="s">
        <v>115</v>
      </c>
      <c r="C258" t="s">
        <v>95</v>
      </c>
      <c r="D258" t="s">
        <v>35</v>
      </c>
      <c r="E258" t="s">
        <v>108</v>
      </c>
      <c r="F258" t="s">
        <v>19</v>
      </c>
      <c r="G258" t="s">
        <v>98</v>
      </c>
      <c r="H258" t="s">
        <v>21</v>
      </c>
      <c r="I258" t="s">
        <v>22</v>
      </c>
      <c r="J258" t="s">
        <v>23</v>
      </c>
      <c r="K258">
        <v>438</v>
      </c>
      <c r="L258" s="4">
        <v>2.6281797999999998</v>
      </c>
      <c r="M258" s="4">
        <v>80.149536181477046</v>
      </c>
      <c r="N258" s="4">
        <v>-0.31965340500242301</v>
      </c>
      <c r="O258" s="1" t="str">
        <f>HYPERLINK(".\sm_car_240831_0552\sm_car_Axle3_240831_0552_257_CaAxle3_017TrN_MaWOT_ode23t_1.png","figure")</f>
        <v>figure</v>
      </c>
      <c r="P258" t="s">
        <v>15</v>
      </c>
    </row>
    <row r="259" spans="1:16" x14ac:dyDescent="0.25">
      <c r="A259">
        <v>258</v>
      </c>
      <c r="B259" t="s">
        <v>101</v>
      </c>
      <c r="C259" t="s">
        <v>100</v>
      </c>
      <c r="D259" t="s">
        <v>35</v>
      </c>
      <c r="E259" t="s">
        <v>49</v>
      </c>
      <c r="F259" t="s">
        <v>19</v>
      </c>
      <c r="G259" t="s">
        <v>96</v>
      </c>
      <c r="H259" t="s">
        <v>102</v>
      </c>
      <c r="I259" t="s">
        <v>22</v>
      </c>
      <c r="J259" t="s">
        <v>23</v>
      </c>
      <c r="K259">
        <v>380</v>
      </c>
      <c r="L259" s="4">
        <v>33.4570699</v>
      </c>
      <c r="M259" s="4">
        <v>23.326795589711995</v>
      </c>
      <c r="N259" s="4">
        <v>2.4821401835728729E-3</v>
      </c>
      <c r="O259" s="1" t="str">
        <f>HYPERLINK(".\sm_car_240831_0552\sm_car_Axle3_240831_0552_258_CaAxle3_010TrK_MaWOT_ode23t_1.png","figure")</f>
        <v>figure</v>
      </c>
      <c r="P259" t="s">
        <v>15</v>
      </c>
    </row>
    <row r="260" spans="1:16" x14ac:dyDescent="0.25">
      <c r="A260">
        <v>259</v>
      </c>
      <c r="B260" t="s">
        <v>101</v>
      </c>
      <c r="C260" t="s">
        <v>100</v>
      </c>
      <c r="D260" t="s">
        <v>35</v>
      </c>
      <c r="E260" t="s">
        <v>49</v>
      </c>
      <c r="F260" t="s">
        <v>19</v>
      </c>
      <c r="G260" t="s">
        <v>96</v>
      </c>
      <c r="H260" t="s">
        <v>102</v>
      </c>
      <c r="I260" t="s">
        <v>22</v>
      </c>
      <c r="J260" t="s">
        <v>23</v>
      </c>
      <c r="K260">
        <v>404</v>
      </c>
      <c r="L260" s="4">
        <v>39.3864582</v>
      </c>
      <c r="M260" s="4">
        <v>23.441154051369235</v>
      </c>
      <c r="N260" s="4">
        <v>2.5318378727670898E-3</v>
      </c>
      <c r="O260" s="1" t="str">
        <f>HYPERLINK(".\sm_car_240831_0552\sm_car_Axle3_240831_0552_259_CaAxle3_010TrK_MaWOT_ode23t_1.png","figure")</f>
        <v>figure</v>
      </c>
      <c r="P260" t="s">
        <v>15</v>
      </c>
    </row>
    <row r="261" spans="1:16" x14ac:dyDescent="0.25">
      <c r="A261">
        <v>260</v>
      </c>
      <c r="B261" t="s">
        <v>116</v>
      </c>
      <c r="C261" t="s">
        <v>100</v>
      </c>
      <c r="D261" t="s">
        <v>35</v>
      </c>
      <c r="E261" t="s">
        <v>108</v>
      </c>
      <c r="F261" t="s">
        <v>19</v>
      </c>
      <c r="G261" t="s">
        <v>96</v>
      </c>
      <c r="H261" t="s">
        <v>102</v>
      </c>
      <c r="I261" t="s">
        <v>22</v>
      </c>
      <c r="J261" t="s">
        <v>23</v>
      </c>
      <c r="K261">
        <v>395</v>
      </c>
      <c r="L261" s="4">
        <v>2.5110367</v>
      </c>
      <c r="M261" s="4">
        <v>26.915041029821563</v>
      </c>
      <c r="N261" s="4">
        <v>3.6189163614937514E-3</v>
      </c>
      <c r="O261" s="1" t="str">
        <f>HYPERLINK(".\sm_car_240831_0552\sm_car_Axle3_240831_0552_260_CaAxle3_019TrK_MaWOT_ode23t_1.png","figure")</f>
        <v>figure</v>
      </c>
      <c r="P261" t="s">
        <v>15</v>
      </c>
    </row>
    <row r="262" spans="1:16" x14ac:dyDescent="0.25">
      <c r="A262">
        <v>261</v>
      </c>
      <c r="B262" t="s">
        <v>116</v>
      </c>
      <c r="C262" t="s">
        <v>100</v>
      </c>
      <c r="D262" t="s">
        <v>35</v>
      </c>
      <c r="E262" t="s">
        <v>108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396</v>
      </c>
      <c r="L262" s="4">
        <v>3.3177913000000001</v>
      </c>
      <c r="M262" s="4">
        <v>26.904146124473968</v>
      </c>
      <c r="N262" s="4">
        <v>3.611462807766589E-3</v>
      </c>
      <c r="O262" s="1" t="str">
        <f>HYPERLINK(".\sm_car_240831_0552\sm_car_Axle3_240831_0552_261_CaAxle3_019TrK_MaWOT_ode23t_1.png","figure")</f>
        <v>figure</v>
      </c>
      <c r="P262" t="s">
        <v>15</v>
      </c>
    </row>
    <row r="263" spans="1:16" x14ac:dyDescent="0.25">
      <c r="A263">
        <v>262</v>
      </c>
      <c r="B263" t="s">
        <v>103</v>
      </c>
      <c r="C263" t="s">
        <v>100</v>
      </c>
      <c r="D263" t="s">
        <v>35</v>
      </c>
      <c r="E263" t="s">
        <v>18</v>
      </c>
      <c r="F263" t="s">
        <v>19</v>
      </c>
      <c r="G263" t="s">
        <v>104</v>
      </c>
      <c r="H263" t="s">
        <v>102</v>
      </c>
      <c r="I263" t="s">
        <v>53</v>
      </c>
      <c r="J263" t="s">
        <v>23</v>
      </c>
      <c r="K263">
        <v>752</v>
      </c>
      <c r="L263" s="4">
        <v>20.184822</v>
      </c>
      <c r="M263" s="4">
        <v>262.42905615904039</v>
      </c>
      <c r="N263" s="4">
        <v>-0.10274639910367789</v>
      </c>
      <c r="O263" s="1" t="str">
        <f>HYPERLINK(".\sm_car_240831_0552\sm_car_Axle3_240831_0552_262_CaAxle3_012TrK_MaDLC_ode23t_1.png","figure")</f>
        <v>figure</v>
      </c>
      <c r="P263" t="s">
        <v>15</v>
      </c>
    </row>
    <row r="264" spans="1:16" x14ac:dyDescent="0.25">
      <c r="A264">
        <v>263</v>
      </c>
      <c r="B264" t="s">
        <v>103</v>
      </c>
      <c r="C264" t="s">
        <v>100</v>
      </c>
      <c r="D264" t="s">
        <v>35</v>
      </c>
      <c r="E264" t="s">
        <v>18</v>
      </c>
      <c r="F264" t="s">
        <v>19</v>
      </c>
      <c r="G264" t="s">
        <v>104</v>
      </c>
      <c r="H264" t="s">
        <v>102</v>
      </c>
      <c r="I264" t="s">
        <v>53</v>
      </c>
      <c r="J264" t="s">
        <v>23</v>
      </c>
      <c r="K264">
        <v>853</v>
      </c>
      <c r="L264" s="4">
        <v>24.621706</v>
      </c>
      <c r="M264" s="4">
        <v>262.41171222944683</v>
      </c>
      <c r="N264" s="4">
        <v>-0.1000614925747616</v>
      </c>
      <c r="O264" s="1" t="str">
        <f>HYPERLINK(".\sm_car_240831_0552\sm_car_Axle3_240831_0552_263_CaAxle3_012TrK_MaDLC_ode23t_1.png","figure")</f>
        <v>figure</v>
      </c>
      <c r="P264" t="s">
        <v>15</v>
      </c>
    </row>
    <row r="265" spans="1:16" x14ac:dyDescent="0.25">
      <c r="A265">
        <v>264</v>
      </c>
      <c r="B265" t="s">
        <v>103</v>
      </c>
      <c r="C265" t="s">
        <v>100</v>
      </c>
      <c r="D265" t="s">
        <v>35</v>
      </c>
      <c r="E265" t="s">
        <v>18</v>
      </c>
      <c r="F265" t="s">
        <v>19</v>
      </c>
      <c r="G265" t="s">
        <v>104</v>
      </c>
      <c r="H265" t="s">
        <v>102</v>
      </c>
      <c r="I265" t="s">
        <v>53</v>
      </c>
      <c r="J265" t="s">
        <v>23</v>
      </c>
      <c r="K265">
        <v>763</v>
      </c>
      <c r="L265" s="4">
        <v>21.896327599999999</v>
      </c>
      <c r="M265" s="4">
        <v>264.07487227736641</v>
      </c>
      <c r="N265" s="4">
        <v>-9.8778422348329009E-2</v>
      </c>
      <c r="O265" s="1" t="str">
        <f>HYPERLINK(".\sm_car_240831_0552\sm_car_Axle3_240831_0552_264_CaAxle3_012TrK_MaDLC_ode23t_1.png","figure")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1017</v>
      </c>
      <c r="L266" s="4">
        <v>26.099426000000001</v>
      </c>
      <c r="M266" s="4">
        <v>264.04776479348516</v>
      </c>
      <c r="N266" s="4">
        <v>-9.8669226037052304E-2</v>
      </c>
      <c r="O266" s="1" t="str">
        <f>HYPERLINK(".\sm_car_240831_0552\sm_car_Axle3_240831_0552_265_CaAxle3_012TrK_MaDLC_ode23t_1.png","figure")</f>
        <v>figure</v>
      </c>
      <c r="P26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2022b_240831_0552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2024-09-02T20:47:35Z</dcterms:modified>
</cp:coreProperties>
</file>