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h-tpl\SimResults\"/>
    </mc:Choice>
  </mc:AlternateContent>
  <xr:revisionPtr revIDLastSave="0" documentId="13_ncr:1_{5EE4E6A8-4805-4357-9199-02B64CDA5499}" xr6:coauthVersionLast="47" xr6:coauthVersionMax="47" xr10:uidLastSave="{00000000-0000-0000-0000-000000000000}"/>
  <bookViews>
    <workbookView xWindow="31905" yWindow="3120" windowWidth="21600" windowHeight="10635" activeTab="2" xr2:uid="{EAE9BBD6-CBB4-4176-A31A-41C264A3666C}"/>
  </bookViews>
  <sheets>
    <sheet name="2024a_240930_0021" sheetId="18" r:id="rId1"/>
    <sheet name="2024a_241122_0001" sheetId="19" r:id="rId2"/>
    <sheet name="2024a_241122_2356" sheetId="20" r:id="rId3"/>
  </sheets>
  <definedNames>
    <definedName name="_xlnm._FilterDatabase" localSheetId="2" hidden="1">'2024a_241122_2356'!$A$1:$P$268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20" l="1"/>
  <c r="O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8" i="20"/>
  <c r="O249" i="20"/>
  <c r="O250" i="20"/>
  <c r="O251" i="20"/>
  <c r="O252" i="20"/>
  <c r="O253" i="20"/>
  <c r="O254" i="20"/>
  <c r="O255" i="20"/>
  <c r="O256" i="20"/>
  <c r="O257" i="20"/>
  <c r="O258" i="20"/>
  <c r="O259" i="20"/>
  <c r="O260" i="20"/>
  <c r="O261" i="20"/>
  <c r="O262" i="20"/>
  <c r="O263" i="20"/>
  <c r="O264" i="20"/>
  <c r="O265" i="20"/>
  <c r="O266" i="20"/>
  <c r="O267" i="20"/>
  <c r="O268" i="20"/>
  <c r="V268" i="19"/>
  <c r="W268" i="19" s="1"/>
  <c r="T268" i="19"/>
  <c r="U268" i="19" s="1"/>
  <c r="S268" i="19"/>
  <c r="V267" i="19"/>
  <c r="W267" i="19" s="1"/>
  <c r="T267" i="19"/>
  <c r="U267" i="19" s="1"/>
  <c r="S267" i="19"/>
  <c r="V266" i="19"/>
  <c r="W266" i="19" s="1"/>
  <c r="T266" i="19"/>
  <c r="U266" i="19" s="1"/>
  <c r="S266" i="19"/>
  <c r="V265" i="19"/>
  <c r="W265" i="19" s="1"/>
  <c r="T265" i="19"/>
  <c r="U265" i="19" s="1"/>
  <c r="S265" i="19"/>
  <c r="W264" i="19"/>
  <c r="V264" i="19"/>
  <c r="T264" i="19"/>
  <c r="U264" i="19" s="1"/>
  <c r="S264" i="19"/>
  <c r="W263" i="19"/>
  <c r="V263" i="19"/>
  <c r="T263" i="19"/>
  <c r="U263" i="19" s="1"/>
  <c r="S263" i="19"/>
  <c r="V262" i="19"/>
  <c r="W262" i="19" s="1"/>
  <c r="T262" i="19"/>
  <c r="U262" i="19" s="1"/>
  <c r="S262" i="19"/>
  <c r="W261" i="19"/>
  <c r="V261" i="19"/>
  <c r="U261" i="19"/>
  <c r="T261" i="19"/>
  <c r="S261" i="19"/>
  <c r="V260" i="19"/>
  <c r="W260" i="19" s="1"/>
  <c r="T260" i="19"/>
  <c r="U260" i="19" s="1"/>
  <c r="S260" i="19"/>
  <c r="V259" i="19"/>
  <c r="W259" i="19" s="1"/>
  <c r="T259" i="19"/>
  <c r="U259" i="19" s="1"/>
  <c r="S259" i="19"/>
  <c r="V258" i="19"/>
  <c r="W258" i="19" s="1"/>
  <c r="T258" i="19"/>
  <c r="U258" i="19" s="1"/>
  <c r="S258" i="19"/>
  <c r="V257" i="19"/>
  <c r="W257" i="19" s="1"/>
  <c r="T257" i="19"/>
  <c r="U257" i="19" s="1"/>
  <c r="S257" i="19"/>
  <c r="W256" i="19"/>
  <c r="V256" i="19"/>
  <c r="T256" i="19"/>
  <c r="U256" i="19" s="1"/>
  <c r="S256" i="19"/>
  <c r="V255" i="19"/>
  <c r="W255" i="19" s="1"/>
  <c r="T255" i="19"/>
  <c r="U255" i="19" s="1"/>
  <c r="S255" i="19"/>
  <c r="V254" i="19"/>
  <c r="W254" i="19" s="1"/>
  <c r="T254" i="19"/>
  <c r="U254" i="19" s="1"/>
  <c r="S254" i="19"/>
  <c r="V253" i="19"/>
  <c r="W253" i="19" s="1"/>
  <c r="T253" i="19"/>
  <c r="U253" i="19" s="1"/>
  <c r="S253" i="19"/>
  <c r="V252" i="19"/>
  <c r="W252" i="19" s="1"/>
  <c r="T252" i="19"/>
  <c r="U252" i="19" s="1"/>
  <c r="S252" i="19"/>
  <c r="W251" i="19"/>
  <c r="V251" i="19"/>
  <c r="T251" i="19"/>
  <c r="U251" i="19" s="1"/>
  <c r="S251" i="19"/>
  <c r="V250" i="19"/>
  <c r="W250" i="19" s="1"/>
  <c r="U250" i="19"/>
  <c r="T250" i="19"/>
  <c r="S250" i="19"/>
  <c r="V249" i="19"/>
  <c r="W249" i="19" s="1"/>
  <c r="U249" i="19"/>
  <c r="T249" i="19"/>
  <c r="S249" i="19"/>
  <c r="V248" i="19"/>
  <c r="W248" i="19" s="1"/>
  <c r="T248" i="19"/>
  <c r="U248" i="19" s="1"/>
  <c r="S248" i="19"/>
  <c r="V247" i="19"/>
  <c r="W247" i="19" s="1"/>
  <c r="U247" i="19"/>
  <c r="T247" i="19"/>
  <c r="S247" i="19"/>
  <c r="V246" i="19"/>
  <c r="W246" i="19" s="1"/>
  <c r="T246" i="19"/>
  <c r="U246" i="19" s="1"/>
  <c r="S246" i="19"/>
  <c r="V245" i="19"/>
  <c r="W245" i="19" s="1"/>
  <c r="T245" i="19"/>
  <c r="U245" i="19" s="1"/>
  <c r="S245" i="19"/>
  <c r="V244" i="19"/>
  <c r="W244" i="19" s="1"/>
  <c r="T244" i="19"/>
  <c r="U244" i="19" s="1"/>
  <c r="S244" i="19"/>
  <c r="V243" i="19"/>
  <c r="W243" i="19" s="1"/>
  <c r="T243" i="19"/>
  <c r="U243" i="19" s="1"/>
  <c r="S243" i="19"/>
  <c r="V242" i="19"/>
  <c r="W242" i="19" s="1"/>
  <c r="U242" i="19"/>
  <c r="T242" i="19"/>
  <c r="S242" i="19"/>
  <c r="V241" i="19"/>
  <c r="W241" i="19" s="1"/>
  <c r="T241" i="19"/>
  <c r="U241" i="19" s="1"/>
  <c r="S241" i="19"/>
  <c r="W240" i="19"/>
  <c r="V240" i="19"/>
  <c r="T240" i="19"/>
  <c r="U240" i="19" s="1"/>
  <c r="S240" i="19"/>
  <c r="W239" i="19"/>
  <c r="V239" i="19"/>
  <c r="T239" i="19"/>
  <c r="U239" i="19" s="1"/>
  <c r="S239" i="19"/>
  <c r="V238" i="19"/>
  <c r="W238" i="19" s="1"/>
  <c r="T238" i="19"/>
  <c r="U238" i="19" s="1"/>
  <c r="S238" i="19"/>
  <c r="W237" i="19"/>
  <c r="V237" i="19"/>
  <c r="U237" i="19"/>
  <c r="T237" i="19"/>
  <c r="S237" i="19"/>
  <c r="V236" i="19"/>
  <c r="W236" i="19" s="1"/>
  <c r="T236" i="19"/>
  <c r="U236" i="19" s="1"/>
  <c r="S236" i="19"/>
  <c r="V235" i="19"/>
  <c r="W235" i="19" s="1"/>
  <c r="T235" i="19"/>
  <c r="U235" i="19" s="1"/>
  <c r="S235" i="19"/>
  <c r="V234" i="19"/>
  <c r="W234" i="19" s="1"/>
  <c r="T234" i="19"/>
  <c r="U234" i="19" s="1"/>
  <c r="S234" i="19"/>
  <c r="V233" i="19"/>
  <c r="W233" i="19" s="1"/>
  <c r="T233" i="19"/>
  <c r="U233" i="19" s="1"/>
  <c r="S233" i="19"/>
  <c r="W232" i="19"/>
  <c r="V232" i="19"/>
  <c r="T232" i="19"/>
  <c r="U232" i="19" s="1"/>
  <c r="S232" i="19"/>
  <c r="V231" i="19"/>
  <c r="W231" i="19" s="1"/>
  <c r="T231" i="19"/>
  <c r="U231" i="19" s="1"/>
  <c r="S231" i="19"/>
  <c r="V230" i="19"/>
  <c r="W230" i="19" s="1"/>
  <c r="T230" i="19"/>
  <c r="U230" i="19" s="1"/>
  <c r="S230" i="19"/>
  <c r="V229" i="19"/>
  <c r="W229" i="19" s="1"/>
  <c r="T229" i="19"/>
  <c r="U229" i="19" s="1"/>
  <c r="S229" i="19"/>
  <c r="V228" i="19"/>
  <c r="W228" i="19" s="1"/>
  <c r="T228" i="19"/>
  <c r="U228" i="19" s="1"/>
  <c r="S228" i="19"/>
  <c r="W227" i="19"/>
  <c r="V227" i="19"/>
  <c r="T227" i="19"/>
  <c r="U227" i="19" s="1"/>
  <c r="S227" i="19"/>
  <c r="V226" i="19"/>
  <c r="W226" i="19" s="1"/>
  <c r="U226" i="19"/>
  <c r="T226" i="19"/>
  <c r="S226" i="19"/>
  <c r="V225" i="19"/>
  <c r="W225" i="19" s="1"/>
  <c r="U225" i="19"/>
  <c r="T225" i="19"/>
  <c r="S225" i="19"/>
  <c r="V224" i="19"/>
  <c r="W224" i="19" s="1"/>
  <c r="T224" i="19"/>
  <c r="U224" i="19" s="1"/>
  <c r="S224" i="19"/>
  <c r="V223" i="19"/>
  <c r="W223" i="19" s="1"/>
  <c r="U223" i="19"/>
  <c r="T223" i="19"/>
  <c r="S223" i="19"/>
  <c r="V222" i="19"/>
  <c r="W222" i="19" s="1"/>
  <c r="T222" i="19"/>
  <c r="U222" i="19" s="1"/>
  <c r="S222" i="19"/>
  <c r="V221" i="19"/>
  <c r="W221" i="19" s="1"/>
  <c r="T221" i="19"/>
  <c r="U221" i="19" s="1"/>
  <c r="S221" i="19"/>
  <c r="V220" i="19"/>
  <c r="W220" i="19" s="1"/>
  <c r="T220" i="19"/>
  <c r="U220" i="19" s="1"/>
  <c r="S220" i="19"/>
  <c r="V219" i="19"/>
  <c r="W219" i="19" s="1"/>
  <c r="T219" i="19"/>
  <c r="U219" i="19" s="1"/>
  <c r="S219" i="19"/>
  <c r="V218" i="19"/>
  <c r="W218" i="19" s="1"/>
  <c r="U218" i="19"/>
  <c r="T218" i="19"/>
  <c r="S218" i="19"/>
  <c r="V217" i="19"/>
  <c r="W217" i="19" s="1"/>
  <c r="T217" i="19"/>
  <c r="U217" i="19" s="1"/>
  <c r="S217" i="19"/>
  <c r="W216" i="19"/>
  <c r="V216" i="19"/>
  <c r="T216" i="19"/>
  <c r="U216" i="19" s="1"/>
  <c r="S216" i="19"/>
  <c r="W215" i="19"/>
  <c r="V215" i="19"/>
  <c r="T215" i="19"/>
  <c r="U215" i="19" s="1"/>
  <c r="S215" i="19"/>
  <c r="V214" i="19"/>
  <c r="W214" i="19" s="1"/>
  <c r="T214" i="19"/>
  <c r="U214" i="19" s="1"/>
  <c r="S214" i="19"/>
  <c r="W213" i="19"/>
  <c r="V213" i="19"/>
  <c r="U213" i="19"/>
  <c r="T213" i="19"/>
  <c r="S213" i="19"/>
  <c r="V212" i="19"/>
  <c r="W212" i="19" s="1"/>
  <c r="T212" i="19"/>
  <c r="U212" i="19" s="1"/>
  <c r="S212" i="19"/>
  <c r="V211" i="19"/>
  <c r="W211" i="19" s="1"/>
  <c r="T211" i="19"/>
  <c r="U211" i="19" s="1"/>
  <c r="S211" i="19"/>
  <c r="V210" i="19"/>
  <c r="W210" i="19" s="1"/>
  <c r="T210" i="19"/>
  <c r="U210" i="19" s="1"/>
  <c r="S210" i="19"/>
  <c r="V209" i="19"/>
  <c r="W209" i="19" s="1"/>
  <c r="T209" i="19"/>
  <c r="U209" i="19" s="1"/>
  <c r="S209" i="19"/>
  <c r="W208" i="19"/>
  <c r="V208" i="19"/>
  <c r="T208" i="19"/>
  <c r="U208" i="19" s="1"/>
  <c r="S208" i="19"/>
  <c r="V207" i="19"/>
  <c r="W207" i="19" s="1"/>
  <c r="T207" i="19"/>
  <c r="U207" i="19" s="1"/>
  <c r="S207" i="19"/>
  <c r="V206" i="19"/>
  <c r="W206" i="19" s="1"/>
  <c r="T206" i="19"/>
  <c r="U206" i="19" s="1"/>
  <c r="S206" i="19"/>
  <c r="V205" i="19"/>
  <c r="W205" i="19" s="1"/>
  <c r="T205" i="19"/>
  <c r="U205" i="19" s="1"/>
  <c r="S205" i="19"/>
  <c r="V204" i="19"/>
  <c r="W204" i="19" s="1"/>
  <c r="T204" i="19"/>
  <c r="U204" i="19" s="1"/>
  <c r="S204" i="19"/>
  <c r="W203" i="19"/>
  <c r="V203" i="19"/>
  <c r="T203" i="19"/>
  <c r="U203" i="19" s="1"/>
  <c r="S203" i="19"/>
  <c r="V202" i="19"/>
  <c r="W202" i="19" s="1"/>
  <c r="U202" i="19"/>
  <c r="T202" i="19"/>
  <c r="S202" i="19"/>
  <c r="V201" i="19"/>
  <c r="W201" i="19" s="1"/>
  <c r="U201" i="19"/>
  <c r="T201" i="19"/>
  <c r="S201" i="19"/>
  <c r="V200" i="19"/>
  <c r="W200" i="19" s="1"/>
  <c r="T200" i="19"/>
  <c r="U200" i="19" s="1"/>
  <c r="S200" i="19"/>
  <c r="V199" i="19"/>
  <c r="W199" i="19" s="1"/>
  <c r="U199" i="19"/>
  <c r="T199" i="19"/>
  <c r="S199" i="19"/>
  <c r="V198" i="19"/>
  <c r="W198" i="19" s="1"/>
  <c r="T198" i="19"/>
  <c r="U198" i="19" s="1"/>
  <c r="S198" i="19"/>
  <c r="V197" i="19"/>
  <c r="W197" i="19" s="1"/>
  <c r="T197" i="19"/>
  <c r="U197" i="19" s="1"/>
  <c r="S197" i="19"/>
  <c r="V196" i="19"/>
  <c r="W196" i="19" s="1"/>
  <c r="T196" i="19"/>
  <c r="U196" i="19" s="1"/>
  <c r="S196" i="19"/>
  <c r="V195" i="19"/>
  <c r="W195" i="19" s="1"/>
  <c r="T195" i="19"/>
  <c r="U195" i="19" s="1"/>
  <c r="S195" i="19"/>
  <c r="W194" i="19"/>
  <c r="V194" i="19"/>
  <c r="U194" i="19"/>
  <c r="T194" i="19"/>
  <c r="S194" i="19"/>
  <c r="V193" i="19"/>
  <c r="W193" i="19" s="1"/>
  <c r="T193" i="19"/>
  <c r="U193" i="19" s="1"/>
  <c r="S193" i="19"/>
  <c r="W192" i="19"/>
  <c r="V192" i="19"/>
  <c r="T192" i="19"/>
  <c r="U192" i="19" s="1"/>
  <c r="S192" i="19"/>
  <c r="W191" i="19"/>
  <c r="V191" i="19"/>
  <c r="T191" i="19"/>
  <c r="U191" i="19" s="1"/>
  <c r="S191" i="19"/>
  <c r="V190" i="19"/>
  <c r="W190" i="19" s="1"/>
  <c r="T190" i="19"/>
  <c r="U190" i="19" s="1"/>
  <c r="S190" i="19"/>
  <c r="W189" i="19"/>
  <c r="V189" i="19"/>
  <c r="U189" i="19"/>
  <c r="T189" i="19"/>
  <c r="S189" i="19"/>
  <c r="V188" i="19"/>
  <c r="W188" i="19" s="1"/>
  <c r="T188" i="19"/>
  <c r="U188" i="19" s="1"/>
  <c r="S188" i="19"/>
  <c r="V187" i="19"/>
  <c r="W187" i="19" s="1"/>
  <c r="T187" i="19"/>
  <c r="U187" i="19" s="1"/>
  <c r="S187" i="19"/>
  <c r="V186" i="19"/>
  <c r="W186" i="19" s="1"/>
  <c r="T186" i="19"/>
  <c r="U186" i="19" s="1"/>
  <c r="S186" i="19"/>
  <c r="V185" i="19"/>
  <c r="W185" i="19" s="1"/>
  <c r="T185" i="19"/>
  <c r="U185" i="19" s="1"/>
  <c r="S185" i="19"/>
  <c r="W184" i="19"/>
  <c r="V184" i="19"/>
  <c r="T184" i="19"/>
  <c r="U184" i="19" s="1"/>
  <c r="S184" i="19"/>
  <c r="V183" i="19"/>
  <c r="W183" i="19" s="1"/>
  <c r="T183" i="19"/>
  <c r="U183" i="19" s="1"/>
  <c r="S183" i="19"/>
  <c r="V182" i="19"/>
  <c r="W182" i="19" s="1"/>
  <c r="T182" i="19"/>
  <c r="U182" i="19" s="1"/>
  <c r="S182" i="19"/>
  <c r="V181" i="19"/>
  <c r="W181" i="19" s="1"/>
  <c r="T181" i="19"/>
  <c r="U181" i="19" s="1"/>
  <c r="S181" i="19"/>
  <c r="V180" i="19"/>
  <c r="W180" i="19" s="1"/>
  <c r="U180" i="19"/>
  <c r="T180" i="19"/>
  <c r="S180" i="19"/>
  <c r="W179" i="19"/>
  <c r="V179" i="19"/>
  <c r="T179" i="19"/>
  <c r="U179" i="19" s="1"/>
  <c r="S179" i="19"/>
  <c r="V178" i="19"/>
  <c r="W178" i="19" s="1"/>
  <c r="U178" i="19"/>
  <c r="T178" i="19"/>
  <c r="S178" i="19"/>
  <c r="V177" i="19"/>
  <c r="W177" i="19" s="1"/>
  <c r="U177" i="19"/>
  <c r="T177" i="19"/>
  <c r="S177" i="19"/>
  <c r="V176" i="19"/>
  <c r="W176" i="19" s="1"/>
  <c r="T176" i="19"/>
  <c r="U176" i="19" s="1"/>
  <c r="S176" i="19"/>
  <c r="V175" i="19"/>
  <c r="W175" i="19" s="1"/>
  <c r="U175" i="19"/>
  <c r="T175" i="19"/>
  <c r="S175" i="19"/>
  <c r="V174" i="19"/>
  <c r="W174" i="19" s="1"/>
  <c r="T174" i="19"/>
  <c r="U174" i="19" s="1"/>
  <c r="S174" i="19"/>
  <c r="V173" i="19"/>
  <c r="W173" i="19" s="1"/>
  <c r="T173" i="19"/>
  <c r="U173" i="19" s="1"/>
  <c r="S173" i="19"/>
  <c r="V172" i="19"/>
  <c r="W172" i="19" s="1"/>
  <c r="T172" i="19"/>
  <c r="U172" i="19" s="1"/>
  <c r="S172" i="19"/>
  <c r="V171" i="19"/>
  <c r="W171" i="19" s="1"/>
  <c r="T171" i="19"/>
  <c r="U171" i="19" s="1"/>
  <c r="S171" i="19"/>
  <c r="V170" i="19"/>
  <c r="W170" i="19" s="1"/>
  <c r="U170" i="19"/>
  <c r="T170" i="19"/>
  <c r="S170" i="19"/>
  <c r="V169" i="19"/>
  <c r="W169" i="19" s="1"/>
  <c r="T169" i="19"/>
  <c r="U169" i="19" s="1"/>
  <c r="S169" i="19"/>
  <c r="W168" i="19"/>
  <c r="V168" i="19"/>
  <c r="T168" i="19"/>
  <c r="U168" i="19" s="1"/>
  <c r="S168" i="19"/>
  <c r="W167" i="19"/>
  <c r="V167" i="19"/>
  <c r="T167" i="19"/>
  <c r="U167" i="19" s="1"/>
  <c r="S167" i="19"/>
  <c r="V166" i="19"/>
  <c r="W166" i="19" s="1"/>
  <c r="T166" i="19"/>
  <c r="U166" i="19" s="1"/>
  <c r="S166" i="19"/>
  <c r="W165" i="19"/>
  <c r="V165" i="19"/>
  <c r="U165" i="19"/>
  <c r="T165" i="19"/>
  <c r="S165" i="19"/>
  <c r="V164" i="19"/>
  <c r="W164" i="19" s="1"/>
  <c r="T164" i="19"/>
  <c r="U164" i="19" s="1"/>
  <c r="S164" i="19"/>
  <c r="V163" i="19"/>
  <c r="W163" i="19" s="1"/>
  <c r="T163" i="19"/>
  <c r="U163" i="19" s="1"/>
  <c r="S163" i="19"/>
  <c r="V162" i="19"/>
  <c r="W162" i="19" s="1"/>
  <c r="T162" i="19"/>
  <c r="U162" i="19" s="1"/>
  <c r="S162" i="19"/>
  <c r="V161" i="19"/>
  <c r="W161" i="19" s="1"/>
  <c r="U161" i="19"/>
  <c r="T161" i="19"/>
  <c r="S161" i="19"/>
  <c r="V160" i="19"/>
  <c r="W160" i="19" s="1"/>
  <c r="T160" i="19"/>
  <c r="U160" i="19" s="1"/>
  <c r="S160" i="19"/>
  <c r="V159" i="19"/>
  <c r="W159" i="19" s="1"/>
  <c r="T159" i="19"/>
  <c r="U159" i="19" s="1"/>
  <c r="S159" i="19"/>
  <c r="V158" i="19"/>
  <c r="W158" i="19" s="1"/>
  <c r="T158" i="19"/>
  <c r="U158" i="19" s="1"/>
  <c r="S158" i="19"/>
  <c r="V157" i="19"/>
  <c r="W157" i="19" s="1"/>
  <c r="T157" i="19"/>
  <c r="U157" i="19" s="1"/>
  <c r="S157" i="19"/>
  <c r="V156" i="19"/>
  <c r="W156" i="19" s="1"/>
  <c r="U156" i="19"/>
  <c r="T156" i="19"/>
  <c r="S156" i="19"/>
  <c r="W155" i="19"/>
  <c r="V155" i="19"/>
  <c r="T155" i="19"/>
  <c r="U155" i="19" s="1"/>
  <c r="S155" i="19"/>
  <c r="V154" i="19"/>
  <c r="W154" i="19" s="1"/>
  <c r="U154" i="19"/>
  <c r="T154" i="19"/>
  <c r="S154" i="19"/>
  <c r="V153" i="19"/>
  <c r="W153" i="19" s="1"/>
  <c r="U153" i="19"/>
  <c r="T153" i="19"/>
  <c r="S153" i="19"/>
  <c r="V152" i="19"/>
  <c r="W152" i="19" s="1"/>
  <c r="T152" i="19"/>
  <c r="U152" i="19" s="1"/>
  <c r="S152" i="19"/>
  <c r="V151" i="19"/>
  <c r="W151" i="19" s="1"/>
  <c r="U151" i="19"/>
  <c r="T151" i="19"/>
  <c r="S151" i="19"/>
  <c r="V150" i="19"/>
  <c r="W150" i="19" s="1"/>
  <c r="T150" i="19"/>
  <c r="U150" i="19" s="1"/>
  <c r="S150" i="19"/>
  <c r="V149" i="19"/>
  <c r="W149" i="19" s="1"/>
  <c r="T149" i="19"/>
  <c r="U149" i="19" s="1"/>
  <c r="S149" i="19"/>
  <c r="V148" i="19"/>
  <c r="W148" i="19" s="1"/>
  <c r="T148" i="19"/>
  <c r="U148" i="19" s="1"/>
  <c r="S148" i="19"/>
  <c r="V147" i="19"/>
  <c r="W147" i="19" s="1"/>
  <c r="T147" i="19"/>
  <c r="U147" i="19" s="1"/>
  <c r="S147" i="19"/>
  <c r="W146" i="19"/>
  <c r="V146" i="19"/>
  <c r="T146" i="19"/>
  <c r="U146" i="19" s="1"/>
  <c r="S146" i="19"/>
  <c r="V145" i="19"/>
  <c r="W145" i="19" s="1"/>
  <c r="T145" i="19"/>
  <c r="U145" i="19" s="1"/>
  <c r="S145" i="19"/>
  <c r="W144" i="19"/>
  <c r="V144" i="19"/>
  <c r="T144" i="19"/>
  <c r="U144" i="19" s="1"/>
  <c r="S144" i="19"/>
  <c r="W143" i="19"/>
  <c r="V143" i="19"/>
  <c r="T143" i="19"/>
  <c r="U143" i="19" s="1"/>
  <c r="S143" i="19"/>
  <c r="V142" i="19"/>
  <c r="W142" i="19" s="1"/>
  <c r="T142" i="19"/>
  <c r="U142" i="19" s="1"/>
  <c r="S142" i="19"/>
  <c r="W141" i="19"/>
  <c r="V141" i="19"/>
  <c r="U141" i="19"/>
  <c r="T141" i="19"/>
  <c r="S141" i="19"/>
  <c r="V140" i="19"/>
  <c r="W140" i="19" s="1"/>
  <c r="T140" i="19"/>
  <c r="U140" i="19" s="1"/>
  <c r="S140" i="19"/>
  <c r="V139" i="19"/>
  <c r="W139" i="19" s="1"/>
  <c r="T139" i="19"/>
  <c r="U139" i="19" s="1"/>
  <c r="S139" i="19"/>
  <c r="V138" i="19"/>
  <c r="W138" i="19" s="1"/>
  <c r="T138" i="19"/>
  <c r="U138" i="19" s="1"/>
  <c r="S138" i="19"/>
  <c r="V137" i="19"/>
  <c r="W137" i="19" s="1"/>
  <c r="T137" i="19"/>
  <c r="U137" i="19" s="1"/>
  <c r="S137" i="19"/>
  <c r="V136" i="19"/>
  <c r="W136" i="19" s="1"/>
  <c r="T136" i="19"/>
  <c r="U136" i="19" s="1"/>
  <c r="S136" i="19"/>
  <c r="V135" i="19"/>
  <c r="W135" i="19" s="1"/>
  <c r="T135" i="19"/>
  <c r="U135" i="19" s="1"/>
  <c r="S135" i="19"/>
  <c r="V134" i="19"/>
  <c r="W134" i="19" s="1"/>
  <c r="T134" i="19"/>
  <c r="U134" i="19" s="1"/>
  <c r="S134" i="19"/>
  <c r="V133" i="19"/>
  <c r="W133" i="19" s="1"/>
  <c r="T133" i="19"/>
  <c r="U133" i="19" s="1"/>
  <c r="S133" i="19"/>
  <c r="V132" i="19"/>
  <c r="W132" i="19" s="1"/>
  <c r="T132" i="19"/>
  <c r="U132" i="19" s="1"/>
  <c r="S132" i="19"/>
  <c r="W131" i="19"/>
  <c r="V131" i="19"/>
  <c r="T131" i="19"/>
  <c r="U131" i="19" s="1"/>
  <c r="S131" i="19"/>
  <c r="V130" i="19"/>
  <c r="W130" i="19" s="1"/>
  <c r="T130" i="19"/>
  <c r="U130" i="19"/>
  <c r="S130" i="19"/>
  <c r="S127" i="19"/>
  <c r="S126" i="19"/>
  <c r="S125" i="19"/>
  <c r="S124" i="19"/>
  <c r="S123" i="19"/>
  <c r="S122" i="19"/>
  <c r="S121" i="19"/>
  <c r="S120" i="19"/>
  <c r="S119" i="19"/>
  <c r="S118" i="19"/>
  <c r="S117" i="19"/>
  <c r="S116" i="19"/>
  <c r="S115" i="19"/>
  <c r="S114" i="19"/>
  <c r="S113" i="19"/>
  <c r="S112" i="19"/>
  <c r="S111" i="19"/>
  <c r="S110" i="19"/>
  <c r="S109" i="19"/>
  <c r="S108" i="19"/>
  <c r="S107" i="19"/>
  <c r="S106" i="19"/>
  <c r="S105" i="19"/>
  <c r="S104" i="19"/>
  <c r="S103" i="19"/>
  <c r="S102" i="19"/>
  <c r="S101" i="19"/>
  <c r="S100" i="19"/>
  <c r="S99" i="19"/>
  <c r="S98" i="19"/>
  <c r="S97" i="19"/>
  <c r="S96" i="19"/>
  <c r="S95" i="19"/>
  <c r="S94" i="19"/>
  <c r="S93" i="19"/>
  <c r="S92" i="19"/>
  <c r="S91" i="19"/>
  <c r="S90" i="19"/>
  <c r="S89" i="19"/>
  <c r="S88" i="19"/>
  <c r="S87" i="19"/>
  <c r="S86" i="19"/>
  <c r="S85" i="19"/>
  <c r="S84" i="19"/>
  <c r="S83" i="19"/>
  <c r="S82" i="19"/>
  <c r="S81" i="19"/>
  <c r="S80" i="19"/>
  <c r="S79" i="19"/>
  <c r="S78" i="19"/>
  <c r="S77" i="19"/>
  <c r="S76" i="19"/>
  <c r="S75" i="19"/>
  <c r="S74" i="19"/>
  <c r="S73" i="19"/>
  <c r="S72" i="19"/>
  <c r="S71" i="19"/>
  <c r="S70" i="19"/>
  <c r="S69" i="19"/>
  <c r="S68" i="19"/>
  <c r="S67" i="19"/>
  <c r="S66" i="19"/>
  <c r="S65" i="19"/>
  <c r="S64" i="19"/>
  <c r="S63" i="19"/>
  <c r="S62" i="19"/>
  <c r="S61" i="19"/>
  <c r="S60" i="19"/>
  <c r="S59" i="19"/>
  <c r="S58" i="19"/>
  <c r="S57" i="19"/>
  <c r="S56" i="19"/>
  <c r="S55" i="19"/>
  <c r="S54" i="19"/>
  <c r="S53" i="19"/>
  <c r="S52" i="19"/>
  <c r="S51" i="19"/>
  <c r="S50" i="19"/>
  <c r="S49" i="19"/>
  <c r="S48" i="19"/>
  <c r="S47" i="19"/>
  <c r="S46" i="19"/>
  <c r="S45" i="19"/>
  <c r="S44" i="19"/>
  <c r="S43" i="19"/>
  <c r="S42" i="19"/>
  <c r="S41" i="19"/>
  <c r="S40" i="19"/>
  <c r="S39" i="19"/>
  <c r="S38" i="19"/>
  <c r="S37" i="19"/>
  <c r="S36" i="19"/>
  <c r="S35" i="19"/>
  <c r="S34" i="19"/>
  <c r="S33" i="19"/>
  <c r="S32" i="19"/>
  <c r="S31" i="19"/>
  <c r="S30" i="19"/>
  <c r="S29" i="19"/>
  <c r="S28" i="19"/>
  <c r="S27" i="19"/>
  <c r="S26" i="19"/>
  <c r="S25" i="19"/>
  <c r="S24" i="19"/>
  <c r="S23" i="19"/>
  <c r="S22" i="19"/>
  <c r="S21" i="19"/>
  <c r="S20" i="19"/>
  <c r="S19" i="19"/>
  <c r="S18" i="19"/>
  <c r="S17" i="19"/>
  <c r="S16" i="19"/>
  <c r="S15" i="19"/>
  <c r="S14" i="19"/>
  <c r="S13" i="19"/>
  <c r="S12" i="19"/>
  <c r="S11" i="19"/>
  <c r="S10" i="19"/>
  <c r="S9" i="19"/>
  <c r="S8" i="19"/>
  <c r="S7" i="19"/>
  <c r="S6" i="19"/>
  <c r="S5" i="19"/>
  <c r="S4" i="19"/>
  <c r="S3" i="19"/>
  <c r="S2" i="19"/>
  <c r="V127" i="19"/>
  <c r="W127" i="19" s="1"/>
  <c r="T127" i="19"/>
  <c r="U127" i="19" s="1"/>
  <c r="V126" i="19"/>
  <c r="W126" i="19" s="1"/>
  <c r="T126" i="19"/>
  <c r="U126" i="19" s="1"/>
  <c r="V125" i="19"/>
  <c r="W125" i="19" s="1"/>
  <c r="T125" i="19"/>
  <c r="U125" i="19" s="1"/>
  <c r="V124" i="19"/>
  <c r="W124" i="19" s="1"/>
  <c r="T124" i="19"/>
  <c r="U124" i="19" s="1"/>
  <c r="V123" i="19"/>
  <c r="W123" i="19" s="1"/>
  <c r="T123" i="19"/>
  <c r="U123" i="19" s="1"/>
  <c r="V122" i="19"/>
  <c r="W122" i="19" s="1"/>
  <c r="T122" i="19"/>
  <c r="U122" i="19" s="1"/>
  <c r="V121" i="19"/>
  <c r="W121" i="19" s="1"/>
  <c r="T121" i="19"/>
  <c r="U121" i="19" s="1"/>
  <c r="V120" i="19"/>
  <c r="W120" i="19" s="1"/>
  <c r="T120" i="19"/>
  <c r="U120" i="19" s="1"/>
  <c r="V119" i="19"/>
  <c r="W119" i="19" s="1"/>
  <c r="T119" i="19"/>
  <c r="U119" i="19" s="1"/>
  <c r="V118" i="19"/>
  <c r="W118" i="19" s="1"/>
  <c r="T118" i="19"/>
  <c r="U118" i="19" s="1"/>
  <c r="V117" i="19"/>
  <c r="W117" i="19" s="1"/>
  <c r="T117" i="19"/>
  <c r="U117" i="19" s="1"/>
  <c r="V116" i="19"/>
  <c r="W116" i="19" s="1"/>
  <c r="T116" i="19"/>
  <c r="U116" i="19" s="1"/>
  <c r="V115" i="19"/>
  <c r="W115" i="19" s="1"/>
  <c r="T115" i="19"/>
  <c r="U115" i="19" s="1"/>
  <c r="V114" i="19"/>
  <c r="W114" i="19" s="1"/>
  <c r="T114" i="19"/>
  <c r="U114" i="19" s="1"/>
  <c r="V113" i="19"/>
  <c r="W113" i="19" s="1"/>
  <c r="T113" i="19"/>
  <c r="U113" i="19" s="1"/>
  <c r="V112" i="19"/>
  <c r="W112" i="19" s="1"/>
  <c r="T112" i="19"/>
  <c r="U112" i="19" s="1"/>
  <c r="V111" i="19"/>
  <c r="W111" i="19" s="1"/>
  <c r="T111" i="19"/>
  <c r="U111" i="19" s="1"/>
  <c r="V110" i="19"/>
  <c r="W110" i="19" s="1"/>
  <c r="T110" i="19"/>
  <c r="U110" i="19" s="1"/>
  <c r="V109" i="19"/>
  <c r="W109" i="19" s="1"/>
  <c r="T109" i="19"/>
  <c r="U109" i="19" s="1"/>
  <c r="V108" i="19"/>
  <c r="W108" i="19" s="1"/>
  <c r="T108" i="19"/>
  <c r="U108" i="19" s="1"/>
  <c r="V107" i="19"/>
  <c r="W107" i="19" s="1"/>
  <c r="T107" i="19"/>
  <c r="U107" i="19" s="1"/>
  <c r="V106" i="19"/>
  <c r="W106" i="19" s="1"/>
  <c r="T106" i="19"/>
  <c r="U106" i="19" s="1"/>
  <c r="V105" i="19"/>
  <c r="W105" i="19" s="1"/>
  <c r="T105" i="19"/>
  <c r="U105" i="19" s="1"/>
  <c r="V104" i="19"/>
  <c r="W104" i="19" s="1"/>
  <c r="T104" i="19"/>
  <c r="U104" i="19" s="1"/>
  <c r="V103" i="19"/>
  <c r="W103" i="19" s="1"/>
  <c r="T103" i="19"/>
  <c r="U103" i="19" s="1"/>
  <c r="V102" i="19"/>
  <c r="W102" i="19" s="1"/>
  <c r="T102" i="19"/>
  <c r="U102" i="19" s="1"/>
  <c r="V101" i="19"/>
  <c r="W101" i="19" s="1"/>
  <c r="T101" i="19"/>
  <c r="U101" i="19" s="1"/>
  <c r="V100" i="19"/>
  <c r="W100" i="19" s="1"/>
  <c r="T100" i="19"/>
  <c r="U100" i="19" s="1"/>
  <c r="V99" i="19"/>
  <c r="W99" i="19" s="1"/>
  <c r="T99" i="19"/>
  <c r="U99" i="19" s="1"/>
  <c r="V98" i="19"/>
  <c r="W98" i="19" s="1"/>
  <c r="T98" i="19"/>
  <c r="U98" i="19" s="1"/>
  <c r="V97" i="19"/>
  <c r="W97" i="19" s="1"/>
  <c r="T97" i="19"/>
  <c r="U97" i="19" s="1"/>
  <c r="V96" i="19"/>
  <c r="W96" i="19" s="1"/>
  <c r="T96" i="19"/>
  <c r="U96" i="19" s="1"/>
  <c r="V95" i="19"/>
  <c r="W95" i="19" s="1"/>
  <c r="T95" i="19"/>
  <c r="U95" i="19" s="1"/>
  <c r="V94" i="19"/>
  <c r="W94" i="19" s="1"/>
  <c r="T94" i="19"/>
  <c r="U94" i="19" s="1"/>
  <c r="V93" i="19"/>
  <c r="W93" i="19" s="1"/>
  <c r="T93" i="19"/>
  <c r="U93" i="19" s="1"/>
  <c r="V92" i="19"/>
  <c r="W92" i="19" s="1"/>
  <c r="T92" i="19"/>
  <c r="U92" i="19" s="1"/>
  <c r="V91" i="19"/>
  <c r="W91" i="19" s="1"/>
  <c r="T91" i="19"/>
  <c r="U91" i="19" s="1"/>
  <c r="V90" i="19"/>
  <c r="W90" i="19" s="1"/>
  <c r="T90" i="19"/>
  <c r="U90" i="19" s="1"/>
  <c r="V89" i="19"/>
  <c r="W89" i="19" s="1"/>
  <c r="T89" i="19"/>
  <c r="U89" i="19" s="1"/>
  <c r="V88" i="19"/>
  <c r="W88" i="19" s="1"/>
  <c r="T88" i="19"/>
  <c r="U88" i="19" s="1"/>
  <c r="V87" i="19"/>
  <c r="W87" i="19" s="1"/>
  <c r="T87" i="19"/>
  <c r="U87" i="19" s="1"/>
  <c r="V86" i="19"/>
  <c r="W86" i="19" s="1"/>
  <c r="T86" i="19"/>
  <c r="U86" i="19" s="1"/>
  <c r="V85" i="19"/>
  <c r="W85" i="19" s="1"/>
  <c r="T85" i="19"/>
  <c r="U85" i="19" s="1"/>
  <c r="V84" i="19"/>
  <c r="W84" i="19" s="1"/>
  <c r="T84" i="19"/>
  <c r="U84" i="19" s="1"/>
  <c r="V83" i="19"/>
  <c r="W83" i="19" s="1"/>
  <c r="T83" i="19"/>
  <c r="U83" i="19" s="1"/>
  <c r="V82" i="19"/>
  <c r="W82" i="19" s="1"/>
  <c r="T82" i="19"/>
  <c r="U82" i="19" s="1"/>
  <c r="V81" i="19"/>
  <c r="W81" i="19" s="1"/>
  <c r="T81" i="19"/>
  <c r="U81" i="19" s="1"/>
  <c r="V80" i="19"/>
  <c r="W80" i="19" s="1"/>
  <c r="T80" i="19"/>
  <c r="U80" i="19" s="1"/>
  <c r="V79" i="19"/>
  <c r="W79" i="19" s="1"/>
  <c r="T79" i="19"/>
  <c r="U79" i="19" s="1"/>
  <c r="V78" i="19"/>
  <c r="W78" i="19" s="1"/>
  <c r="T78" i="19"/>
  <c r="U78" i="19" s="1"/>
  <c r="V77" i="19"/>
  <c r="W77" i="19" s="1"/>
  <c r="T77" i="19"/>
  <c r="U77" i="19" s="1"/>
  <c r="V76" i="19"/>
  <c r="W76" i="19" s="1"/>
  <c r="T76" i="19"/>
  <c r="U76" i="19" s="1"/>
  <c r="V75" i="19"/>
  <c r="W75" i="19" s="1"/>
  <c r="T75" i="19"/>
  <c r="U75" i="19" s="1"/>
  <c r="V74" i="19"/>
  <c r="W74" i="19" s="1"/>
  <c r="T74" i="19"/>
  <c r="U74" i="19" s="1"/>
  <c r="V73" i="19"/>
  <c r="W73" i="19" s="1"/>
  <c r="T73" i="19"/>
  <c r="U73" i="19" s="1"/>
  <c r="V72" i="19"/>
  <c r="W72" i="19" s="1"/>
  <c r="T72" i="19"/>
  <c r="U72" i="19" s="1"/>
  <c r="V71" i="19"/>
  <c r="W71" i="19" s="1"/>
  <c r="T71" i="19"/>
  <c r="U71" i="19" s="1"/>
  <c r="V70" i="19"/>
  <c r="W70" i="19" s="1"/>
  <c r="T70" i="19"/>
  <c r="U70" i="19" s="1"/>
  <c r="V69" i="19"/>
  <c r="W69" i="19" s="1"/>
  <c r="T69" i="19"/>
  <c r="U69" i="19" s="1"/>
  <c r="V68" i="19"/>
  <c r="W68" i="19" s="1"/>
  <c r="T68" i="19"/>
  <c r="U68" i="19" s="1"/>
  <c r="V67" i="19"/>
  <c r="W67" i="19" s="1"/>
  <c r="T67" i="19"/>
  <c r="U67" i="19" s="1"/>
  <c r="V66" i="19"/>
  <c r="W66" i="19" s="1"/>
  <c r="T66" i="19"/>
  <c r="U66" i="19" s="1"/>
  <c r="V65" i="19"/>
  <c r="W65" i="19" s="1"/>
  <c r="T65" i="19"/>
  <c r="U65" i="19" s="1"/>
  <c r="V64" i="19"/>
  <c r="W64" i="19" s="1"/>
  <c r="T64" i="19"/>
  <c r="U64" i="19" s="1"/>
  <c r="V63" i="19"/>
  <c r="W63" i="19" s="1"/>
  <c r="T63" i="19"/>
  <c r="U63" i="19" s="1"/>
  <c r="V62" i="19"/>
  <c r="W62" i="19" s="1"/>
  <c r="T62" i="19"/>
  <c r="U62" i="19" s="1"/>
  <c r="V61" i="19"/>
  <c r="W61" i="19" s="1"/>
  <c r="T61" i="19"/>
  <c r="U61" i="19" s="1"/>
  <c r="V60" i="19"/>
  <c r="W60" i="19" s="1"/>
  <c r="T60" i="19"/>
  <c r="U60" i="19" s="1"/>
  <c r="V59" i="19"/>
  <c r="W59" i="19" s="1"/>
  <c r="T59" i="19"/>
  <c r="U59" i="19" s="1"/>
  <c r="V58" i="19"/>
  <c r="W58" i="19" s="1"/>
  <c r="T58" i="19"/>
  <c r="U58" i="19" s="1"/>
  <c r="V57" i="19"/>
  <c r="W57" i="19" s="1"/>
  <c r="T57" i="19"/>
  <c r="U57" i="19" s="1"/>
  <c r="V56" i="19"/>
  <c r="W56" i="19" s="1"/>
  <c r="T56" i="19"/>
  <c r="U56" i="19" s="1"/>
  <c r="V55" i="19"/>
  <c r="W55" i="19" s="1"/>
  <c r="T55" i="19"/>
  <c r="U55" i="19" s="1"/>
  <c r="V54" i="19"/>
  <c r="W54" i="19" s="1"/>
  <c r="T54" i="19"/>
  <c r="U54" i="19" s="1"/>
  <c r="V53" i="19"/>
  <c r="W53" i="19" s="1"/>
  <c r="T53" i="19"/>
  <c r="U53" i="19" s="1"/>
  <c r="V52" i="19"/>
  <c r="W52" i="19" s="1"/>
  <c r="T52" i="19"/>
  <c r="U52" i="19" s="1"/>
  <c r="V51" i="19"/>
  <c r="W51" i="19" s="1"/>
  <c r="T51" i="19"/>
  <c r="U51" i="19" s="1"/>
  <c r="V50" i="19"/>
  <c r="W50" i="19" s="1"/>
  <c r="T50" i="19"/>
  <c r="U50" i="19" s="1"/>
  <c r="V49" i="19"/>
  <c r="W49" i="19" s="1"/>
  <c r="T49" i="19"/>
  <c r="U49" i="19" s="1"/>
  <c r="V48" i="19"/>
  <c r="W48" i="19" s="1"/>
  <c r="T48" i="19"/>
  <c r="U48" i="19" s="1"/>
  <c r="V47" i="19"/>
  <c r="W47" i="19" s="1"/>
  <c r="T47" i="19"/>
  <c r="U47" i="19" s="1"/>
  <c r="V46" i="19"/>
  <c r="W46" i="19" s="1"/>
  <c r="T46" i="19"/>
  <c r="U46" i="19" s="1"/>
  <c r="V45" i="19"/>
  <c r="W45" i="19" s="1"/>
  <c r="T45" i="19"/>
  <c r="U45" i="19" s="1"/>
  <c r="V44" i="19"/>
  <c r="W44" i="19" s="1"/>
  <c r="T44" i="19"/>
  <c r="U44" i="19" s="1"/>
  <c r="V43" i="19"/>
  <c r="W43" i="19" s="1"/>
  <c r="T43" i="19"/>
  <c r="U43" i="19" s="1"/>
  <c r="V42" i="19"/>
  <c r="W42" i="19" s="1"/>
  <c r="T42" i="19"/>
  <c r="U42" i="19" s="1"/>
  <c r="V41" i="19"/>
  <c r="W41" i="19" s="1"/>
  <c r="T41" i="19"/>
  <c r="U41" i="19" s="1"/>
  <c r="V40" i="19"/>
  <c r="W40" i="19" s="1"/>
  <c r="T40" i="19"/>
  <c r="U40" i="19" s="1"/>
  <c r="V39" i="19"/>
  <c r="W39" i="19" s="1"/>
  <c r="T39" i="19"/>
  <c r="U39" i="19" s="1"/>
  <c r="V38" i="19"/>
  <c r="W38" i="19" s="1"/>
  <c r="T38" i="19"/>
  <c r="U38" i="19" s="1"/>
  <c r="V37" i="19"/>
  <c r="W37" i="19" s="1"/>
  <c r="T37" i="19"/>
  <c r="U37" i="19" s="1"/>
  <c r="V36" i="19"/>
  <c r="W36" i="19" s="1"/>
  <c r="T36" i="19"/>
  <c r="U36" i="19" s="1"/>
  <c r="V35" i="19"/>
  <c r="W35" i="19" s="1"/>
  <c r="T35" i="19"/>
  <c r="U35" i="19" s="1"/>
  <c r="V34" i="19"/>
  <c r="W34" i="19" s="1"/>
  <c r="T34" i="19"/>
  <c r="U34" i="19" s="1"/>
  <c r="V33" i="19"/>
  <c r="W33" i="19" s="1"/>
  <c r="T33" i="19"/>
  <c r="U33" i="19" s="1"/>
  <c r="V32" i="19"/>
  <c r="W32" i="19" s="1"/>
  <c r="T32" i="19"/>
  <c r="U32" i="19" s="1"/>
  <c r="V31" i="19"/>
  <c r="W31" i="19" s="1"/>
  <c r="T31" i="19"/>
  <c r="U31" i="19" s="1"/>
  <c r="V30" i="19"/>
  <c r="W30" i="19" s="1"/>
  <c r="T30" i="19"/>
  <c r="U30" i="19" s="1"/>
  <c r="V29" i="19"/>
  <c r="W29" i="19" s="1"/>
  <c r="T29" i="19"/>
  <c r="U29" i="19" s="1"/>
  <c r="V28" i="19"/>
  <c r="W28" i="19" s="1"/>
  <c r="T28" i="19"/>
  <c r="U28" i="19" s="1"/>
  <c r="V27" i="19"/>
  <c r="W27" i="19" s="1"/>
  <c r="T27" i="19"/>
  <c r="U27" i="19" s="1"/>
  <c r="V26" i="19"/>
  <c r="W26" i="19" s="1"/>
  <c r="T26" i="19"/>
  <c r="U26" i="19" s="1"/>
  <c r="V25" i="19"/>
  <c r="W25" i="19" s="1"/>
  <c r="T25" i="19"/>
  <c r="U25" i="19" s="1"/>
  <c r="V24" i="19"/>
  <c r="W24" i="19" s="1"/>
  <c r="T24" i="19"/>
  <c r="U24" i="19" s="1"/>
  <c r="V23" i="19"/>
  <c r="W23" i="19" s="1"/>
  <c r="T23" i="19"/>
  <c r="U23" i="19" s="1"/>
  <c r="V22" i="19"/>
  <c r="W22" i="19" s="1"/>
  <c r="T22" i="19"/>
  <c r="U22" i="19" s="1"/>
  <c r="V21" i="19"/>
  <c r="W21" i="19" s="1"/>
  <c r="T21" i="19"/>
  <c r="U21" i="19" s="1"/>
  <c r="V20" i="19"/>
  <c r="W20" i="19" s="1"/>
  <c r="T20" i="19"/>
  <c r="U20" i="19" s="1"/>
  <c r="V19" i="19"/>
  <c r="W19" i="19" s="1"/>
  <c r="T19" i="19"/>
  <c r="U19" i="19" s="1"/>
  <c r="V18" i="19"/>
  <c r="W18" i="19" s="1"/>
  <c r="T18" i="19"/>
  <c r="U18" i="19" s="1"/>
  <c r="V17" i="19"/>
  <c r="W17" i="19" s="1"/>
  <c r="T17" i="19"/>
  <c r="U17" i="19" s="1"/>
  <c r="V16" i="19"/>
  <c r="W16" i="19" s="1"/>
  <c r="T16" i="19"/>
  <c r="U16" i="19" s="1"/>
  <c r="V15" i="19"/>
  <c r="W15" i="19" s="1"/>
  <c r="T15" i="19"/>
  <c r="U15" i="19" s="1"/>
  <c r="V14" i="19"/>
  <c r="W14" i="19" s="1"/>
  <c r="T14" i="19"/>
  <c r="U14" i="19" s="1"/>
  <c r="V13" i="19"/>
  <c r="W13" i="19" s="1"/>
  <c r="T13" i="19"/>
  <c r="U13" i="19" s="1"/>
  <c r="V12" i="19"/>
  <c r="W12" i="19" s="1"/>
  <c r="T12" i="19"/>
  <c r="U12" i="19" s="1"/>
  <c r="V11" i="19"/>
  <c r="W11" i="19" s="1"/>
  <c r="T11" i="19"/>
  <c r="U11" i="19" s="1"/>
  <c r="V10" i="19"/>
  <c r="W10" i="19" s="1"/>
  <c r="T10" i="19"/>
  <c r="U10" i="19" s="1"/>
  <c r="V9" i="19"/>
  <c r="W9" i="19" s="1"/>
  <c r="T9" i="19"/>
  <c r="U9" i="19" s="1"/>
  <c r="V8" i="19"/>
  <c r="W8" i="19" s="1"/>
  <c r="T8" i="19"/>
  <c r="U8" i="19" s="1"/>
  <c r="V7" i="19"/>
  <c r="W7" i="19" s="1"/>
  <c r="T7" i="19"/>
  <c r="U7" i="19" s="1"/>
  <c r="V6" i="19"/>
  <c r="W6" i="19" s="1"/>
  <c r="T6" i="19"/>
  <c r="U6" i="19" s="1"/>
  <c r="V5" i="19"/>
  <c r="W5" i="19" s="1"/>
  <c r="T5" i="19"/>
  <c r="U5" i="19" s="1"/>
  <c r="V4" i="19"/>
  <c r="W4" i="19" s="1"/>
  <c r="T4" i="19"/>
  <c r="U4" i="19" s="1"/>
  <c r="V3" i="19"/>
  <c r="W3" i="19" s="1"/>
  <c r="T3" i="19"/>
  <c r="U3" i="19" s="1"/>
  <c r="V2" i="19"/>
  <c r="W2" i="19"/>
  <c r="T2" i="19"/>
  <c r="U2" i="19" s="1"/>
  <c r="O2" i="19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72" i="19"/>
  <c r="O73" i="19"/>
  <c r="O74" i="19"/>
  <c r="O75" i="19"/>
  <c r="O76" i="19"/>
  <c r="O77" i="19"/>
  <c r="O78" i="19"/>
  <c r="O79" i="19"/>
  <c r="O80" i="19"/>
  <c r="O81" i="19"/>
  <c r="O82" i="19"/>
  <c r="O83" i="19"/>
  <c r="O84" i="19"/>
  <c r="O85" i="19"/>
  <c r="O86" i="19"/>
  <c r="O87" i="19"/>
  <c r="O88" i="19"/>
  <c r="O89" i="19"/>
  <c r="O90" i="19"/>
  <c r="O91" i="19"/>
  <c r="O92" i="19"/>
  <c r="O93" i="19"/>
  <c r="O94" i="19"/>
  <c r="O95" i="19"/>
  <c r="O96" i="19"/>
  <c r="O97" i="19"/>
  <c r="O98" i="19"/>
  <c r="O99" i="19"/>
  <c r="O100" i="19"/>
  <c r="O101" i="19"/>
  <c r="O102" i="19"/>
  <c r="O103" i="19"/>
  <c r="O104" i="19"/>
  <c r="O105" i="19"/>
  <c r="O106" i="19"/>
  <c r="O107" i="19"/>
  <c r="O108" i="19"/>
  <c r="O109" i="19"/>
  <c r="O110" i="19"/>
  <c r="O111" i="19"/>
  <c r="O112" i="19"/>
  <c r="O113" i="19"/>
  <c r="O114" i="19"/>
  <c r="O115" i="19"/>
  <c r="O116" i="19"/>
  <c r="O117" i="19"/>
  <c r="O118" i="19"/>
  <c r="O119" i="19"/>
  <c r="O120" i="19"/>
  <c r="O121" i="19"/>
  <c r="O122" i="19"/>
  <c r="O123" i="19"/>
  <c r="O124" i="19"/>
  <c r="O125" i="19"/>
  <c r="O126" i="19"/>
  <c r="O127" i="19"/>
  <c r="O128" i="19"/>
  <c r="O129" i="19"/>
  <c r="O130" i="19"/>
  <c r="O131" i="19"/>
  <c r="O132" i="19"/>
  <c r="O133" i="19"/>
  <c r="O134" i="19"/>
  <c r="O135" i="19"/>
  <c r="O136" i="19"/>
  <c r="O137" i="19"/>
  <c r="O138" i="19"/>
  <c r="O139" i="19"/>
  <c r="O140" i="19"/>
  <c r="O141" i="19"/>
  <c r="O142" i="19"/>
  <c r="O143" i="19"/>
  <c r="O144" i="19"/>
  <c r="O145" i="19"/>
  <c r="O146" i="19"/>
  <c r="O147" i="19"/>
  <c r="O148" i="19"/>
  <c r="O149" i="19"/>
  <c r="O150" i="19"/>
  <c r="O151" i="19"/>
  <c r="O152" i="19"/>
  <c r="O153" i="19"/>
  <c r="O154" i="19"/>
  <c r="O155" i="19"/>
  <c r="O156" i="19"/>
  <c r="O157" i="19"/>
  <c r="O158" i="19"/>
  <c r="O159" i="19"/>
  <c r="O160" i="19"/>
  <c r="O161" i="19"/>
  <c r="O162" i="19"/>
  <c r="O163" i="19"/>
  <c r="O164" i="19"/>
  <c r="O165" i="19"/>
  <c r="O166" i="19"/>
  <c r="O167" i="19"/>
  <c r="O168" i="19"/>
  <c r="O169" i="19"/>
  <c r="O170" i="19"/>
  <c r="O171" i="19"/>
  <c r="O172" i="19"/>
  <c r="O173" i="19"/>
  <c r="O174" i="19"/>
  <c r="O175" i="19"/>
  <c r="O176" i="19"/>
  <c r="O177" i="19"/>
  <c r="O178" i="19"/>
  <c r="O179" i="19"/>
  <c r="O180" i="19"/>
  <c r="O181" i="19"/>
  <c r="O182" i="19"/>
  <c r="O183" i="19"/>
  <c r="O184" i="19"/>
  <c r="O185" i="19"/>
  <c r="O186" i="19"/>
  <c r="O187" i="19"/>
  <c r="O188" i="19"/>
  <c r="O189" i="19"/>
  <c r="O190" i="19"/>
  <c r="O191" i="19"/>
  <c r="O192" i="19"/>
  <c r="O193" i="19"/>
  <c r="O194" i="19"/>
  <c r="O195" i="19"/>
  <c r="O196" i="19"/>
  <c r="O197" i="19"/>
  <c r="O198" i="19"/>
  <c r="O199" i="19"/>
  <c r="O200" i="19"/>
  <c r="O201" i="19"/>
  <c r="O202" i="19"/>
  <c r="O203" i="19"/>
  <c r="O204" i="19"/>
  <c r="O205" i="19"/>
  <c r="O206" i="19"/>
  <c r="O207" i="19"/>
  <c r="O208" i="19"/>
  <c r="O209" i="19"/>
  <c r="O210" i="19"/>
  <c r="O211" i="19"/>
  <c r="O212" i="19"/>
  <c r="O213" i="19"/>
  <c r="O214" i="19"/>
  <c r="O215" i="19"/>
  <c r="O216" i="19"/>
  <c r="O217" i="19"/>
  <c r="O218" i="19"/>
  <c r="O219" i="19"/>
  <c r="O220" i="19"/>
  <c r="O221" i="19"/>
  <c r="O222" i="19"/>
  <c r="O223" i="19"/>
  <c r="O224" i="19"/>
  <c r="O225" i="19"/>
  <c r="O226" i="19"/>
  <c r="O227" i="19"/>
  <c r="O228" i="19"/>
  <c r="O229" i="19"/>
  <c r="O230" i="19"/>
  <c r="O231" i="19"/>
  <c r="O232" i="19"/>
  <c r="O233" i="19"/>
  <c r="O234" i="19"/>
  <c r="O235" i="19"/>
  <c r="O236" i="19"/>
  <c r="O237" i="19"/>
  <c r="O238" i="19"/>
  <c r="O239" i="19"/>
  <c r="O240" i="19"/>
  <c r="O241" i="19"/>
  <c r="O242" i="19"/>
  <c r="O243" i="19"/>
  <c r="O244" i="19"/>
  <c r="O245" i="19"/>
  <c r="O246" i="19"/>
  <c r="O247" i="19"/>
  <c r="O248" i="19"/>
  <c r="O249" i="19"/>
  <c r="O250" i="19"/>
  <c r="O251" i="19"/>
  <c r="O252" i="19"/>
  <c r="O253" i="19"/>
  <c r="O254" i="19"/>
  <c r="O255" i="19"/>
  <c r="O256" i="19"/>
  <c r="O257" i="19"/>
  <c r="O258" i="19"/>
  <c r="O259" i="19"/>
  <c r="O260" i="19"/>
  <c r="O261" i="19"/>
  <c r="O262" i="19"/>
  <c r="O263" i="19"/>
  <c r="O264" i="19"/>
  <c r="O265" i="19"/>
  <c r="O266" i="19"/>
  <c r="O267" i="19"/>
  <c r="O268" i="19"/>
  <c r="O2" i="18"/>
  <c r="O3" i="18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128" i="18"/>
  <c r="O129" i="18"/>
  <c r="O130" i="18"/>
  <c r="O131" i="18"/>
  <c r="O132" i="18"/>
  <c r="O133" i="18"/>
  <c r="O134" i="18"/>
  <c r="O135" i="18"/>
  <c r="O136" i="18"/>
  <c r="O137" i="18"/>
  <c r="O138" i="18"/>
  <c r="O139" i="18"/>
  <c r="O140" i="18"/>
  <c r="O141" i="18"/>
  <c r="O142" i="18"/>
  <c r="O143" i="18"/>
  <c r="O144" i="18"/>
  <c r="O145" i="18"/>
  <c r="O146" i="18"/>
  <c r="O147" i="18"/>
  <c r="O148" i="18"/>
  <c r="O149" i="18"/>
  <c r="O150" i="18"/>
  <c r="O151" i="18"/>
  <c r="O152" i="18"/>
  <c r="O153" i="18"/>
  <c r="O154" i="18"/>
  <c r="O155" i="18"/>
  <c r="O156" i="18"/>
  <c r="O157" i="18"/>
  <c r="O158" i="18"/>
  <c r="O159" i="18"/>
  <c r="O160" i="18"/>
  <c r="O161" i="18"/>
  <c r="O162" i="18"/>
  <c r="O163" i="18"/>
  <c r="O164" i="18"/>
  <c r="O165" i="18"/>
  <c r="O166" i="18"/>
  <c r="O167" i="18"/>
  <c r="O168" i="18"/>
  <c r="O169" i="18"/>
  <c r="O170" i="18"/>
  <c r="O171" i="18"/>
  <c r="O172" i="18"/>
  <c r="O173" i="18"/>
  <c r="O174" i="18"/>
  <c r="O175" i="18"/>
  <c r="O176" i="18"/>
  <c r="O177" i="18"/>
  <c r="O178" i="18"/>
  <c r="O179" i="18"/>
  <c r="O180" i="18"/>
  <c r="O181" i="18"/>
  <c r="O182" i="18"/>
  <c r="O183" i="18"/>
  <c r="O184" i="18"/>
  <c r="O185" i="18"/>
  <c r="O186" i="18"/>
  <c r="O187" i="18"/>
  <c r="O188" i="18"/>
  <c r="O189" i="18"/>
  <c r="O190" i="18"/>
  <c r="O191" i="18"/>
  <c r="O192" i="18"/>
  <c r="O193" i="18"/>
  <c r="O194" i="18"/>
  <c r="O195" i="18"/>
  <c r="O196" i="18"/>
  <c r="O197" i="18"/>
  <c r="O198" i="18"/>
  <c r="O199" i="18"/>
  <c r="O200" i="18"/>
  <c r="O201" i="18"/>
  <c r="O202" i="18"/>
  <c r="O203" i="18"/>
  <c r="O204" i="18"/>
  <c r="O205" i="18"/>
  <c r="O206" i="18"/>
  <c r="O207" i="18"/>
  <c r="O208" i="18"/>
  <c r="O209" i="18"/>
  <c r="O210" i="18"/>
  <c r="O211" i="18"/>
  <c r="O212" i="18"/>
  <c r="O213" i="18"/>
  <c r="O214" i="18"/>
  <c r="O215" i="18"/>
  <c r="O216" i="18"/>
  <c r="O217" i="18"/>
  <c r="O218" i="18"/>
  <c r="O219" i="18"/>
  <c r="O220" i="18"/>
  <c r="O221" i="18"/>
  <c r="O222" i="18"/>
  <c r="O223" i="18"/>
  <c r="O224" i="18"/>
  <c r="O225" i="18"/>
  <c r="O226" i="18"/>
  <c r="O227" i="18"/>
  <c r="O228" i="18"/>
  <c r="O229" i="18"/>
  <c r="O230" i="18"/>
  <c r="O231" i="18"/>
  <c r="O232" i="18"/>
  <c r="O233" i="18"/>
  <c r="O234" i="18"/>
  <c r="O235" i="18"/>
  <c r="O236" i="18"/>
  <c r="O237" i="18"/>
  <c r="O238" i="18"/>
  <c r="O239" i="18"/>
  <c r="O240" i="18"/>
  <c r="O241" i="18"/>
  <c r="O242" i="18"/>
  <c r="O243" i="18"/>
  <c r="O244" i="18"/>
  <c r="O245" i="18"/>
  <c r="O246" i="18"/>
  <c r="O247" i="18"/>
  <c r="O248" i="18"/>
  <c r="O249" i="18"/>
  <c r="O250" i="18"/>
  <c r="O251" i="18"/>
  <c r="O252" i="18"/>
  <c r="O253" i="18"/>
  <c r="O254" i="18"/>
  <c r="O255" i="18"/>
  <c r="O256" i="18"/>
  <c r="O257" i="18"/>
  <c r="O258" i="18"/>
  <c r="O259" i="18"/>
  <c r="O260" i="18"/>
  <c r="O261" i="18"/>
  <c r="O262" i="18"/>
  <c r="O263" i="18"/>
  <c r="O264" i="18"/>
  <c r="O265" i="18"/>
  <c r="O266" i="18"/>
</calcChain>
</file>

<file path=xl/sharedStrings.xml><?xml version="1.0" encoding="utf-8"?>
<sst xmlns="http://schemas.openxmlformats.org/spreadsheetml/2006/main" count="7294" uniqueCount="134">
  <si>
    <t>Run</t>
  </si>
  <si>
    <t>Preset</t>
  </si>
  <si>
    <t>Body</t>
  </si>
  <si>
    <t>SuspF</t>
  </si>
  <si>
    <t>Tire</t>
  </si>
  <si>
    <t>TirDyn</t>
  </si>
  <si>
    <t>Drv</t>
  </si>
  <si>
    <t>Trail</t>
  </si>
  <si>
    <t>Mane</t>
  </si>
  <si>
    <t>Solv</t>
  </si>
  <si>
    <t># Steps</t>
  </si>
  <si>
    <t>Time</t>
  </si>
  <si>
    <t>xFinal</t>
  </si>
  <si>
    <t>yFinal</t>
  </si>
  <si>
    <t>Figure</t>
  </si>
  <si>
    <t>Pass</t>
  </si>
  <si>
    <t>HambaLG</t>
  </si>
  <si>
    <t>dwb</t>
  </si>
  <si>
    <t>MFEval</t>
  </si>
  <si>
    <t>steady</t>
  </si>
  <si>
    <t>f1Dr1D</t>
  </si>
  <si>
    <t>None</t>
  </si>
  <si>
    <t>WOT Braking</t>
  </si>
  <si>
    <t>ode23t</t>
  </si>
  <si>
    <t>Low Speed Steer</t>
  </si>
  <si>
    <t>f1D3Dr1D</t>
  </si>
  <si>
    <t>fCVpCVr1D</t>
  </si>
  <si>
    <t>fCVpCVflexr1D</t>
  </si>
  <si>
    <t>lintra</t>
  </si>
  <si>
    <t>dwa</t>
  </si>
  <si>
    <t>S2LAF</t>
  </si>
  <si>
    <t>S2LAR</t>
  </si>
  <si>
    <t>5S2LAF</t>
  </si>
  <si>
    <t>5S2LAR</t>
  </si>
  <si>
    <t>5CS2LAF</t>
  </si>
  <si>
    <t>15DOF</t>
  </si>
  <si>
    <t>oneShaft</t>
  </si>
  <si>
    <t>fCVrCV</t>
  </si>
  <si>
    <t>1D3DABS</t>
  </si>
  <si>
    <t>sprFnl</t>
  </si>
  <si>
    <t>sprconRnl</t>
  </si>
  <si>
    <t>sprLin</t>
  </si>
  <si>
    <t>daminRnl</t>
  </si>
  <si>
    <t>damconFnl</t>
  </si>
  <si>
    <t>CVCVp1D</t>
  </si>
  <si>
    <t>Hamba</t>
  </si>
  <si>
    <t>Makhulu</t>
  </si>
  <si>
    <t>MFEval2x</t>
  </si>
  <si>
    <t>CFL</t>
  </si>
  <si>
    <t>MFSwift</t>
  </si>
  <si>
    <t>MFSwift2x</t>
  </si>
  <si>
    <t>E2sha</t>
  </si>
  <si>
    <t>E3sha</t>
  </si>
  <si>
    <t>Double Lane Change</t>
  </si>
  <si>
    <t>Ice Patch</t>
  </si>
  <si>
    <t>Mallory Park</t>
  </si>
  <si>
    <t>Mallory Park CCW</t>
  </si>
  <si>
    <t>15DOF2MotC</t>
  </si>
  <si>
    <t>15DOF3MotC</t>
  </si>
  <si>
    <t>Rack</t>
  </si>
  <si>
    <t>RackWheel</t>
  </si>
  <si>
    <t>RackStaticShafts</t>
  </si>
  <si>
    <t>WheelDrivenRack</t>
  </si>
  <si>
    <t>ode3</t>
  </si>
  <si>
    <t>Turn</t>
  </si>
  <si>
    <t>Elula</t>
  </si>
  <si>
    <t>Thwala</t>
  </si>
  <si>
    <t>Trailer Disturbance</t>
  </si>
  <si>
    <t>TestrigPost</t>
  </si>
  <si>
    <t>Testrig 4 Post</t>
  </si>
  <si>
    <t>Skidpad</t>
  </si>
  <si>
    <t>Constant Radius Closed-Loop</t>
  </si>
  <si>
    <t>Delft</t>
  </si>
  <si>
    <t>RDF Plateau</t>
  </si>
  <si>
    <t>Plateau Z Only</t>
  </si>
  <si>
    <t>CRG Plateau</t>
  </si>
  <si>
    <t>RDF Rough Road</t>
  </si>
  <si>
    <t>Rough Road Z Only</t>
  </si>
  <si>
    <t>CRG Mallory Park</t>
  </si>
  <si>
    <t>CRG Mallory Park F</t>
  </si>
  <si>
    <t>Mallory Park Obstacle</t>
  </si>
  <si>
    <t>MCity</t>
  </si>
  <si>
    <t>CRG Kyalami</t>
  </si>
  <si>
    <t>CRG Kyalami F</t>
  </si>
  <si>
    <t>CRG Nurburgring N</t>
  </si>
  <si>
    <t>CRG Nurburgring N F</t>
  </si>
  <si>
    <t>CRG Suzuka</t>
  </si>
  <si>
    <t>CRG Suzuka F</t>
  </si>
  <si>
    <t>CRG Pikes Peak</t>
  </si>
  <si>
    <t>CRG Pikes Peak Down</t>
  </si>
  <si>
    <t>fwd3D</t>
  </si>
  <si>
    <t>Drive Cycle FTP75</t>
  </si>
  <si>
    <t>daessc</t>
  </si>
  <si>
    <t>Drive Cycle UrbanCycle1</t>
  </si>
  <si>
    <t>Axle3_000</t>
  </si>
  <si>
    <t>Makhulu3Axle</t>
  </si>
  <si>
    <t>6x2</t>
  </si>
  <si>
    <t>Axle3_003</t>
  </si>
  <si>
    <t>6x4</t>
  </si>
  <si>
    <t>Axle3_008</t>
  </si>
  <si>
    <t>Amandla3Axle</t>
  </si>
  <si>
    <t>Axle3_010</t>
  </si>
  <si>
    <t>Kumanzi</t>
  </si>
  <si>
    <t>Axle3_012</t>
  </si>
  <si>
    <t>6x2Gen</t>
  </si>
  <si>
    <t>Achilles</t>
  </si>
  <si>
    <t>dwpua</t>
  </si>
  <si>
    <t>dwdec</t>
  </si>
  <si>
    <t>MFMbody</t>
  </si>
  <si>
    <t>RackDrivenShafts</t>
  </si>
  <si>
    <t>MFMbody2x</t>
  </si>
  <si>
    <t>CRG Hockenheim</t>
  </si>
  <si>
    <t>CRG Hockenheim F</t>
  </si>
  <si>
    <t>CRG Rough Road</t>
  </si>
  <si>
    <t>15DOF2Mot</t>
  </si>
  <si>
    <t>Axle3_017</t>
  </si>
  <si>
    <t>Axle3_019</t>
  </si>
  <si>
    <t>MATHWORKS-OL1OH</t>
  </si>
  <si>
    <t>MF-Swift Version: 2306</t>
  </si>
  <si>
    <t>24.1.0.2653294 (R2024a) Update 5</t>
  </si>
  <si>
    <t>30-Sep-2024 04:22:36</t>
  </si>
  <si>
    <t>MUC-VIDEOSTUDIO</t>
  </si>
  <si>
    <t>24.1.0.2689473 (R2024a) Update 6</t>
  </si>
  <si>
    <t>MF-Swift Version: 2312</t>
  </si>
  <si>
    <t>v3p2 R24a newTrajFollower stopXMax</t>
  </si>
  <si>
    <t>dwpull</t>
  </si>
  <si>
    <t>bushings</t>
  </si>
  <si>
    <t>22-Nov-2024 02:27:27</t>
  </si>
  <si>
    <t>v3p6 R24a RTP</t>
  </si>
  <si>
    <t>dSt</t>
  </si>
  <si>
    <t>%</t>
  </si>
  <si>
    <t>dTime</t>
  </si>
  <si>
    <t>23-Nov-2024 02:23:58</t>
  </si>
  <si>
    <t>v3p6 R24a RTP (v2)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</si>
</sst>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quotePrefix="1"/>
    <xf numFmtId="0" fontId="2" fillId="0" borderId="0" xfId="0" applyFont="1"/>
    <xf numFmtId="164" fontId="0" fillId="0" borderId="0" xfId="0" applyNumberFormat="1"/>
    <xf numFmtId="10" fontId="0" fillId="0" borderId="0" xfId="2" applyNumberFormat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5711D-3538-4C86-B406-AE4C54ACF815}">
  <dimension ref="A1:R266"/>
  <sheetViews>
    <sheetView topLeftCell="A112" workbookViewId="0">
      <selection activeCell="B128" sqref="B128"/>
    </sheetView>
  </sheetViews>
  <sheetFormatPr defaultRowHeight="15" x14ac:dyDescent="0.25"/>
  <cols>
    <col min="1" max="1" width="4.42578125" bestFit="1" customWidth="1"/>
    <col min="2" max="2" width="10" bestFit="1" customWidth="1"/>
    <col min="3" max="3" width="14" bestFit="1" customWidth="1"/>
    <col min="4" max="4" width="12.42578125" bestFit="1" customWidth="1"/>
    <col min="5" max="5" width="11.85546875" bestFit="1" customWidth="1"/>
    <col min="6" max="6" width="6.85546875" bestFit="1" customWidth="1"/>
    <col min="7" max="7" width="16.85546875" bestFit="1" customWidth="1"/>
    <col min="8" max="8" width="8.5703125" bestFit="1" customWidth="1"/>
    <col min="9" max="9" width="27.140625" bestFit="1" customWidth="1"/>
    <col min="10" max="10" width="7.140625" bestFit="1" customWidth="1"/>
    <col min="11" max="11" width="7.28515625" bestFit="1" customWidth="1"/>
    <col min="12" max="12" width="12" bestFit="1" customWidth="1"/>
    <col min="13" max="14" width="12.7109375" bestFit="1" customWidth="1"/>
    <col min="15" max="15" width="6.5703125" bestFit="1" customWidth="1"/>
    <col min="16" max="16" width="4.85546875" bestFit="1" customWidth="1"/>
    <col min="18" max="18" width="35.140625" bestFit="1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2" t="s">
        <v>120</v>
      </c>
    </row>
    <row r="2" spans="1:18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390</v>
      </c>
      <c r="L2">
        <v>10.5208668</v>
      </c>
      <c r="M2">
        <v>233.86221125184204</v>
      </c>
      <c r="N2">
        <v>8.1453449186907941E-3</v>
      </c>
      <c r="O2" s="1" t="str">
        <f>HYPERLINK(".\sm_car_240930_0021\sm_car_240930_0021_001_Ca000TrN_MaWOT_ode23t.png","figure")</f>
        <v>figure</v>
      </c>
      <c r="P2" t="s">
        <v>15</v>
      </c>
      <c r="R2" s="2" t="s">
        <v>121</v>
      </c>
    </row>
    <row r="3" spans="1:18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23</v>
      </c>
      <c r="K3">
        <v>526</v>
      </c>
      <c r="L3">
        <v>12.931089999999999</v>
      </c>
      <c r="M3">
        <v>72.046681083543589</v>
      </c>
      <c r="N3">
        <v>-0.55373545284533487</v>
      </c>
      <c r="O3" s="1" t="str">
        <f>HYPERLINK(".\sm_car_240930_0021\sm_car_240930_0021_002_Ca000TrN_MaLSS_ode23t.png","figure")</f>
        <v>figure</v>
      </c>
      <c r="P3" t="s">
        <v>15</v>
      </c>
      <c r="R3" s="2" t="s">
        <v>122</v>
      </c>
    </row>
    <row r="4" spans="1:18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23</v>
      </c>
      <c r="K4">
        <v>386</v>
      </c>
      <c r="L4">
        <v>12.859660399999999</v>
      </c>
      <c r="M4">
        <v>232.87174801728426</v>
      </c>
      <c r="N4">
        <v>-7.6206354382170728E-4</v>
      </c>
      <c r="O4" s="1" t="str">
        <f>HYPERLINK(".\sm_car_240930_0021\sm_car_240930_0021_003_Ca001TrN_MaWOT_ode23t.png","figure")</f>
        <v>figure</v>
      </c>
      <c r="P4" t="s">
        <v>15</v>
      </c>
      <c r="R4" s="2" t="s">
        <v>123</v>
      </c>
    </row>
    <row r="5" spans="1:18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23</v>
      </c>
      <c r="K5">
        <v>510</v>
      </c>
      <c r="L5">
        <v>14.240524000000001</v>
      </c>
      <c r="M5">
        <v>71.766892637493441</v>
      </c>
      <c r="N5">
        <v>-0.54718603019480716</v>
      </c>
      <c r="O5" s="1" t="str">
        <f>HYPERLINK(".\sm_car_240930_0021\sm_car_240930_0021_004_Ca001TrN_MaLSS_ode23t.png","figure")</f>
        <v>figure</v>
      </c>
      <c r="P5" t="s">
        <v>15</v>
      </c>
      <c r="R5" t="s">
        <v>124</v>
      </c>
    </row>
    <row r="6" spans="1:18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23</v>
      </c>
      <c r="K6">
        <v>411</v>
      </c>
      <c r="L6">
        <v>17.096440999999999</v>
      </c>
      <c r="M6">
        <v>233.04428329970381</v>
      </c>
      <c r="N6">
        <v>7.3111572172949182E-2</v>
      </c>
      <c r="O6" s="1" t="str">
        <f>HYPERLINK(".\sm_car_240930_0021\sm_car_240930_0021_005_Ca002TrN_MaWOT_ode23t.png","figure")</f>
        <v>figure</v>
      </c>
      <c r="P6" t="s">
        <v>15</v>
      </c>
    </row>
    <row r="7" spans="1:18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23</v>
      </c>
      <c r="K7">
        <v>521</v>
      </c>
      <c r="L7">
        <v>19.624860300000002</v>
      </c>
      <c r="M7">
        <v>71.757003316274307</v>
      </c>
      <c r="N7">
        <v>-0.54269543175910784</v>
      </c>
      <c r="O7" s="1" t="str">
        <f>HYPERLINK(".\sm_car_240930_0021\sm_car_240930_0021_006_Ca002TrN_MaLSS_ode23t.png","figure")</f>
        <v>figure</v>
      </c>
      <c r="P7" t="s">
        <v>15</v>
      </c>
    </row>
    <row r="8" spans="1:18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23</v>
      </c>
      <c r="K8">
        <v>457</v>
      </c>
      <c r="L8">
        <v>18.332885900000001</v>
      </c>
      <c r="M8">
        <v>232.61452100042794</v>
      </c>
      <c r="N8">
        <v>6.2865013886802684E-2</v>
      </c>
      <c r="O8" s="1" t="str">
        <f>HYPERLINK(".\sm_car_240930_0021\sm_car_240930_0021_007_Ca003TrN_MaWOT_ode23t.png","figure")</f>
        <v>figure</v>
      </c>
      <c r="P8" t="s">
        <v>15</v>
      </c>
    </row>
    <row r="9" spans="1:18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23</v>
      </c>
      <c r="K9">
        <v>540</v>
      </c>
      <c r="L9">
        <v>19.3145177</v>
      </c>
      <c r="M9">
        <v>71.626000539149402</v>
      </c>
      <c r="N9">
        <v>-0.5423272669494934</v>
      </c>
      <c r="O9" s="1" t="str">
        <f>HYPERLINK(".\sm_car_240930_0021\sm_car_240930_0021_008_Ca003TrN_MaLSS_ode23t.png","figure")</f>
        <v>figure</v>
      </c>
      <c r="P9" t="s">
        <v>15</v>
      </c>
    </row>
    <row r="10" spans="1:18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23</v>
      </c>
      <c r="K10">
        <v>1054</v>
      </c>
      <c r="L10">
        <v>18.048937299999999</v>
      </c>
      <c r="M10">
        <v>234.12909185079528</v>
      </c>
      <c r="N10">
        <v>1.0860774768222788E-2</v>
      </c>
      <c r="O10" s="1" t="str">
        <f>HYPERLINK(".\sm_car_240930_0021\sm_car_240930_0021_009_Ca004TrN_MaWOT_ode23t.png","figure")</f>
        <v>figure</v>
      </c>
      <c r="P10" t="s">
        <v>15</v>
      </c>
    </row>
    <row r="11" spans="1:18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23</v>
      </c>
      <c r="K11">
        <v>1180</v>
      </c>
      <c r="L11">
        <v>20.576497700000001</v>
      </c>
      <c r="M11">
        <v>72.064509522198904</v>
      </c>
      <c r="N11">
        <v>-0.5553006272805372</v>
      </c>
      <c r="O11" s="1" t="str">
        <f>HYPERLINK(".\sm_car_240930_0021\sm_car_240930_0021_010_Ca004TrN_MaLSS_ode23t.png","figure")</f>
        <v>figure</v>
      </c>
      <c r="P11" t="s">
        <v>15</v>
      </c>
    </row>
    <row r="12" spans="1:18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23</v>
      </c>
      <c r="K12">
        <v>1064</v>
      </c>
      <c r="L12">
        <v>19.847520400000001</v>
      </c>
      <c r="M12">
        <v>232.96016832910857</v>
      </c>
      <c r="N12">
        <v>4.190717080334045E-4</v>
      </c>
      <c r="O12" s="1" t="str">
        <f>HYPERLINK(".\sm_car_240930_0021\sm_car_240930_0021_011_Ca005TrN_MaWOT_ode23t.png","figure")</f>
        <v>figure</v>
      </c>
      <c r="P12" t="s">
        <v>15</v>
      </c>
    </row>
    <row r="13" spans="1:18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23</v>
      </c>
      <c r="K13">
        <v>1192</v>
      </c>
      <c r="L13">
        <v>23.471803900000001</v>
      </c>
      <c r="M13">
        <v>71.765060997831753</v>
      </c>
      <c r="N13">
        <v>-0.5472246597060525</v>
      </c>
      <c r="O13" s="1" t="str">
        <f>HYPERLINK(".\sm_car_240930_0021\sm_car_240930_0021_012_Ca005TrN_MaLSS_ode23t.png","figure")</f>
        <v>figure</v>
      </c>
      <c r="P13" t="s">
        <v>15</v>
      </c>
    </row>
    <row r="14" spans="1:18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23</v>
      </c>
      <c r="K14">
        <v>1221</v>
      </c>
      <c r="L14">
        <v>28.152267200000001</v>
      </c>
      <c r="M14">
        <v>233.00493075652406</v>
      </c>
      <c r="N14">
        <v>6.5974452905347591E-2</v>
      </c>
      <c r="O14" s="1" t="str">
        <f>HYPERLINK(".\sm_car_240930_0021\sm_car_240930_0021_013_Ca006TrN_MaWOT_ode23t.png","figure")</f>
        <v>figure</v>
      </c>
      <c r="P14" t="s">
        <v>15</v>
      </c>
    </row>
    <row r="15" spans="1:18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23</v>
      </c>
      <c r="K15">
        <v>1272</v>
      </c>
      <c r="L15">
        <v>25.684785000000002</v>
      </c>
      <c r="M15">
        <v>71.754137173806541</v>
      </c>
      <c r="N15">
        <v>-0.54583723066261047</v>
      </c>
      <c r="O15" s="1" t="str">
        <f>HYPERLINK(".\sm_car_240930_0021\sm_car_240930_0021_014_Ca006TrN_MaLSS_ode23t.png","figure")</f>
        <v>figure</v>
      </c>
      <c r="P15" t="s">
        <v>15</v>
      </c>
    </row>
    <row r="16" spans="1:18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23</v>
      </c>
      <c r="K16">
        <v>1162</v>
      </c>
      <c r="L16">
        <v>25.768848699999999</v>
      </c>
      <c r="M16">
        <v>232.6066377242006</v>
      </c>
      <c r="N16">
        <v>6.5611215082823152E-2</v>
      </c>
      <c r="O16" s="1" t="str">
        <f>HYPERLINK(".\sm_car_240930_0021\sm_car_240930_0021_015_Ca007TrN_MaWOT_ode23t.png","figure")</f>
        <v>figure</v>
      </c>
      <c r="P16" t="s">
        <v>15</v>
      </c>
    </row>
    <row r="17" spans="1:16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23</v>
      </c>
      <c r="K17">
        <v>1235</v>
      </c>
      <c r="L17">
        <v>25.456939800000001</v>
      </c>
      <c r="M17">
        <v>71.633649671353766</v>
      </c>
      <c r="N17">
        <v>-0.54025685646144583</v>
      </c>
      <c r="O17" s="1" t="str">
        <f>HYPERLINK(".\sm_car_240930_0021\sm_car_240930_0021_016_Ca007TrN_MaLSS_ode23t.png","figure")</f>
        <v>figure</v>
      </c>
      <c r="P17" t="s">
        <v>15</v>
      </c>
    </row>
    <row r="18" spans="1:16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>
        <v>378</v>
      </c>
      <c r="L18">
        <v>8.7232313000000001</v>
      </c>
      <c r="M18">
        <v>234.861558301169</v>
      </c>
      <c r="N18">
        <v>-6.9133047274948983E-2</v>
      </c>
      <c r="O18" s="1" t="str">
        <f>HYPERLINK(".\sm_car_240930_0021\sm_car_240930_0021_017_Ca016TrN_MaWOT_ode23t.png","figure")</f>
        <v>figure</v>
      </c>
      <c r="P18" t="s">
        <v>15</v>
      </c>
    </row>
    <row r="19" spans="1:16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23</v>
      </c>
      <c r="K19">
        <v>471</v>
      </c>
      <c r="L19">
        <v>9.3583657000000002</v>
      </c>
      <c r="M19">
        <v>72.417435753648007</v>
      </c>
      <c r="N19">
        <v>-2.1565190119023785E-2</v>
      </c>
      <c r="O19" s="1" t="str">
        <f>HYPERLINK(".\sm_car_240930_0021\sm_car_240930_0021_018_Ca016TrN_MaLSS_ode23t.png","figure")</f>
        <v>figure</v>
      </c>
      <c r="P19" t="s">
        <v>15</v>
      </c>
    </row>
    <row r="20" spans="1:16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>
        <v>400</v>
      </c>
      <c r="L20">
        <v>12.105873300000001</v>
      </c>
      <c r="M20">
        <v>234.02584427601727</v>
      </c>
      <c r="N20">
        <v>1.9098876699802605E-2</v>
      </c>
      <c r="O20" s="1" t="str">
        <f>HYPERLINK(".\sm_car_240930_0021\sm_car_240930_0021_019_Ca032TrN_MaWOT_ode23t.png","figure")</f>
        <v>figure</v>
      </c>
      <c r="P20" t="s">
        <v>15</v>
      </c>
    </row>
    <row r="21" spans="1:16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23</v>
      </c>
      <c r="K21">
        <v>517</v>
      </c>
      <c r="L21">
        <v>13.7232927</v>
      </c>
      <c r="M21">
        <v>72.052393861855336</v>
      </c>
      <c r="N21">
        <v>-0.53471027573976815</v>
      </c>
      <c r="O21" s="1" t="str">
        <f>HYPERLINK(".\sm_car_240930_0021\sm_car_240930_0021_020_Ca032TrN_MaLSS_ode23t.png","figure")</f>
        <v>figure</v>
      </c>
      <c r="P21" t="s">
        <v>15</v>
      </c>
    </row>
    <row r="22" spans="1:16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>
        <v>408</v>
      </c>
      <c r="L22">
        <v>13.535841</v>
      </c>
      <c r="M22">
        <v>233.99499085730272</v>
      </c>
      <c r="N22">
        <v>-5.095612674170814E-3</v>
      </c>
      <c r="O22" s="1" t="str">
        <f>HYPERLINK(".\sm_car_240930_0021\sm_car_240930_0021_021_Ca048TrN_MaWOT_ode23t.png","figure")</f>
        <v>figure</v>
      </c>
      <c r="P22" t="s">
        <v>15</v>
      </c>
    </row>
    <row r="23" spans="1:16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23</v>
      </c>
      <c r="K23">
        <v>502</v>
      </c>
      <c r="L23">
        <v>14.098175599999999</v>
      </c>
      <c r="M23">
        <v>72.062587404640908</v>
      </c>
      <c r="N23">
        <v>-0.54384940195108167</v>
      </c>
      <c r="O23" s="1" t="str">
        <f>HYPERLINK(".\sm_car_240930_0021\sm_car_240930_0021_022_Ca048TrN_MaLSS_ode23t.png","figure")</f>
        <v>figure</v>
      </c>
      <c r="P23" t="s">
        <v>15</v>
      </c>
    </row>
    <row r="24" spans="1:16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>
        <v>390</v>
      </c>
      <c r="L24">
        <v>13.5711364</v>
      </c>
      <c r="M24">
        <v>234.07990477936019</v>
      </c>
      <c r="N24">
        <v>2.1709090939130801E-2</v>
      </c>
      <c r="O24" s="1" t="str">
        <f>HYPERLINK(".\sm_car_240930_0021\sm_car_240930_0021_023_Ca064TrN_MaWOT_ode23t.png","figure")</f>
        <v>figure</v>
      </c>
      <c r="P24" t="s">
        <v>15</v>
      </c>
    </row>
    <row r="25" spans="1:16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23</v>
      </c>
      <c r="K25">
        <v>514</v>
      </c>
      <c r="L25">
        <v>15.2577824</v>
      </c>
      <c r="M25">
        <v>72.065466268796158</v>
      </c>
      <c r="N25">
        <v>-0.5298866515096996</v>
      </c>
      <c r="O25" s="1" t="str">
        <f>HYPERLINK(".\sm_car_240930_0021\sm_car_240930_0021_024_Ca064TrN_MaLSS_ode23t.png","figure")</f>
        <v>figure</v>
      </c>
      <c r="P25" t="s">
        <v>15</v>
      </c>
    </row>
    <row r="26" spans="1:16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>
        <v>385</v>
      </c>
      <c r="L26">
        <v>13.544374299999999</v>
      </c>
      <c r="M26">
        <v>234.14302112150185</v>
      </c>
      <c r="N26">
        <v>-5.5194299463859802E-3</v>
      </c>
      <c r="O26" s="1" t="str">
        <f>HYPERLINK(".\sm_car_240930_0021\sm_car_240930_0021_025_Ca080TrN_MaWOT_ode23t.png","figure")</f>
        <v>figure</v>
      </c>
      <c r="P26" t="s">
        <v>15</v>
      </c>
    </row>
    <row r="27" spans="1:16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23</v>
      </c>
      <c r="K27">
        <v>494</v>
      </c>
      <c r="L27">
        <v>14.4788601</v>
      </c>
      <c r="M27">
        <v>72.116557424787871</v>
      </c>
      <c r="N27">
        <v>-0.53585131896930283</v>
      </c>
      <c r="O27" s="1" t="str">
        <f>HYPERLINK(".\sm_car_240930_0021\sm_car_240930_0021_026_Ca080TrN_MaLSS_ode23t.png","figure")</f>
        <v>figure</v>
      </c>
      <c r="P27" t="s">
        <v>15</v>
      </c>
    </row>
    <row r="28" spans="1:16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>
        <v>386</v>
      </c>
      <c r="L28">
        <v>10.0996524</v>
      </c>
      <c r="M28">
        <v>236.0707856015506</v>
      </c>
      <c r="N28">
        <v>3.1039756642365149E-2</v>
      </c>
      <c r="O28" s="1" t="str">
        <f>HYPERLINK(".\sm_car_240930_0021\sm_car_240930_0021_027_Ca096TrN_MaWOT_ode23t.png","figure")</f>
        <v>figure</v>
      </c>
      <c r="P28" t="s">
        <v>15</v>
      </c>
    </row>
    <row r="29" spans="1:16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23</v>
      </c>
      <c r="K29">
        <v>514</v>
      </c>
      <c r="L29">
        <v>12.174248800000001</v>
      </c>
      <c r="M29">
        <v>72.654749086232471</v>
      </c>
      <c r="N29">
        <v>-0.54208042426134073</v>
      </c>
      <c r="O29" s="1" t="str">
        <f>HYPERLINK(".\sm_car_240930_0021\sm_car_240930_0021_028_Ca096TrN_MaLSS_ode23t.png","figure")</f>
        <v>figure</v>
      </c>
      <c r="P29" t="s">
        <v>15</v>
      </c>
    </row>
    <row r="30" spans="1:16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>
        <v>391</v>
      </c>
      <c r="L30">
        <v>4.1241877999999996</v>
      </c>
      <c r="M30">
        <v>242.6347610154539</v>
      </c>
      <c r="N30">
        <v>0.23238227743443512</v>
      </c>
      <c r="O30" s="1" t="str">
        <f>HYPERLINK(".\sm_car_240930_0021\sm_car_240930_0021_029_Ca112TrN_MaWOT_ode23t.png","figure")</f>
        <v>figure</v>
      </c>
      <c r="P30" t="s">
        <v>15</v>
      </c>
    </row>
    <row r="31" spans="1:16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23</v>
      </c>
      <c r="K31">
        <v>505</v>
      </c>
      <c r="L31">
        <v>4.6360804</v>
      </c>
      <c r="M31">
        <v>74.658737205363408</v>
      </c>
      <c r="N31">
        <v>-0.33759900566581796</v>
      </c>
      <c r="O31" s="1" t="str">
        <f>HYPERLINK(".\sm_car_240930_0021\sm_car_240930_0021_030_Ca112TrN_MaLSS_ode23t.png","figure")</f>
        <v>figure</v>
      </c>
      <c r="P31" t="s">
        <v>15</v>
      </c>
    </row>
    <row r="32" spans="1:16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23</v>
      </c>
      <c r="K32">
        <v>366</v>
      </c>
      <c r="L32">
        <v>4.6225104999999997</v>
      </c>
      <c r="M32">
        <v>241.66595681447339</v>
      </c>
      <c r="N32">
        <v>0.22678465252334948</v>
      </c>
      <c r="O32" s="1" t="str">
        <f>HYPERLINK(".\sm_car_240930_0021\sm_car_240930_0021_031_Ca113TrN_MaWOT_ode23t.png","figure")</f>
        <v>figure</v>
      </c>
      <c r="P32" t="s">
        <v>15</v>
      </c>
    </row>
    <row r="33" spans="1:16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23</v>
      </c>
      <c r="K33">
        <v>489</v>
      </c>
      <c r="L33">
        <v>5.3117282000000001</v>
      </c>
      <c r="M33">
        <v>74.35258302966588</v>
      </c>
      <c r="N33">
        <v>-0.32867165610372456</v>
      </c>
      <c r="O33" s="1" t="str">
        <f>HYPERLINK(".\sm_car_240930_0021\sm_car_240930_0021_032_Ca113TrN_MaLSS_ode23t.png","figure")</f>
        <v>figure</v>
      </c>
      <c r="P33" t="s">
        <v>15</v>
      </c>
    </row>
    <row r="34" spans="1:16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23</v>
      </c>
      <c r="K34">
        <v>365</v>
      </c>
      <c r="L34">
        <v>5.1225636000000003</v>
      </c>
      <c r="M34">
        <v>241.67397476797555</v>
      </c>
      <c r="N34">
        <v>0.22893538033590774</v>
      </c>
      <c r="O34" s="1" t="str">
        <f>HYPERLINK(".\sm_car_240930_0021\sm_car_240930_0021_033_Ca114TrN_MaWOT_ode23t.png","figure")</f>
        <v>figure</v>
      </c>
      <c r="P34" t="s">
        <v>15</v>
      </c>
    </row>
    <row r="35" spans="1:16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23</v>
      </c>
      <c r="K35">
        <v>477</v>
      </c>
      <c r="L35">
        <v>5.1974748999999996</v>
      </c>
      <c r="M35">
        <v>74.356973437256698</v>
      </c>
      <c r="N35">
        <v>-0.33245807253134446</v>
      </c>
      <c r="O35" s="1" t="str">
        <f>HYPERLINK(".\sm_car_240930_0021\sm_car_240930_0021_034_Ca114TrN_MaLSS_ode23t.png","figure")</f>
        <v>figure</v>
      </c>
      <c r="P35" t="s">
        <v>15</v>
      </c>
    </row>
    <row r="36" spans="1:16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23</v>
      </c>
      <c r="K36">
        <v>391</v>
      </c>
      <c r="L36">
        <v>5.2999821000000003</v>
      </c>
      <c r="M36">
        <v>240.87270796738341</v>
      </c>
      <c r="N36">
        <v>0.22677165175704891</v>
      </c>
      <c r="O36" s="1" t="str">
        <f>HYPERLINK(".\sm_car_240930_0021\sm_car_240930_0021_035_Ca115TrN_MaWOT_ode23t.png","figure")</f>
        <v>figure</v>
      </c>
      <c r="P36" t="s">
        <v>15</v>
      </c>
    </row>
    <row r="37" spans="1:16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23</v>
      </c>
      <c r="K37">
        <v>480</v>
      </c>
      <c r="L37">
        <v>5.4363989000000004</v>
      </c>
      <c r="M37">
        <v>74.209757204413009</v>
      </c>
      <c r="N37">
        <v>-0.33213920715383893</v>
      </c>
      <c r="O37" s="1" t="str">
        <f>HYPERLINK(".\sm_car_240930_0021\sm_car_240930_0021_036_Ca115TrN_MaLSS_ode23t.png","figure")</f>
        <v>figure</v>
      </c>
      <c r="P37" t="s">
        <v>15</v>
      </c>
    </row>
    <row r="38" spans="1:16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23</v>
      </c>
      <c r="K38">
        <v>930</v>
      </c>
      <c r="L38">
        <v>7.3217762999999998</v>
      </c>
      <c r="M38">
        <v>242.46516627962953</v>
      </c>
      <c r="N38">
        <v>0.23355639756178012</v>
      </c>
      <c r="O38" s="1" t="str">
        <f>HYPERLINK(".\sm_car_240930_0021\sm_car_240930_0021_037_Ca116TrN_MaWOT_ode23t.png","figure")</f>
        <v>figure</v>
      </c>
      <c r="P38" t="s">
        <v>15</v>
      </c>
    </row>
    <row r="39" spans="1:16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23</v>
      </c>
      <c r="K39">
        <v>1049</v>
      </c>
      <c r="L39">
        <v>7.8693027999999998</v>
      </c>
      <c r="M39">
        <v>74.66020533823469</v>
      </c>
      <c r="N39">
        <v>-0.34093339804314021</v>
      </c>
      <c r="O39" s="1" t="str">
        <f>HYPERLINK(".\sm_car_240930_0021\sm_car_240930_0021_038_Ca116TrN_MaLSS_ode23t.png","figure")</f>
        <v>figure</v>
      </c>
      <c r="P39" t="s">
        <v>15</v>
      </c>
    </row>
    <row r="40" spans="1:16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23</v>
      </c>
      <c r="K40">
        <v>944</v>
      </c>
      <c r="L40">
        <v>8.0112091999999997</v>
      </c>
      <c r="M40">
        <v>241.660793294575</v>
      </c>
      <c r="N40">
        <v>0.22795467749314724</v>
      </c>
      <c r="O40" s="1" t="str">
        <f>HYPERLINK(".\sm_car_240930_0021\sm_car_240930_0021_039_Ca117TrN_MaWOT_ode23t.png","figure")</f>
        <v>figure</v>
      </c>
      <c r="P40" t="s">
        <v>15</v>
      </c>
    </row>
    <row r="41" spans="1:16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23</v>
      </c>
      <c r="K41">
        <v>1076</v>
      </c>
      <c r="L41">
        <v>9.2237273999999996</v>
      </c>
      <c r="M41">
        <v>74.349120772090018</v>
      </c>
      <c r="N41">
        <v>-0.33486834782945007</v>
      </c>
      <c r="O41" s="1" t="str">
        <f>HYPERLINK(".\sm_car_240930_0021\sm_car_240930_0021_040_Ca117TrN_MaLSS_ode23t.png","figure")</f>
        <v>figure</v>
      </c>
      <c r="P41" t="s">
        <v>15</v>
      </c>
    </row>
    <row r="42" spans="1:16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23</v>
      </c>
      <c r="K42">
        <v>960</v>
      </c>
      <c r="L42">
        <v>8.8788444000000002</v>
      </c>
      <c r="M42">
        <v>241.58166628375503</v>
      </c>
      <c r="N42">
        <v>0.2318223946053681</v>
      </c>
      <c r="O42" s="1" t="str">
        <f>HYPERLINK(".\sm_car_240930_0021\sm_car_240930_0021_041_Ca118TrN_MaWOT_ode23t.png","figure")</f>
        <v>figure</v>
      </c>
      <c r="P42" t="s">
        <v>15</v>
      </c>
    </row>
    <row r="43" spans="1:16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23</v>
      </c>
      <c r="K43">
        <v>1069</v>
      </c>
      <c r="L43">
        <v>9.1503417000000002</v>
      </c>
      <c r="M43">
        <v>74.340042183440104</v>
      </c>
      <c r="N43">
        <v>-0.33861507171945893</v>
      </c>
      <c r="O43" s="1" t="str">
        <f>HYPERLINK(".\sm_car_240930_0021\sm_car_240930_0021_042_Ca118TrN_MaLSS_ode23t.png","figure")</f>
        <v>figure</v>
      </c>
      <c r="P43" t="s">
        <v>15</v>
      </c>
    </row>
    <row r="44" spans="1:16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23</v>
      </c>
      <c r="K44">
        <v>969</v>
      </c>
      <c r="L44">
        <v>8.1161981000000001</v>
      </c>
      <c r="M44">
        <v>241.12017850480575</v>
      </c>
      <c r="N44">
        <v>0.22512276464617254</v>
      </c>
      <c r="O44" s="1" t="str">
        <f>HYPERLINK(".\sm_car_240930_0021\sm_car_240930_0021_043_Ca119TrN_MaWOT_ode23t.png","figure")</f>
        <v>figure</v>
      </c>
      <c r="P44" t="s">
        <v>15</v>
      </c>
    </row>
    <row r="45" spans="1:16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23</v>
      </c>
      <c r="K45">
        <v>1105</v>
      </c>
      <c r="L45">
        <v>9.1192571000000004</v>
      </c>
      <c r="M45">
        <v>74.202941270806079</v>
      </c>
      <c r="N45">
        <v>-0.33324065779699075</v>
      </c>
      <c r="O45" s="1" t="str">
        <f>HYPERLINK(".\sm_car_240930_0021\sm_car_240930_0021_044_Ca119TrN_MaLSS_ode23t.png","figure")</f>
        <v>figure</v>
      </c>
      <c r="P45" t="s">
        <v>15</v>
      </c>
    </row>
    <row r="46" spans="1:16" x14ac:dyDescent="0.25">
      <c r="A46">
        <v>45</v>
      </c>
      <c r="B46">
        <v>128</v>
      </c>
      <c r="C46" t="s">
        <v>16</v>
      </c>
      <c r="D46" t="s">
        <v>17</v>
      </c>
      <c r="E46" t="s">
        <v>18</v>
      </c>
      <c r="F46" t="s">
        <v>19</v>
      </c>
      <c r="G46" t="s">
        <v>36</v>
      </c>
      <c r="H46" t="s">
        <v>21</v>
      </c>
      <c r="I46" t="s">
        <v>22</v>
      </c>
      <c r="J46" t="s">
        <v>23</v>
      </c>
      <c r="K46">
        <v>389</v>
      </c>
      <c r="L46">
        <v>21.022572700000001</v>
      </c>
      <c r="M46">
        <v>100.88492431478592</v>
      </c>
      <c r="N46">
        <v>-1.5503485229092891E-2</v>
      </c>
      <c r="O46" s="1" t="str">
        <f>HYPERLINK(".\sm_car_240930_0021\sm_car_240930_0021_045_Ca128TrN_MaWOT_ode23t.png","figure")</f>
        <v>figure</v>
      </c>
      <c r="P46" t="s">
        <v>15</v>
      </c>
    </row>
    <row r="47" spans="1:16" x14ac:dyDescent="0.25">
      <c r="A47">
        <v>46</v>
      </c>
      <c r="B47">
        <v>128</v>
      </c>
      <c r="C47" t="s">
        <v>16</v>
      </c>
      <c r="D47" t="s">
        <v>17</v>
      </c>
      <c r="E47" t="s">
        <v>18</v>
      </c>
      <c r="F47" t="s">
        <v>19</v>
      </c>
      <c r="G47" t="s">
        <v>36</v>
      </c>
      <c r="H47" t="s">
        <v>21</v>
      </c>
      <c r="I47" t="s">
        <v>24</v>
      </c>
      <c r="J47" t="s">
        <v>23</v>
      </c>
      <c r="K47">
        <v>492</v>
      </c>
      <c r="L47">
        <v>20.401890399999999</v>
      </c>
      <c r="M47">
        <v>37.325163860761847</v>
      </c>
      <c r="N47">
        <v>-0.13892744654157832</v>
      </c>
      <c r="O47" s="1" t="str">
        <f>HYPERLINK(".\sm_car_240930_0021\sm_car_240930_0021_046_Ca128TrN_MaLSS_ode23t.png","figure")</f>
        <v>figure</v>
      </c>
      <c r="P47" t="s">
        <v>15</v>
      </c>
    </row>
    <row r="48" spans="1:16" x14ac:dyDescent="0.25">
      <c r="A48">
        <v>47</v>
      </c>
      <c r="B48">
        <v>129</v>
      </c>
      <c r="C48" t="s">
        <v>16</v>
      </c>
      <c r="D48" t="s">
        <v>17</v>
      </c>
      <c r="E48" t="s">
        <v>18</v>
      </c>
      <c r="F48" t="s">
        <v>19</v>
      </c>
      <c r="G48" t="s">
        <v>37</v>
      </c>
      <c r="H48" t="s">
        <v>21</v>
      </c>
      <c r="I48" t="s">
        <v>22</v>
      </c>
      <c r="J48" t="s">
        <v>23</v>
      </c>
      <c r="K48">
        <v>404</v>
      </c>
      <c r="L48">
        <v>18.4174668</v>
      </c>
      <c r="M48">
        <v>232.29147454310024</v>
      </c>
      <c r="N48">
        <v>8.50174098224315E-2</v>
      </c>
      <c r="O48" s="1" t="str">
        <f>HYPERLINK(".\sm_car_240930_0021\sm_car_240930_0021_047_Ca129TrN_MaWOT_ode23t.png","figure")</f>
        <v>figure</v>
      </c>
      <c r="P48" t="s">
        <v>15</v>
      </c>
    </row>
    <row r="49" spans="1:16" x14ac:dyDescent="0.25">
      <c r="A49">
        <v>48</v>
      </c>
      <c r="B49">
        <v>129</v>
      </c>
      <c r="C49" t="s">
        <v>16</v>
      </c>
      <c r="D49" t="s">
        <v>17</v>
      </c>
      <c r="E49" t="s">
        <v>18</v>
      </c>
      <c r="F49" t="s">
        <v>19</v>
      </c>
      <c r="G49" t="s">
        <v>37</v>
      </c>
      <c r="H49" t="s">
        <v>21</v>
      </c>
      <c r="I49" t="s">
        <v>24</v>
      </c>
      <c r="J49" t="s">
        <v>23</v>
      </c>
      <c r="K49">
        <v>497</v>
      </c>
      <c r="L49">
        <v>20.425105899999998</v>
      </c>
      <c r="M49">
        <v>71.541958162158764</v>
      </c>
      <c r="N49">
        <v>-0.54154485847415268</v>
      </c>
      <c r="O49" s="1" t="str">
        <f>HYPERLINK(".\sm_car_240930_0021\sm_car_240930_0021_048_Ca129TrN_MaLSS_ode23t.png","figure")</f>
        <v>figure</v>
      </c>
      <c r="P49" t="s">
        <v>15</v>
      </c>
    </row>
    <row r="50" spans="1:16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23</v>
      </c>
      <c r="K50">
        <v>778</v>
      </c>
      <c r="L50">
        <v>35.065458499999998</v>
      </c>
      <c r="M50">
        <v>220.30173643276896</v>
      </c>
      <c r="N50">
        <v>-1.4609659001363631</v>
      </c>
      <c r="O50" s="1" t="str">
        <f>HYPERLINK(".\sm_car_240930_0021\sm_car_240930_0021_049_Ca130TrN_MaWOT_ode23t.png","figure")</f>
        <v>figure</v>
      </c>
      <c r="P50" t="s">
        <v>15</v>
      </c>
    </row>
    <row r="51" spans="1:16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23</v>
      </c>
      <c r="K51">
        <v>771</v>
      </c>
      <c r="L51">
        <v>33.4043122</v>
      </c>
      <c r="M51">
        <v>69.569958097149069</v>
      </c>
      <c r="N51">
        <v>-0.55372700753597182</v>
      </c>
      <c r="O51" s="1" t="str">
        <f>HYPERLINK(".\sm_car_240930_0021\sm_car_240930_0021_050_Ca130TrN_MaLSS_ode23t.png","figure")</f>
        <v>figure</v>
      </c>
      <c r="P51" t="s">
        <v>15</v>
      </c>
    </row>
    <row r="52" spans="1:16" x14ac:dyDescent="0.25">
      <c r="A52">
        <v>51</v>
      </c>
      <c r="B52">
        <v>131</v>
      </c>
      <c r="C52" t="s">
        <v>16</v>
      </c>
      <c r="D52" t="s">
        <v>17</v>
      </c>
      <c r="E52" t="s">
        <v>18</v>
      </c>
      <c r="F52" t="s">
        <v>19</v>
      </c>
      <c r="G52" t="s">
        <v>39</v>
      </c>
      <c r="H52" t="s">
        <v>21</v>
      </c>
      <c r="I52" t="s">
        <v>22</v>
      </c>
      <c r="J52" t="s">
        <v>23</v>
      </c>
      <c r="K52">
        <v>631</v>
      </c>
      <c r="L52">
        <v>23.697274100000001</v>
      </c>
      <c r="M52">
        <v>177.47588913810034</v>
      </c>
      <c r="N52">
        <v>-5.9949274147507365</v>
      </c>
      <c r="O52" s="1" t="str">
        <f>HYPERLINK(".\sm_car_240930_0021\sm_car_240930_0021_051_Ca131TrN_MaWOT_ode23t.png","figure")</f>
        <v>figure</v>
      </c>
      <c r="P52" t="s">
        <v>15</v>
      </c>
    </row>
    <row r="53" spans="1:16" x14ac:dyDescent="0.25">
      <c r="A53">
        <v>52</v>
      </c>
      <c r="B53">
        <v>131</v>
      </c>
      <c r="C53" t="s">
        <v>16</v>
      </c>
      <c r="D53" t="s">
        <v>17</v>
      </c>
      <c r="E53" t="s">
        <v>18</v>
      </c>
      <c r="F53" t="s">
        <v>19</v>
      </c>
      <c r="G53" t="s">
        <v>39</v>
      </c>
      <c r="H53" t="s">
        <v>21</v>
      </c>
      <c r="I53" t="s">
        <v>24</v>
      </c>
      <c r="J53" t="s">
        <v>23</v>
      </c>
      <c r="K53">
        <v>506</v>
      </c>
      <c r="L53">
        <v>18.505232700000001</v>
      </c>
      <c r="M53">
        <v>37.431012548381972</v>
      </c>
      <c r="N53">
        <v>-0.16752656344659408</v>
      </c>
      <c r="O53" s="1" t="str">
        <f>HYPERLINK(".\sm_car_240930_0021\sm_car_240930_0021_052_Ca131TrN_MaLSS_ode23t.png","figure")</f>
        <v>figure</v>
      </c>
      <c r="P53" t="s">
        <v>15</v>
      </c>
    </row>
    <row r="54" spans="1:16" x14ac:dyDescent="0.25">
      <c r="A54">
        <v>53</v>
      </c>
      <c r="B54">
        <v>132</v>
      </c>
      <c r="C54" t="s">
        <v>16</v>
      </c>
      <c r="D54" t="s">
        <v>17</v>
      </c>
      <c r="E54" t="s">
        <v>18</v>
      </c>
      <c r="F54" t="s">
        <v>19</v>
      </c>
      <c r="G54" t="s">
        <v>40</v>
      </c>
      <c r="H54" t="s">
        <v>21</v>
      </c>
      <c r="I54" t="s">
        <v>22</v>
      </c>
      <c r="J54" t="s">
        <v>23</v>
      </c>
      <c r="K54">
        <v>371</v>
      </c>
      <c r="L54">
        <v>13.147729500000001</v>
      </c>
      <c r="M54">
        <v>231.972219808294</v>
      </c>
      <c r="N54">
        <v>4.0888013345990841E-2</v>
      </c>
      <c r="O54" s="1" t="str">
        <f>HYPERLINK(".\sm_car_240930_0021\sm_car_240930_0021_053_Ca132TrN_MaWOT_ode23t.png","figure")</f>
        <v>figure</v>
      </c>
      <c r="P54" t="s">
        <v>15</v>
      </c>
    </row>
    <row r="55" spans="1:16" x14ac:dyDescent="0.25">
      <c r="A55">
        <v>54</v>
      </c>
      <c r="B55">
        <v>132</v>
      </c>
      <c r="C55" t="s">
        <v>16</v>
      </c>
      <c r="D55" t="s">
        <v>17</v>
      </c>
      <c r="E55" t="s">
        <v>18</v>
      </c>
      <c r="F55" t="s">
        <v>19</v>
      </c>
      <c r="G55" t="s">
        <v>40</v>
      </c>
      <c r="H55" t="s">
        <v>21</v>
      </c>
      <c r="I55" t="s">
        <v>24</v>
      </c>
      <c r="J55" t="s">
        <v>23</v>
      </c>
      <c r="K55">
        <v>502</v>
      </c>
      <c r="L55">
        <v>14.8353144</v>
      </c>
      <c r="M55">
        <v>71.223018930753682</v>
      </c>
      <c r="N55">
        <v>-0.52609457810206284</v>
      </c>
      <c r="O55" s="1" t="str">
        <f>HYPERLINK(".\sm_car_240930_0021\sm_car_240930_0021_054_Ca132TrN_MaLSS_ode23t.png","figure")</f>
        <v>figure</v>
      </c>
      <c r="P55" t="s">
        <v>15</v>
      </c>
    </row>
    <row r="56" spans="1:16" x14ac:dyDescent="0.25">
      <c r="A56">
        <v>55</v>
      </c>
      <c r="B56">
        <v>133</v>
      </c>
      <c r="C56" t="s">
        <v>16</v>
      </c>
      <c r="D56" t="s">
        <v>17</v>
      </c>
      <c r="E56" t="s">
        <v>18</v>
      </c>
      <c r="F56" t="s">
        <v>19</v>
      </c>
      <c r="G56" t="s">
        <v>41</v>
      </c>
      <c r="H56" t="s">
        <v>21</v>
      </c>
      <c r="I56" t="s">
        <v>22</v>
      </c>
      <c r="J56" t="s">
        <v>23</v>
      </c>
      <c r="K56">
        <v>386</v>
      </c>
      <c r="L56">
        <v>12.9470581</v>
      </c>
      <c r="M56">
        <v>232.87174801728426</v>
      </c>
      <c r="N56">
        <v>-7.6206354382170728E-4</v>
      </c>
      <c r="O56" s="1" t="str">
        <f>HYPERLINK(".\sm_car_240930_0021\sm_car_240930_0021_055_Ca133TrN_MaWOT_ode23t.png","figure")</f>
        <v>figure</v>
      </c>
      <c r="P56" t="s">
        <v>15</v>
      </c>
    </row>
    <row r="57" spans="1:16" x14ac:dyDescent="0.25">
      <c r="A57">
        <v>56</v>
      </c>
      <c r="B57">
        <v>133</v>
      </c>
      <c r="C57" t="s">
        <v>16</v>
      </c>
      <c r="D57" t="s">
        <v>17</v>
      </c>
      <c r="E57" t="s">
        <v>18</v>
      </c>
      <c r="F57" t="s">
        <v>19</v>
      </c>
      <c r="G57" t="s">
        <v>41</v>
      </c>
      <c r="H57" t="s">
        <v>21</v>
      </c>
      <c r="I57" t="s">
        <v>24</v>
      </c>
      <c r="J57" t="s">
        <v>23</v>
      </c>
      <c r="K57">
        <v>510</v>
      </c>
      <c r="L57">
        <v>14.3411182</v>
      </c>
      <c r="M57">
        <v>71.766892637493441</v>
      </c>
      <c r="N57">
        <v>-0.54718603019480716</v>
      </c>
      <c r="O57" s="1" t="str">
        <f>HYPERLINK(".\sm_car_240930_0021\sm_car_240930_0021_056_Ca133TrN_MaLSS_ode23t.png","figure")</f>
        <v>figure</v>
      </c>
      <c r="P57" t="s">
        <v>15</v>
      </c>
    </row>
    <row r="58" spans="1:16" x14ac:dyDescent="0.25">
      <c r="A58">
        <v>57</v>
      </c>
      <c r="B58">
        <v>134</v>
      </c>
      <c r="C58" t="s">
        <v>16</v>
      </c>
      <c r="D58" t="s">
        <v>17</v>
      </c>
      <c r="E58" t="s">
        <v>18</v>
      </c>
      <c r="F58" t="s">
        <v>19</v>
      </c>
      <c r="G58" t="s">
        <v>42</v>
      </c>
      <c r="H58" t="s">
        <v>21</v>
      </c>
      <c r="I58" t="s">
        <v>22</v>
      </c>
      <c r="J58" t="s">
        <v>23</v>
      </c>
      <c r="K58">
        <v>389</v>
      </c>
      <c r="L58">
        <v>12.932952200000001</v>
      </c>
      <c r="M58">
        <v>233.06113572465355</v>
      </c>
      <c r="N58">
        <v>-1.9926702742124002E-4</v>
      </c>
      <c r="O58" s="1" t="str">
        <f>HYPERLINK(".\sm_car_240930_0021\sm_car_240930_0021_057_Ca134TrN_MaWOT_ode23t.png","figure")</f>
        <v>figure</v>
      </c>
      <c r="P58" t="s">
        <v>15</v>
      </c>
    </row>
    <row r="59" spans="1:16" x14ac:dyDescent="0.25">
      <c r="A59">
        <v>58</v>
      </c>
      <c r="B59">
        <v>134</v>
      </c>
      <c r="C59" t="s">
        <v>16</v>
      </c>
      <c r="D59" t="s">
        <v>17</v>
      </c>
      <c r="E59" t="s">
        <v>18</v>
      </c>
      <c r="F59" t="s">
        <v>19</v>
      </c>
      <c r="G59" t="s">
        <v>42</v>
      </c>
      <c r="H59" t="s">
        <v>21</v>
      </c>
      <c r="I59" t="s">
        <v>24</v>
      </c>
      <c r="J59" t="s">
        <v>23</v>
      </c>
      <c r="K59">
        <v>496</v>
      </c>
      <c r="L59">
        <v>14.0947063</v>
      </c>
      <c r="M59">
        <v>71.760215661973945</v>
      </c>
      <c r="N59">
        <v>-0.546216660834276</v>
      </c>
      <c r="O59" s="1" t="str">
        <f>HYPERLINK(".\sm_car_240930_0021\sm_car_240930_0021_058_Ca134TrN_MaLSS_ode23t.png","figure")</f>
        <v>figure</v>
      </c>
      <c r="P59" t="s">
        <v>15</v>
      </c>
    </row>
    <row r="60" spans="1:16" x14ac:dyDescent="0.25">
      <c r="A60">
        <v>59</v>
      </c>
      <c r="B60">
        <v>135</v>
      </c>
      <c r="C60" t="s">
        <v>16</v>
      </c>
      <c r="D60" t="s">
        <v>17</v>
      </c>
      <c r="E60" t="s">
        <v>18</v>
      </c>
      <c r="F60" t="s">
        <v>19</v>
      </c>
      <c r="G60" t="s">
        <v>43</v>
      </c>
      <c r="H60" t="s">
        <v>21</v>
      </c>
      <c r="I60" t="s">
        <v>22</v>
      </c>
      <c r="J60" t="s">
        <v>23</v>
      </c>
      <c r="K60">
        <v>366</v>
      </c>
      <c r="L60">
        <v>11.851188799999999</v>
      </c>
      <c r="M60">
        <v>232.91734534681953</v>
      </c>
      <c r="N60">
        <v>1.1030004736666183E-3</v>
      </c>
      <c r="O60" s="1" t="str">
        <f>HYPERLINK(".\sm_car_240930_0021\sm_car_240930_0021_059_Ca135TrN_MaWOT_ode23t.png","figure")</f>
        <v>figure</v>
      </c>
      <c r="P60" t="s">
        <v>15</v>
      </c>
    </row>
    <row r="61" spans="1:16" x14ac:dyDescent="0.25">
      <c r="A61">
        <v>60</v>
      </c>
      <c r="B61">
        <v>135</v>
      </c>
      <c r="C61" t="s">
        <v>16</v>
      </c>
      <c r="D61" t="s">
        <v>17</v>
      </c>
      <c r="E61" t="s">
        <v>18</v>
      </c>
      <c r="F61" t="s">
        <v>19</v>
      </c>
      <c r="G61" t="s">
        <v>43</v>
      </c>
      <c r="H61" t="s">
        <v>21</v>
      </c>
      <c r="I61" t="s">
        <v>24</v>
      </c>
      <c r="J61" t="s">
        <v>23</v>
      </c>
      <c r="K61">
        <v>512</v>
      </c>
      <c r="L61">
        <v>13.4259354</v>
      </c>
      <c r="M61">
        <v>71.762634795439851</v>
      </c>
      <c r="N61">
        <v>-0.545804578364393</v>
      </c>
      <c r="O61" s="1" t="str">
        <f>HYPERLINK(".\sm_car_240930_0021\sm_car_240930_0021_060_Ca135TrN_MaLSS_ode23t.png","figure")</f>
        <v>figure</v>
      </c>
      <c r="P61" t="s">
        <v>15</v>
      </c>
    </row>
    <row r="62" spans="1:16" x14ac:dyDescent="0.25">
      <c r="A62">
        <v>61</v>
      </c>
      <c r="B62">
        <v>136</v>
      </c>
      <c r="C62" t="s">
        <v>16</v>
      </c>
      <c r="D62" t="s">
        <v>17</v>
      </c>
      <c r="E62" t="s">
        <v>18</v>
      </c>
      <c r="F62" t="s">
        <v>19</v>
      </c>
      <c r="G62" t="s">
        <v>44</v>
      </c>
      <c r="H62" t="s">
        <v>21</v>
      </c>
      <c r="I62" t="s">
        <v>22</v>
      </c>
      <c r="J62" t="s">
        <v>23</v>
      </c>
      <c r="K62">
        <v>450</v>
      </c>
      <c r="L62">
        <v>20.2032582</v>
      </c>
      <c r="M62">
        <v>233.05004992213509</v>
      </c>
      <c r="N62">
        <v>5.8008968296565863E-2</v>
      </c>
      <c r="O62" s="1" t="str">
        <f>HYPERLINK(".\sm_car_240930_0021\sm_car_240930_0021_061_Ca136TrN_MaWOT_ode23t.png","figure")</f>
        <v>figure</v>
      </c>
      <c r="P62" t="s">
        <v>15</v>
      </c>
    </row>
    <row r="63" spans="1:16" x14ac:dyDescent="0.25">
      <c r="A63">
        <v>62</v>
      </c>
      <c r="B63">
        <v>136</v>
      </c>
      <c r="C63" t="s">
        <v>16</v>
      </c>
      <c r="D63" t="s">
        <v>17</v>
      </c>
      <c r="E63" t="s">
        <v>18</v>
      </c>
      <c r="F63" t="s">
        <v>19</v>
      </c>
      <c r="G63" t="s">
        <v>44</v>
      </c>
      <c r="H63" t="s">
        <v>21</v>
      </c>
      <c r="I63" t="s">
        <v>24</v>
      </c>
      <c r="J63" t="s">
        <v>23</v>
      </c>
      <c r="K63">
        <v>517</v>
      </c>
      <c r="L63">
        <v>18.888058999999998</v>
      </c>
      <c r="M63">
        <v>71.756822357350302</v>
      </c>
      <c r="N63">
        <v>-0.54042353346543437</v>
      </c>
      <c r="O63" s="1" t="str">
        <f>HYPERLINK(".\sm_car_240930_0021\sm_car_240930_0021_062_Ca136TrN_MaLSS_ode23t.png","figure")</f>
        <v>figure</v>
      </c>
      <c r="P63" t="s">
        <v>15</v>
      </c>
    </row>
    <row r="64" spans="1:16" x14ac:dyDescent="0.25">
      <c r="A64">
        <v>63</v>
      </c>
      <c r="B64">
        <v>137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21</v>
      </c>
      <c r="I64" t="s">
        <v>22</v>
      </c>
      <c r="J64" t="s">
        <v>23</v>
      </c>
      <c r="K64">
        <v>326</v>
      </c>
      <c r="L64">
        <v>10.5752217</v>
      </c>
      <c r="M64">
        <v>233.54192661676061</v>
      </c>
      <c r="N64">
        <v>0.14289264090421597</v>
      </c>
      <c r="O64" s="1" t="str">
        <f>HYPERLINK(".\sm_car_240930_0021\sm_car_240930_0021_063_Ca137TrN_MaWOT_ode23t.png","figure")</f>
        <v>figure</v>
      </c>
      <c r="P64" t="s">
        <v>15</v>
      </c>
    </row>
    <row r="65" spans="1:16" x14ac:dyDescent="0.25">
      <c r="A65">
        <v>64</v>
      </c>
      <c r="B65">
        <v>137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21</v>
      </c>
      <c r="I65" t="s">
        <v>24</v>
      </c>
      <c r="J65" t="s">
        <v>23</v>
      </c>
      <c r="K65">
        <v>475</v>
      </c>
      <c r="L65">
        <v>11.6999859</v>
      </c>
      <c r="M65">
        <v>71.797656756031969</v>
      </c>
      <c r="N65">
        <v>-0.50256499105439056</v>
      </c>
      <c r="O65" s="1" t="str">
        <f>HYPERLINK(".\sm_car_240930_0021\sm_car_240930_0021_064_Ca137TrN_MaLSS_ode23t.png","figure")</f>
        <v>figure</v>
      </c>
      <c r="P65" t="s">
        <v>15</v>
      </c>
    </row>
    <row r="66" spans="1:16" x14ac:dyDescent="0.25">
      <c r="A66">
        <v>65</v>
      </c>
      <c r="B66">
        <v>138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21</v>
      </c>
      <c r="I66" t="s">
        <v>22</v>
      </c>
      <c r="J66" t="s">
        <v>23</v>
      </c>
      <c r="K66">
        <v>322</v>
      </c>
      <c r="L66">
        <v>13.9797434</v>
      </c>
      <c r="M66">
        <v>233.56809394111403</v>
      </c>
      <c r="N66">
        <v>0.15369149180942226</v>
      </c>
      <c r="O66" s="1" t="str">
        <f>HYPERLINK(".\sm_car_240930_0021\sm_car_240930_0021_065_Ca138TrN_MaWOT_ode23t.png","figure")</f>
        <v>figure</v>
      </c>
      <c r="P66" t="s">
        <v>15</v>
      </c>
    </row>
    <row r="67" spans="1:16" x14ac:dyDescent="0.25">
      <c r="A67">
        <v>66</v>
      </c>
      <c r="B67">
        <v>138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21</v>
      </c>
      <c r="I67" t="s">
        <v>24</v>
      </c>
      <c r="J67" t="s">
        <v>23</v>
      </c>
      <c r="K67">
        <v>498</v>
      </c>
      <c r="L67">
        <v>15.232780200000001</v>
      </c>
      <c r="M67">
        <v>71.66114414313968</v>
      </c>
      <c r="N67">
        <v>-0.82735748055790193</v>
      </c>
      <c r="O67" s="1" t="str">
        <f>HYPERLINK(".\sm_car_240930_0021\sm_car_240930_0021_066_Ca138TrN_MaLSS_ode23t.png","figure")</f>
        <v>figure</v>
      </c>
      <c r="P67" t="s">
        <v>15</v>
      </c>
    </row>
    <row r="68" spans="1:16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23</v>
      </c>
      <c r="K68">
        <v>442</v>
      </c>
      <c r="L68">
        <v>20.799287</v>
      </c>
      <c r="M68">
        <v>411.69871022552479</v>
      </c>
      <c r="N68">
        <v>1.4323891032142952</v>
      </c>
      <c r="O68" s="1" t="str">
        <f>HYPERLINK(".\sm_car_240930_0021\sm_car_240930_0021_067_Ca139TrN_MaWOT_ode23t.png","figure")</f>
        <v>figure</v>
      </c>
      <c r="P68" t="s">
        <v>15</v>
      </c>
    </row>
    <row r="69" spans="1:16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23</v>
      </c>
      <c r="K69">
        <v>527</v>
      </c>
      <c r="L69">
        <v>14.281878600000001</v>
      </c>
      <c r="M69">
        <v>157.2299540832401</v>
      </c>
      <c r="N69">
        <v>-0.57352383819759278</v>
      </c>
      <c r="O69" s="1" t="str">
        <f>HYPERLINK(".\sm_car_240930_0021\sm_car_240930_0021_068_Ca139TrN_MaLSS_ode23t.png","figure")</f>
        <v>figure</v>
      </c>
      <c r="P69" t="s">
        <v>15</v>
      </c>
    </row>
    <row r="70" spans="1:16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23</v>
      </c>
      <c r="K70">
        <v>1688</v>
      </c>
      <c r="L70">
        <v>34.007796300000003</v>
      </c>
      <c r="M70">
        <v>411.74566993756429</v>
      </c>
      <c r="N70">
        <v>1.5687522422577809</v>
      </c>
      <c r="O70" s="1" t="str">
        <f>HYPERLINK(".\sm_car_240930_0021\sm_car_240930_0021_069_Ca141TrN_MaWOT_ode23t.png","figure")</f>
        <v>figure</v>
      </c>
      <c r="P70" t="s">
        <v>15</v>
      </c>
    </row>
    <row r="71" spans="1:16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23</v>
      </c>
      <c r="K71">
        <v>1688</v>
      </c>
      <c r="L71">
        <v>26.306179400000001</v>
      </c>
      <c r="M71">
        <v>157.309189687848</v>
      </c>
      <c r="N71">
        <v>-0.56072951825361594</v>
      </c>
      <c r="O71" s="1" t="str">
        <f>HYPERLINK(".\sm_car_240930_0021\sm_car_240930_0021_070_Ca141TrN_MaLSS_ode23t.png","figure")</f>
        <v>figure</v>
      </c>
      <c r="P71" t="s">
        <v>15</v>
      </c>
    </row>
    <row r="72" spans="1:16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23</v>
      </c>
      <c r="K72">
        <v>332</v>
      </c>
      <c r="L72">
        <v>21.3307556</v>
      </c>
      <c r="M72">
        <v>96.705590996666857</v>
      </c>
      <c r="N72">
        <v>-4.087213483764613E-2</v>
      </c>
      <c r="O72" s="1" t="str">
        <f>HYPERLINK(".\sm_car_240930_0021\sm_car_240930_0021_071_Ca143TrN_MaWOT_ode23t.png","figure")</f>
        <v>figure</v>
      </c>
      <c r="P72" t="s">
        <v>15</v>
      </c>
    </row>
    <row r="73" spans="1:16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23</v>
      </c>
      <c r="K73">
        <v>444</v>
      </c>
      <c r="L73">
        <v>25.916049699999999</v>
      </c>
      <c r="M73">
        <v>25.168667322363621</v>
      </c>
      <c r="N73">
        <v>-5.4771854713859057E-2</v>
      </c>
      <c r="O73" s="1" t="str">
        <f>HYPERLINK(".\sm_car_240930_0021\sm_car_240930_0021_072_Ca143TrN_MaLSS_ode23t.png","figure")</f>
        <v>figure</v>
      </c>
      <c r="P73" t="s">
        <v>15</v>
      </c>
    </row>
    <row r="74" spans="1:16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23</v>
      </c>
      <c r="K74">
        <v>328</v>
      </c>
      <c r="L74">
        <v>16.7990271</v>
      </c>
      <c r="M74">
        <v>115.11594091960177</v>
      </c>
      <c r="N74">
        <v>0.5309058348700072</v>
      </c>
      <c r="O74" s="1" t="str">
        <f>HYPERLINK(".\sm_car_240930_0021\sm_car_240930_0021_073_Ca144TrN_MaWOT_ode23t.png","figure")</f>
        <v>figure</v>
      </c>
      <c r="P74" t="s">
        <v>15</v>
      </c>
    </row>
    <row r="75" spans="1:16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23</v>
      </c>
      <c r="K75">
        <v>446</v>
      </c>
      <c r="L75">
        <v>18.431682599999998</v>
      </c>
      <c r="M75">
        <v>35.86151207541306</v>
      </c>
      <c r="N75">
        <v>-3.5151647388717643E-2</v>
      </c>
      <c r="O75" s="1" t="str">
        <f>HYPERLINK(".\sm_car_240930_0021\sm_car_240930_0021_074_Ca144TrN_MaLSS_ode23t.png","figure")</f>
        <v>figure</v>
      </c>
      <c r="P75" t="s">
        <v>15</v>
      </c>
    </row>
    <row r="76" spans="1:16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23</v>
      </c>
      <c r="K76">
        <v>2256</v>
      </c>
      <c r="L76">
        <v>31.874650800000001</v>
      </c>
      <c r="M76">
        <v>401.08911033467598</v>
      </c>
      <c r="N76">
        <v>-66.875860160861208</v>
      </c>
      <c r="O76" s="1" t="str">
        <f>HYPERLINK(".\sm_car_240930_0021\sm_car_240930_0021_075_Ca147TrN_MaWOT_ode23t.png","figure")</f>
        <v>figure</v>
      </c>
      <c r="P76" t="s">
        <v>15</v>
      </c>
    </row>
    <row r="77" spans="1:16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23</v>
      </c>
      <c r="K77">
        <v>1275</v>
      </c>
      <c r="L77">
        <v>23.456415400000001</v>
      </c>
      <c r="M77">
        <v>155.47394943689295</v>
      </c>
      <c r="N77">
        <v>-2.7129459346540901</v>
      </c>
      <c r="O77" s="1" t="str">
        <f>HYPERLINK(".\sm_car_240930_0021\sm_car_240930_0021_076_Ca147TrN_MaLSS_ode23t.png","figure")</f>
        <v>figure</v>
      </c>
      <c r="P77" t="s">
        <v>15</v>
      </c>
    </row>
    <row r="78" spans="1:16" x14ac:dyDescent="0.25">
      <c r="A78">
        <v>77</v>
      </c>
      <c r="B78">
        <v>183</v>
      </c>
      <c r="C78" t="s">
        <v>105</v>
      </c>
      <c r="D78" t="s">
        <v>106</v>
      </c>
      <c r="E78" t="s">
        <v>18</v>
      </c>
      <c r="F78" t="s">
        <v>19</v>
      </c>
      <c r="G78" t="s">
        <v>20</v>
      </c>
      <c r="H78" t="s">
        <v>21</v>
      </c>
      <c r="I78" t="s">
        <v>22</v>
      </c>
      <c r="J78" t="s">
        <v>23</v>
      </c>
      <c r="K78">
        <v>512</v>
      </c>
      <c r="L78">
        <v>32.232003599999999</v>
      </c>
      <c r="M78">
        <v>184.55649445622737</v>
      </c>
      <c r="N78">
        <v>-1.6220980619849131E-3</v>
      </c>
      <c r="O78" s="1" t="str">
        <f>HYPERLINK(".\sm_car_240930_0021\sm_car_240930_0021_077_Ca183TrN_MaWOT_ode23t.png","figure")</f>
        <v>figure</v>
      </c>
      <c r="P78" t="s">
        <v>15</v>
      </c>
    </row>
    <row r="79" spans="1:16" x14ac:dyDescent="0.25">
      <c r="A79">
        <v>78</v>
      </c>
      <c r="B79">
        <v>183</v>
      </c>
      <c r="C79" t="s">
        <v>105</v>
      </c>
      <c r="D79" t="s">
        <v>106</v>
      </c>
      <c r="E79" t="s">
        <v>18</v>
      </c>
      <c r="F79" t="s">
        <v>19</v>
      </c>
      <c r="G79" t="s">
        <v>20</v>
      </c>
      <c r="H79" t="s">
        <v>21</v>
      </c>
      <c r="I79" t="s">
        <v>24</v>
      </c>
      <c r="J79" t="s">
        <v>23</v>
      </c>
      <c r="K79">
        <v>833</v>
      </c>
      <c r="L79">
        <v>38.262048399999998</v>
      </c>
      <c r="M79">
        <v>57.652264303491805</v>
      </c>
      <c r="N79">
        <v>9.5090308782148095E-2</v>
      </c>
      <c r="O79" s="1" t="str">
        <f>HYPERLINK(".\sm_car_240930_0021\sm_car_240930_0021_078_Ca183TrN_MaLSS_ode23t.png","figure")</f>
        <v>figure</v>
      </c>
      <c r="P79" t="s">
        <v>15</v>
      </c>
    </row>
    <row r="80" spans="1:16" x14ac:dyDescent="0.25">
      <c r="A80">
        <v>79</v>
      </c>
      <c r="B80">
        <v>8</v>
      </c>
      <c r="C80" t="s">
        <v>16</v>
      </c>
      <c r="D80" t="s">
        <v>17</v>
      </c>
      <c r="E80" t="s">
        <v>49</v>
      </c>
      <c r="F80" t="s">
        <v>19</v>
      </c>
      <c r="G80" t="s">
        <v>20</v>
      </c>
      <c r="H80" t="s">
        <v>21</v>
      </c>
      <c r="I80" t="s">
        <v>22</v>
      </c>
      <c r="J80" t="s">
        <v>23</v>
      </c>
      <c r="K80">
        <v>385</v>
      </c>
      <c r="L80">
        <v>16.000708700000001</v>
      </c>
      <c r="M80">
        <v>233.91179213146418</v>
      </c>
      <c r="N80">
        <v>9.2316217452707554E-3</v>
      </c>
      <c r="O80" s="1" t="str">
        <f>HYPERLINK(".\sm_car_240930_0021\sm_car_240930_0021_079_Ca008TrN_MaWOT_ode23t_1.png","figure")</f>
        <v>figure</v>
      </c>
      <c r="P80" t="s">
        <v>15</v>
      </c>
    </row>
    <row r="81" spans="1:16" x14ac:dyDescent="0.25">
      <c r="A81">
        <v>80</v>
      </c>
      <c r="B81">
        <v>8</v>
      </c>
      <c r="C81" t="s">
        <v>16</v>
      </c>
      <c r="D81" t="s">
        <v>17</v>
      </c>
      <c r="E81" t="s">
        <v>49</v>
      </c>
      <c r="F81" t="s">
        <v>19</v>
      </c>
      <c r="G81" t="s">
        <v>20</v>
      </c>
      <c r="H81" t="s">
        <v>21</v>
      </c>
      <c r="I81" t="s">
        <v>24</v>
      </c>
      <c r="J81" t="s">
        <v>23</v>
      </c>
      <c r="K81">
        <v>551</v>
      </c>
      <c r="L81">
        <v>19.521162</v>
      </c>
      <c r="M81">
        <v>72.061196180369066</v>
      </c>
      <c r="N81">
        <v>-0.54985421126536338</v>
      </c>
      <c r="O81" s="1" t="str">
        <f>HYPERLINK(".\sm_car_240930_0021\sm_car_240930_0021_080_Ca008TrN_MaLSS_ode23t_1.png","figure")</f>
        <v>figure</v>
      </c>
      <c r="P81" t="s">
        <v>15</v>
      </c>
    </row>
    <row r="82" spans="1:16" x14ac:dyDescent="0.25">
      <c r="A82">
        <v>81</v>
      </c>
      <c r="B82">
        <v>9</v>
      </c>
      <c r="C82" t="s">
        <v>16</v>
      </c>
      <c r="D82" t="s">
        <v>17</v>
      </c>
      <c r="E82" t="s">
        <v>49</v>
      </c>
      <c r="F82" t="s">
        <v>19</v>
      </c>
      <c r="G82" t="s">
        <v>25</v>
      </c>
      <c r="H82" t="s">
        <v>21</v>
      </c>
      <c r="I82" t="s">
        <v>22</v>
      </c>
      <c r="J82" t="s">
        <v>23</v>
      </c>
      <c r="K82">
        <v>374</v>
      </c>
      <c r="L82">
        <v>18.193990400000001</v>
      </c>
      <c r="M82">
        <v>233.11899208289591</v>
      </c>
      <c r="N82">
        <v>1.0382755986476247E-3</v>
      </c>
      <c r="O82" s="1" t="str">
        <f>HYPERLINK(".\sm_car_240930_0021\sm_car_240930_0021_081_Ca009TrN_MaWOT_ode23t_1.png","figure")</f>
        <v>figure</v>
      </c>
      <c r="P82" t="s">
        <v>15</v>
      </c>
    </row>
    <row r="83" spans="1:16" x14ac:dyDescent="0.25">
      <c r="A83">
        <v>82</v>
      </c>
      <c r="B83">
        <v>9</v>
      </c>
      <c r="C83" t="s">
        <v>16</v>
      </c>
      <c r="D83" t="s">
        <v>17</v>
      </c>
      <c r="E83" t="s">
        <v>49</v>
      </c>
      <c r="F83" t="s">
        <v>19</v>
      </c>
      <c r="G83" t="s">
        <v>25</v>
      </c>
      <c r="H83" t="s">
        <v>21</v>
      </c>
      <c r="I83" t="s">
        <v>24</v>
      </c>
      <c r="J83" t="s">
        <v>23</v>
      </c>
      <c r="K83">
        <v>531</v>
      </c>
      <c r="L83">
        <v>21.6379558</v>
      </c>
      <c r="M83">
        <v>71.7737461902597</v>
      </c>
      <c r="N83">
        <v>-0.54069885906190351</v>
      </c>
      <c r="O83" s="1" t="str">
        <f>HYPERLINK(".\sm_car_240930_0021\sm_car_240930_0021_082_Ca009TrN_MaLSS_ode23t_1.png","figure")</f>
        <v>figure</v>
      </c>
      <c r="P83" t="s">
        <v>15</v>
      </c>
    </row>
    <row r="84" spans="1:16" x14ac:dyDescent="0.25">
      <c r="A84">
        <v>83</v>
      </c>
      <c r="B84">
        <v>10</v>
      </c>
      <c r="C84" t="s">
        <v>16</v>
      </c>
      <c r="D84" t="s">
        <v>17</v>
      </c>
      <c r="E84" t="s">
        <v>49</v>
      </c>
      <c r="F84" t="s">
        <v>19</v>
      </c>
      <c r="G84" t="s">
        <v>26</v>
      </c>
      <c r="H84" t="s">
        <v>21</v>
      </c>
      <c r="I84" t="s">
        <v>22</v>
      </c>
      <c r="J84" t="s">
        <v>23</v>
      </c>
      <c r="K84">
        <v>385</v>
      </c>
      <c r="L84">
        <v>19.572950800000001</v>
      </c>
      <c r="M84">
        <v>232.77994592815637</v>
      </c>
      <c r="N84">
        <v>6.9467969576096411E-2</v>
      </c>
      <c r="O84" s="1" t="str">
        <f>HYPERLINK(".\sm_car_240930_0021\sm_car_240930_0021_083_Ca010TrN_MaWOT_ode23t_1.png","figure")</f>
        <v>figure</v>
      </c>
      <c r="P84" t="s">
        <v>15</v>
      </c>
    </row>
    <row r="85" spans="1:16" x14ac:dyDescent="0.25">
      <c r="A85">
        <v>84</v>
      </c>
      <c r="B85">
        <v>10</v>
      </c>
      <c r="C85" t="s">
        <v>16</v>
      </c>
      <c r="D85" t="s">
        <v>17</v>
      </c>
      <c r="E85" t="s">
        <v>49</v>
      </c>
      <c r="F85" t="s">
        <v>19</v>
      </c>
      <c r="G85" t="s">
        <v>26</v>
      </c>
      <c r="H85" t="s">
        <v>21</v>
      </c>
      <c r="I85" t="s">
        <v>24</v>
      </c>
      <c r="J85" t="s">
        <v>23</v>
      </c>
      <c r="K85">
        <v>548</v>
      </c>
      <c r="L85">
        <v>26.624321399999999</v>
      </c>
      <c r="M85">
        <v>71.766377622021807</v>
      </c>
      <c r="N85">
        <v>-0.53942500257357906</v>
      </c>
      <c r="O85" s="1" t="str">
        <f>HYPERLINK(".\sm_car_240930_0021\sm_car_240930_0021_084_Ca010TrN_MaLSS_ode23t_1.png","figure")</f>
        <v>figure</v>
      </c>
      <c r="P85" t="s">
        <v>15</v>
      </c>
    </row>
    <row r="86" spans="1:16" x14ac:dyDescent="0.25">
      <c r="A86">
        <v>85</v>
      </c>
      <c r="B86">
        <v>11</v>
      </c>
      <c r="C86" t="s">
        <v>16</v>
      </c>
      <c r="D86" t="s">
        <v>17</v>
      </c>
      <c r="E86" t="s">
        <v>49</v>
      </c>
      <c r="F86" t="s">
        <v>19</v>
      </c>
      <c r="G86" t="s">
        <v>27</v>
      </c>
      <c r="H86" t="s">
        <v>21</v>
      </c>
      <c r="I86" t="s">
        <v>22</v>
      </c>
      <c r="J86" t="s">
        <v>23</v>
      </c>
      <c r="K86">
        <v>425</v>
      </c>
      <c r="L86">
        <v>20.847919600000001</v>
      </c>
      <c r="M86">
        <v>232.61143022908666</v>
      </c>
      <c r="N86">
        <v>6.7164284246256617E-2</v>
      </c>
      <c r="O86" s="1" t="str">
        <f>HYPERLINK(".\sm_car_240930_0021\sm_car_240930_0021_085_Ca011TrN_MaWOT_ode23t_1.png","figure")</f>
        <v>figure</v>
      </c>
      <c r="P86" t="s">
        <v>15</v>
      </c>
    </row>
    <row r="87" spans="1:16" x14ac:dyDescent="0.25">
      <c r="A87">
        <v>86</v>
      </c>
      <c r="B87">
        <v>11</v>
      </c>
      <c r="C87" t="s">
        <v>16</v>
      </c>
      <c r="D87" t="s">
        <v>17</v>
      </c>
      <c r="E87" t="s">
        <v>49</v>
      </c>
      <c r="F87" t="s">
        <v>19</v>
      </c>
      <c r="G87" t="s">
        <v>27</v>
      </c>
      <c r="H87" t="s">
        <v>21</v>
      </c>
      <c r="I87" t="s">
        <v>24</v>
      </c>
      <c r="J87" t="s">
        <v>23</v>
      </c>
      <c r="K87">
        <v>587</v>
      </c>
      <c r="L87">
        <v>27.132042200000001</v>
      </c>
      <c r="M87">
        <v>71.632866560409212</v>
      </c>
      <c r="N87">
        <v>-0.53866336758121713</v>
      </c>
      <c r="O87" s="1" t="str">
        <f>HYPERLINK(".\sm_car_240930_0021\sm_car_240930_0021_086_Ca011TrN_MaLSS_ode23t_1.png","figure")</f>
        <v>figure</v>
      </c>
      <c r="P87" t="s">
        <v>15</v>
      </c>
    </row>
    <row r="88" spans="1:16" x14ac:dyDescent="0.25">
      <c r="A88">
        <v>87</v>
      </c>
      <c r="B88">
        <v>12</v>
      </c>
      <c r="C88" t="s">
        <v>16</v>
      </c>
      <c r="D88" t="s">
        <v>17</v>
      </c>
      <c r="E88" t="s">
        <v>49</v>
      </c>
      <c r="F88" t="s">
        <v>28</v>
      </c>
      <c r="G88" t="s">
        <v>20</v>
      </c>
      <c r="H88" t="s">
        <v>21</v>
      </c>
      <c r="I88" t="s">
        <v>22</v>
      </c>
      <c r="J88" t="s">
        <v>23</v>
      </c>
      <c r="K88">
        <v>838</v>
      </c>
      <c r="L88">
        <v>19.001907899999999</v>
      </c>
      <c r="M88">
        <v>234.07916109187821</v>
      </c>
      <c r="N88">
        <v>9.9313976732652576E-3</v>
      </c>
      <c r="O88" s="1" t="str">
        <f>HYPERLINK(".\sm_car_240930_0021\sm_car_240930_0021_087_Ca012TrN_MaWOT_ode23t_1.png","figure")</f>
        <v>figure</v>
      </c>
      <c r="P88" t="s">
        <v>15</v>
      </c>
    </row>
    <row r="89" spans="1:16" x14ac:dyDescent="0.25">
      <c r="A89">
        <v>88</v>
      </c>
      <c r="B89">
        <v>12</v>
      </c>
      <c r="C89" t="s">
        <v>16</v>
      </c>
      <c r="D89" t="s">
        <v>17</v>
      </c>
      <c r="E89" t="s">
        <v>49</v>
      </c>
      <c r="F89" t="s">
        <v>28</v>
      </c>
      <c r="G89" t="s">
        <v>20</v>
      </c>
      <c r="H89" t="s">
        <v>21</v>
      </c>
      <c r="I89" t="s">
        <v>24</v>
      </c>
      <c r="J89" t="s">
        <v>23</v>
      </c>
      <c r="K89">
        <v>970</v>
      </c>
      <c r="L89">
        <v>20.797318199999999</v>
      </c>
      <c r="M89">
        <v>72.056643652602361</v>
      </c>
      <c r="N89">
        <v>-0.55812743815189014</v>
      </c>
      <c r="O89" s="1" t="str">
        <f>HYPERLINK(".\sm_car_240930_0021\sm_car_240930_0021_088_Ca012TrN_MaLSS_ode23t_1.png","figure")</f>
        <v>figure</v>
      </c>
      <c r="P89" t="s">
        <v>15</v>
      </c>
    </row>
    <row r="90" spans="1:16" x14ac:dyDescent="0.25">
      <c r="A90">
        <v>89</v>
      </c>
      <c r="B90">
        <v>13</v>
      </c>
      <c r="C90" t="s">
        <v>16</v>
      </c>
      <c r="D90" t="s">
        <v>17</v>
      </c>
      <c r="E90" t="s">
        <v>49</v>
      </c>
      <c r="F90" t="s">
        <v>28</v>
      </c>
      <c r="G90" t="s">
        <v>25</v>
      </c>
      <c r="H90" t="s">
        <v>21</v>
      </c>
      <c r="I90" t="s">
        <v>22</v>
      </c>
      <c r="J90" t="s">
        <v>23</v>
      </c>
      <c r="K90">
        <v>832</v>
      </c>
      <c r="L90">
        <v>20.611040800000001</v>
      </c>
      <c r="M90">
        <v>233.0528199263681</v>
      </c>
      <c r="N90">
        <v>1.5169706731430498E-3</v>
      </c>
      <c r="O90" s="1" t="str">
        <f>HYPERLINK(".\sm_car_240930_0021\sm_car_240930_0021_089_Ca013TrN_MaWOT_ode23t_1.png","figure")</f>
        <v>figure</v>
      </c>
      <c r="P90" t="s">
        <v>15</v>
      </c>
    </row>
    <row r="91" spans="1:16" x14ac:dyDescent="0.25">
      <c r="A91">
        <v>90</v>
      </c>
      <c r="B91">
        <v>13</v>
      </c>
      <c r="C91" t="s">
        <v>16</v>
      </c>
      <c r="D91" t="s">
        <v>17</v>
      </c>
      <c r="E91" t="s">
        <v>49</v>
      </c>
      <c r="F91" t="s">
        <v>28</v>
      </c>
      <c r="G91" t="s">
        <v>25</v>
      </c>
      <c r="H91" t="s">
        <v>21</v>
      </c>
      <c r="I91" t="s">
        <v>24</v>
      </c>
      <c r="J91" t="s">
        <v>23</v>
      </c>
      <c r="K91">
        <v>958</v>
      </c>
      <c r="L91">
        <v>24.2566931</v>
      </c>
      <c r="M91">
        <v>71.762483661602303</v>
      </c>
      <c r="N91">
        <v>-0.55093590847012464</v>
      </c>
      <c r="O91" s="1" t="str">
        <f>HYPERLINK(".\sm_car_240930_0021\sm_car_240930_0021_090_Ca013TrN_MaLSS_ode23t_1.png","figure")</f>
        <v>figure</v>
      </c>
      <c r="P91" t="s">
        <v>15</v>
      </c>
    </row>
    <row r="92" spans="1:16" x14ac:dyDescent="0.25">
      <c r="A92">
        <v>91</v>
      </c>
      <c r="B92">
        <v>14</v>
      </c>
      <c r="C92" t="s">
        <v>16</v>
      </c>
      <c r="D92" t="s">
        <v>17</v>
      </c>
      <c r="E92" t="s">
        <v>49</v>
      </c>
      <c r="F92" t="s">
        <v>28</v>
      </c>
      <c r="G92" t="s">
        <v>26</v>
      </c>
      <c r="H92" t="s">
        <v>21</v>
      </c>
      <c r="I92" t="s">
        <v>22</v>
      </c>
      <c r="J92" t="s">
        <v>23</v>
      </c>
      <c r="K92">
        <v>859</v>
      </c>
      <c r="L92">
        <v>19.1994623</v>
      </c>
      <c r="M92">
        <v>232.95443806461972</v>
      </c>
      <c r="N92">
        <v>6.9563366606947341E-2</v>
      </c>
      <c r="O92" s="1" t="str">
        <f>HYPERLINK(".\sm_car_240930_0021\sm_car_240930_0021_091_Ca014TrN_MaWOT_ode23t_1.png","figure")</f>
        <v>figure</v>
      </c>
      <c r="P92" t="s">
        <v>15</v>
      </c>
    </row>
    <row r="93" spans="1:16" x14ac:dyDescent="0.25">
      <c r="A93">
        <v>92</v>
      </c>
      <c r="B93">
        <v>14</v>
      </c>
      <c r="C93" t="s">
        <v>16</v>
      </c>
      <c r="D93" t="s">
        <v>17</v>
      </c>
      <c r="E93" t="s">
        <v>49</v>
      </c>
      <c r="F93" t="s">
        <v>28</v>
      </c>
      <c r="G93" t="s">
        <v>26</v>
      </c>
      <c r="H93" t="s">
        <v>21</v>
      </c>
      <c r="I93" t="s">
        <v>24</v>
      </c>
      <c r="J93" t="s">
        <v>23</v>
      </c>
      <c r="K93">
        <v>1013</v>
      </c>
      <c r="L93">
        <v>26.518348799999998</v>
      </c>
      <c r="M93">
        <v>71.76574019686943</v>
      </c>
      <c r="N93">
        <v>-0.54719397998071873</v>
      </c>
      <c r="O93" s="1" t="str">
        <f>HYPERLINK(".\sm_car_240930_0021\sm_car_240930_0021_092_Ca014TrN_MaLSS_ode23t_1.png","figure")</f>
        <v>figure</v>
      </c>
      <c r="P93" t="s">
        <v>15</v>
      </c>
    </row>
    <row r="94" spans="1:16" x14ac:dyDescent="0.25">
      <c r="A94">
        <v>93</v>
      </c>
      <c r="B94">
        <v>15</v>
      </c>
      <c r="C94" t="s">
        <v>16</v>
      </c>
      <c r="D94" t="s">
        <v>17</v>
      </c>
      <c r="E94" t="s">
        <v>49</v>
      </c>
      <c r="F94" t="s">
        <v>28</v>
      </c>
      <c r="G94" t="s">
        <v>27</v>
      </c>
      <c r="H94" t="s">
        <v>21</v>
      </c>
      <c r="I94" t="s">
        <v>22</v>
      </c>
      <c r="J94" t="s">
        <v>23</v>
      </c>
      <c r="K94">
        <v>883</v>
      </c>
      <c r="L94">
        <v>22.398219399999999</v>
      </c>
      <c r="M94">
        <v>232.34735285262275</v>
      </c>
      <c r="N94">
        <v>6.7150313537386791E-2</v>
      </c>
      <c r="O94" s="1" t="str">
        <f>HYPERLINK(".\sm_car_240930_0021\sm_car_240930_0021_093_Ca015TrN_MaWOT_ode23t_1.png","figure")</f>
        <v>figure</v>
      </c>
      <c r="P94" t="s">
        <v>15</v>
      </c>
    </row>
    <row r="95" spans="1:16" x14ac:dyDescent="0.25">
      <c r="A95">
        <v>94</v>
      </c>
      <c r="B95">
        <v>15</v>
      </c>
      <c r="C95" t="s">
        <v>16</v>
      </c>
      <c r="D95" t="s">
        <v>17</v>
      </c>
      <c r="E95" t="s">
        <v>49</v>
      </c>
      <c r="F95" t="s">
        <v>28</v>
      </c>
      <c r="G95" t="s">
        <v>27</v>
      </c>
      <c r="H95" t="s">
        <v>21</v>
      </c>
      <c r="I95" t="s">
        <v>24</v>
      </c>
      <c r="J95" t="s">
        <v>23</v>
      </c>
      <c r="K95">
        <v>1009</v>
      </c>
      <c r="L95">
        <v>24.710771900000001</v>
      </c>
      <c r="M95">
        <v>71.624968115879767</v>
      </c>
      <c r="N95">
        <v>-0.54446453688651986</v>
      </c>
      <c r="O95" s="1" t="str">
        <f>HYPERLINK(".\sm_car_240930_0021\sm_car_240930_0021_094_Ca015TrN_MaLSS_ode23t_1.png","figure")</f>
        <v>figure</v>
      </c>
      <c r="P95" t="s">
        <v>15</v>
      </c>
    </row>
    <row r="96" spans="1:16" x14ac:dyDescent="0.25">
      <c r="A96">
        <v>95</v>
      </c>
      <c r="B96">
        <v>120</v>
      </c>
      <c r="C96" t="s">
        <v>16</v>
      </c>
      <c r="D96" t="s">
        <v>35</v>
      </c>
      <c r="E96" t="s">
        <v>49</v>
      </c>
      <c r="F96" t="s">
        <v>19</v>
      </c>
      <c r="G96" t="s">
        <v>20</v>
      </c>
      <c r="H96" t="s">
        <v>21</v>
      </c>
      <c r="I96" t="s">
        <v>22</v>
      </c>
      <c r="J96" t="s">
        <v>23</v>
      </c>
      <c r="K96">
        <v>399</v>
      </c>
      <c r="L96">
        <v>5.5424334999999996</v>
      </c>
      <c r="M96">
        <v>242.70172474205535</v>
      </c>
      <c r="N96">
        <v>0.23218529214587894</v>
      </c>
      <c r="O96" s="1" t="str">
        <f>HYPERLINK(".\sm_car_240930_0021\sm_car_240930_0021_095_Ca120TrN_MaWOT_ode23t_1.png","figure")</f>
        <v>figure</v>
      </c>
      <c r="P96" t="s">
        <v>15</v>
      </c>
    </row>
    <row r="97" spans="1:16" x14ac:dyDescent="0.25">
      <c r="A97">
        <v>96</v>
      </c>
      <c r="B97">
        <v>120</v>
      </c>
      <c r="C97" t="s">
        <v>16</v>
      </c>
      <c r="D97" t="s">
        <v>35</v>
      </c>
      <c r="E97" t="s">
        <v>49</v>
      </c>
      <c r="F97" t="s">
        <v>19</v>
      </c>
      <c r="G97" t="s">
        <v>20</v>
      </c>
      <c r="H97" t="s">
        <v>21</v>
      </c>
      <c r="I97" t="s">
        <v>24</v>
      </c>
      <c r="J97" t="s">
        <v>23</v>
      </c>
      <c r="K97">
        <v>494</v>
      </c>
      <c r="L97">
        <v>5.9074787000000004</v>
      </c>
      <c r="M97">
        <v>74.685134429266526</v>
      </c>
      <c r="N97">
        <v>-0.33779887211627302</v>
      </c>
      <c r="O97" s="1" t="str">
        <f>HYPERLINK(".\sm_car_240930_0021\sm_car_240930_0021_096_Ca120TrN_MaLSS_ode23t_1.png","figure")</f>
        <v>figure</v>
      </c>
      <c r="P97" t="s">
        <v>15</v>
      </c>
    </row>
    <row r="98" spans="1:16" x14ac:dyDescent="0.25">
      <c r="A98">
        <v>97</v>
      </c>
      <c r="B98">
        <v>121</v>
      </c>
      <c r="C98" t="s">
        <v>16</v>
      </c>
      <c r="D98" t="s">
        <v>35</v>
      </c>
      <c r="E98" t="s">
        <v>49</v>
      </c>
      <c r="F98" t="s">
        <v>19</v>
      </c>
      <c r="G98" t="s">
        <v>25</v>
      </c>
      <c r="H98" t="s">
        <v>21</v>
      </c>
      <c r="I98" t="s">
        <v>22</v>
      </c>
      <c r="J98" t="s">
        <v>23</v>
      </c>
      <c r="K98">
        <v>394</v>
      </c>
      <c r="L98">
        <v>6.4154217999999998</v>
      </c>
      <c r="M98">
        <v>241.5143726318114</v>
      </c>
      <c r="N98">
        <v>0.22862728605053528</v>
      </c>
      <c r="O98" s="1" t="str">
        <f>HYPERLINK(".\sm_car_240930_0021\sm_car_240930_0021_097_Ca121TrN_MaWOT_ode23t_1.png","figure")</f>
        <v>figure</v>
      </c>
      <c r="P98" t="s">
        <v>15</v>
      </c>
    </row>
    <row r="99" spans="1:16" x14ac:dyDescent="0.25">
      <c r="A99">
        <v>98</v>
      </c>
      <c r="B99">
        <v>121</v>
      </c>
      <c r="C99" t="s">
        <v>16</v>
      </c>
      <c r="D99" t="s">
        <v>35</v>
      </c>
      <c r="E99" t="s">
        <v>49</v>
      </c>
      <c r="F99" t="s">
        <v>19</v>
      </c>
      <c r="G99" t="s">
        <v>25</v>
      </c>
      <c r="H99" t="s">
        <v>21</v>
      </c>
      <c r="I99" t="s">
        <v>24</v>
      </c>
      <c r="J99" t="s">
        <v>23</v>
      </c>
      <c r="K99">
        <v>521</v>
      </c>
      <c r="L99">
        <v>7.1782176</v>
      </c>
      <c r="M99">
        <v>74.365125365938397</v>
      </c>
      <c r="N99">
        <v>-0.33361272533874831</v>
      </c>
      <c r="O99" s="1" t="str">
        <f>HYPERLINK(".\sm_car_240930_0021\sm_car_240930_0021_098_Ca121TrN_MaLSS_ode23t_1.png","figure")</f>
        <v>figure</v>
      </c>
      <c r="P99" t="s">
        <v>15</v>
      </c>
    </row>
    <row r="100" spans="1:16" x14ac:dyDescent="0.25">
      <c r="A100">
        <v>99</v>
      </c>
      <c r="B100">
        <v>122</v>
      </c>
      <c r="C100" t="s">
        <v>16</v>
      </c>
      <c r="D100" t="s">
        <v>35</v>
      </c>
      <c r="E100" t="s">
        <v>49</v>
      </c>
      <c r="F100" t="s">
        <v>19</v>
      </c>
      <c r="G100" t="s">
        <v>26</v>
      </c>
      <c r="H100" t="s">
        <v>21</v>
      </c>
      <c r="I100" t="s">
        <v>22</v>
      </c>
      <c r="J100" t="s">
        <v>23</v>
      </c>
      <c r="K100">
        <v>403</v>
      </c>
      <c r="L100">
        <v>7.0479957999999998</v>
      </c>
      <c r="M100">
        <v>241.6717256840804</v>
      </c>
      <c r="N100">
        <v>0.22858780604274864</v>
      </c>
      <c r="O100" s="1" t="str">
        <f>HYPERLINK(".\sm_car_240930_0021\sm_car_240930_0021_099_Ca122TrN_MaWOT_ode23t_1.png","figure")</f>
        <v>figure</v>
      </c>
      <c r="P100" t="s">
        <v>15</v>
      </c>
    </row>
    <row r="101" spans="1:16" x14ac:dyDescent="0.25">
      <c r="A101">
        <v>100</v>
      </c>
      <c r="B101">
        <v>122</v>
      </c>
      <c r="C101" t="s">
        <v>16</v>
      </c>
      <c r="D101" t="s">
        <v>35</v>
      </c>
      <c r="E101" t="s">
        <v>49</v>
      </c>
      <c r="F101" t="s">
        <v>19</v>
      </c>
      <c r="G101" t="s">
        <v>26</v>
      </c>
      <c r="H101" t="s">
        <v>21</v>
      </c>
      <c r="I101" t="s">
        <v>24</v>
      </c>
      <c r="J101" t="s">
        <v>23</v>
      </c>
      <c r="K101">
        <v>510</v>
      </c>
      <c r="L101">
        <v>7.9279210999999998</v>
      </c>
      <c r="M101">
        <v>74.370282515754482</v>
      </c>
      <c r="N101">
        <v>-0.33401683082400968</v>
      </c>
      <c r="O101" s="1" t="str">
        <f>HYPERLINK(".\sm_car_240930_0021\sm_car_240930_0021_100_Ca122TrN_MaLSS_ode23t_1.png","figure")</f>
        <v>figure</v>
      </c>
      <c r="P101" t="s">
        <v>15</v>
      </c>
    </row>
    <row r="102" spans="1:16" x14ac:dyDescent="0.25">
      <c r="A102">
        <v>101</v>
      </c>
      <c r="B102">
        <v>123</v>
      </c>
      <c r="C102" t="s">
        <v>16</v>
      </c>
      <c r="D102" t="s">
        <v>35</v>
      </c>
      <c r="E102" t="s">
        <v>49</v>
      </c>
      <c r="F102" t="s">
        <v>19</v>
      </c>
      <c r="G102" t="s">
        <v>27</v>
      </c>
      <c r="H102" t="s">
        <v>21</v>
      </c>
      <c r="I102" t="s">
        <v>22</v>
      </c>
      <c r="J102" t="s">
        <v>23</v>
      </c>
      <c r="K102">
        <v>425</v>
      </c>
      <c r="L102">
        <v>7.2113709000000004</v>
      </c>
      <c r="M102">
        <v>241.12408710231261</v>
      </c>
      <c r="N102">
        <v>0.2264328838105843</v>
      </c>
      <c r="O102" s="1" t="str">
        <f>HYPERLINK(".\sm_car_240930_0021\sm_car_240930_0021_101_Ca123TrN_MaWOT_ode23t_1.png","figure")</f>
        <v>figure</v>
      </c>
      <c r="P102" t="s">
        <v>15</v>
      </c>
    </row>
    <row r="103" spans="1:16" x14ac:dyDescent="0.25">
      <c r="A103">
        <v>102</v>
      </c>
      <c r="B103">
        <v>123</v>
      </c>
      <c r="C103" t="s">
        <v>16</v>
      </c>
      <c r="D103" t="s">
        <v>35</v>
      </c>
      <c r="E103" t="s">
        <v>49</v>
      </c>
      <c r="F103" t="s">
        <v>19</v>
      </c>
      <c r="G103" t="s">
        <v>27</v>
      </c>
      <c r="H103" t="s">
        <v>21</v>
      </c>
      <c r="I103" t="s">
        <v>24</v>
      </c>
      <c r="J103" t="s">
        <v>23</v>
      </c>
      <c r="K103">
        <v>538</v>
      </c>
      <c r="L103">
        <v>7.8262020000000003</v>
      </c>
      <c r="M103">
        <v>74.224789194784194</v>
      </c>
      <c r="N103">
        <v>-0.33252904412944279</v>
      </c>
      <c r="O103" s="1" t="str">
        <f>HYPERLINK(".\sm_car_240930_0021\sm_car_240930_0021_102_Ca123TrN_MaLSS_ode23t_1.png","figure")</f>
        <v>figure</v>
      </c>
      <c r="P103" t="s">
        <v>15</v>
      </c>
    </row>
    <row r="104" spans="1:16" x14ac:dyDescent="0.25">
      <c r="A104">
        <v>103</v>
      </c>
      <c r="B104">
        <v>124</v>
      </c>
      <c r="C104" t="s">
        <v>16</v>
      </c>
      <c r="D104" t="s">
        <v>35</v>
      </c>
      <c r="E104" t="s">
        <v>49</v>
      </c>
      <c r="F104" t="s">
        <v>28</v>
      </c>
      <c r="G104" t="s">
        <v>20</v>
      </c>
      <c r="H104" t="s">
        <v>21</v>
      </c>
      <c r="I104" t="s">
        <v>22</v>
      </c>
      <c r="J104" t="s">
        <v>23</v>
      </c>
      <c r="K104">
        <v>1011</v>
      </c>
      <c r="L104">
        <v>7.2567338000000001</v>
      </c>
      <c r="M104">
        <v>242.6893144756805</v>
      </c>
      <c r="N104">
        <v>0.23310540984260625</v>
      </c>
      <c r="O104" s="1" t="str">
        <f>HYPERLINK(".\sm_car_240930_0021\sm_car_240930_0021_103_Ca124TrN_MaWOT_ode23t_1.png","figure")</f>
        <v>figure</v>
      </c>
      <c r="P104" t="s">
        <v>15</v>
      </c>
    </row>
    <row r="105" spans="1:16" x14ac:dyDescent="0.25">
      <c r="A105">
        <v>104</v>
      </c>
      <c r="B105">
        <v>124</v>
      </c>
      <c r="C105" t="s">
        <v>16</v>
      </c>
      <c r="D105" t="s">
        <v>35</v>
      </c>
      <c r="E105" t="s">
        <v>49</v>
      </c>
      <c r="F105" t="s">
        <v>28</v>
      </c>
      <c r="G105" t="s">
        <v>20</v>
      </c>
      <c r="H105" t="s">
        <v>21</v>
      </c>
      <c r="I105" t="s">
        <v>24</v>
      </c>
      <c r="J105" t="s">
        <v>23</v>
      </c>
      <c r="K105">
        <v>1125</v>
      </c>
      <c r="L105">
        <v>7.7082122000000002</v>
      </c>
      <c r="M105">
        <v>74.66272961840248</v>
      </c>
      <c r="N105">
        <v>-0.34153787092137572</v>
      </c>
      <c r="O105" s="1" t="str">
        <f>HYPERLINK(".\sm_car_240930_0021\sm_car_240930_0021_104_Ca124TrN_MaLSS_ode23t_1.png","figure")</f>
        <v>figure</v>
      </c>
      <c r="P105" t="s">
        <v>15</v>
      </c>
    </row>
    <row r="106" spans="1:16" x14ac:dyDescent="0.25">
      <c r="A106">
        <v>105</v>
      </c>
      <c r="B106">
        <v>125</v>
      </c>
      <c r="C106" t="s">
        <v>16</v>
      </c>
      <c r="D106" t="s">
        <v>35</v>
      </c>
      <c r="E106" t="s">
        <v>49</v>
      </c>
      <c r="F106" t="s">
        <v>28</v>
      </c>
      <c r="G106" t="s">
        <v>25</v>
      </c>
      <c r="H106" t="s">
        <v>21</v>
      </c>
      <c r="I106" t="s">
        <v>22</v>
      </c>
      <c r="J106" t="s">
        <v>23</v>
      </c>
      <c r="K106">
        <v>1006</v>
      </c>
      <c r="L106">
        <v>7.9784268999999997</v>
      </c>
      <c r="M106">
        <v>241.62988721202183</v>
      </c>
      <c r="N106">
        <v>0.22963875610615478</v>
      </c>
      <c r="O106" s="1" t="str">
        <f>HYPERLINK(".\sm_car_240930_0021\sm_car_240930_0021_105_Ca125TrN_MaWOT_ode23t_1.png","figure")</f>
        <v>figure</v>
      </c>
      <c r="P106" t="s">
        <v>15</v>
      </c>
    </row>
    <row r="107" spans="1:16" x14ac:dyDescent="0.25">
      <c r="A107">
        <v>106</v>
      </c>
      <c r="B107">
        <v>125</v>
      </c>
      <c r="C107" t="s">
        <v>16</v>
      </c>
      <c r="D107" t="s">
        <v>35</v>
      </c>
      <c r="E107" t="s">
        <v>49</v>
      </c>
      <c r="F107" t="s">
        <v>28</v>
      </c>
      <c r="G107" t="s">
        <v>25</v>
      </c>
      <c r="H107" t="s">
        <v>21</v>
      </c>
      <c r="I107" t="s">
        <v>24</v>
      </c>
      <c r="J107" t="s">
        <v>23</v>
      </c>
      <c r="K107">
        <v>1126</v>
      </c>
      <c r="L107">
        <v>9.0826385999999992</v>
      </c>
      <c r="M107">
        <v>74.343140204375246</v>
      </c>
      <c r="N107">
        <v>-0.33759258902252826</v>
      </c>
      <c r="O107" s="1" t="str">
        <f>HYPERLINK(".\sm_car_240930_0021\sm_car_240930_0021_106_Ca125TrN_MaLSS_ode23t_1.png","figure")</f>
        <v>figure</v>
      </c>
      <c r="P107" t="s">
        <v>15</v>
      </c>
    </row>
    <row r="108" spans="1:16" x14ac:dyDescent="0.25">
      <c r="A108">
        <v>107</v>
      </c>
      <c r="B108">
        <v>126</v>
      </c>
      <c r="C108" t="s">
        <v>16</v>
      </c>
      <c r="D108" t="s">
        <v>35</v>
      </c>
      <c r="E108" t="s">
        <v>49</v>
      </c>
      <c r="F108" t="s">
        <v>28</v>
      </c>
      <c r="G108" t="s">
        <v>26</v>
      </c>
      <c r="H108" t="s">
        <v>21</v>
      </c>
      <c r="I108" t="s">
        <v>22</v>
      </c>
      <c r="J108" t="s">
        <v>23</v>
      </c>
      <c r="K108">
        <v>1034</v>
      </c>
      <c r="L108">
        <v>8.6296073</v>
      </c>
      <c r="M108">
        <v>241.68025250176532</v>
      </c>
      <c r="N108">
        <v>0.22971562405451412</v>
      </c>
      <c r="O108" s="1" t="str">
        <f>HYPERLINK(".\sm_car_240930_0021\sm_car_240930_0021_107_Ca126TrN_MaWOT_ode23t_1.png","figure")</f>
        <v>figure</v>
      </c>
      <c r="P108" t="s">
        <v>15</v>
      </c>
    </row>
    <row r="109" spans="1:16" x14ac:dyDescent="0.25">
      <c r="A109">
        <v>108</v>
      </c>
      <c r="B109">
        <v>126</v>
      </c>
      <c r="C109" t="s">
        <v>16</v>
      </c>
      <c r="D109" t="s">
        <v>35</v>
      </c>
      <c r="E109" t="s">
        <v>49</v>
      </c>
      <c r="F109" t="s">
        <v>28</v>
      </c>
      <c r="G109" t="s">
        <v>26</v>
      </c>
      <c r="H109" t="s">
        <v>21</v>
      </c>
      <c r="I109" t="s">
        <v>24</v>
      </c>
      <c r="J109" t="s">
        <v>23</v>
      </c>
      <c r="K109">
        <v>1138</v>
      </c>
      <c r="L109">
        <v>9.6925515999999998</v>
      </c>
      <c r="M109">
        <v>74.341973751482016</v>
      </c>
      <c r="N109">
        <v>-0.3360037267657231</v>
      </c>
      <c r="O109" s="1" t="str">
        <f>HYPERLINK(".\sm_car_240930_0021\sm_car_240930_0021_108_Ca126TrN_MaLSS_ode23t_1.png","figure")</f>
        <v>figure</v>
      </c>
      <c r="P109" t="s">
        <v>15</v>
      </c>
    </row>
    <row r="110" spans="1:16" x14ac:dyDescent="0.25">
      <c r="A110">
        <v>109</v>
      </c>
      <c r="B110">
        <v>127</v>
      </c>
      <c r="C110" t="s">
        <v>16</v>
      </c>
      <c r="D110" t="s">
        <v>35</v>
      </c>
      <c r="E110" t="s">
        <v>49</v>
      </c>
      <c r="F110" t="s">
        <v>28</v>
      </c>
      <c r="G110" t="s">
        <v>27</v>
      </c>
      <c r="H110" t="s">
        <v>21</v>
      </c>
      <c r="I110" t="s">
        <v>22</v>
      </c>
      <c r="J110" t="s">
        <v>23</v>
      </c>
      <c r="K110">
        <v>1044</v>
      </c>
      <c r="L110">
        <v>9.3244439000000003</v>
      </c>
      <c r="M110">
        <v>241.12256337783199</v>
      </c>
      <c r="N110">
        <v>0.22872068558798747</v>
      </c>
      <c r="O110" s="1" t="str">
        <f>HYPERLINK(".\sm_car_240930_0021\sm_car_240930_0021_109_Ca127TrN_MaWOT_ode23t_1.png","figure")</f>
        <v>figure</v>
      </c>
      <c r="P110" t="s">
        <v>15</v>
      </c>
    </row>
    <row r="111" spans="1:16" x14ac:dyDescent="0.25">
      <c r="A111">
        <v>110</v>
      </c>
      <c r="B111">
        <v>127</v>
      </c>
      <c r="C111" t="s">
        <v>16</v>
      </c>
      <c r="D111" t="s">
        <v>35</v>
      </c>
      <c r="E111" t="s">
        <v>49</v>
      </c>
      <c r="F111" t="s">
        <v>28</v>
      </c>
      <c r="G111" t="s">
        <v>27</v>
      </c>
      <c r="H111" t="s">
        <v>21</v>
      </c>
      <c r="I111" t="s">
        <v>24</v>
      </c>
      <c r="J111" t="s">
        <v>23</v>
      </c>
      <c r="K111">
        <v>1163</v>
      </c>
      <c r="L111">
        <v>9.7968390999999997</v>
      </c>
      <c r="M111">
        <v>74.197871360767792</v>
      </c>
      <c r="N111">
        <v>-0.33204812385461646</v>
      </c>
      <c r="O111" s="1" t="str">
        <f>HYPERLINK(".\sm_car_240930_0021\sm_car_240930_0021_110_Ca127TrN_MaLSS_ode23t_1.png","figure")</f>
        <v>figure</v>
      </c>
      <c r="P111" t="s">
        <v>15</v>
      </c>
    </row>
    <row r="112" spans="1:16" x14ac:dyDescent="0.25">
      <c r="A112">
        <v>111</v>
      </c>
      <c r="B112">
        <v>140</v>
      </c>
      <c r="C112" t="s">
        <v>45</v>
      </c>
      <c r="D112" t="s">
        <v>17</v>
      </c>
      <c r="E112" t="s">
        <v>49</v>
      </c>
      <c r="F112" t="s">
        <v>19</v>
      </c>
      <c r="G112" t="s">
        <v>26</v>
      </c>
      <c r="H112" t="s">
        <v>21</v>
      </c>
      <c r="I112" t="s">
        <v>22</v>
      </c>
      <c r="J112" t="s">
        <v>23</v>
      </c>
      <c r="K112">
        <v>433</v>
      </c>
      <c r="L112">
        <v>25.559460699999999</v>
      </c>
      <c r="M112">
        <v>411.34122402379478</v>
      </c>
      <c r="N112">
        <v>1.5664715891058059</v>
      </c>
      <c r="O112" s="1" t="str">
        <f>HYPERLINK(".\sm_car_240930_0021\sm_car_240930_0021_111_Ca140TrN_MaWOT_ode23t_1.png","figure")</f>
        <v>figure</v>
      </c>
      <c r="P112" t="s">
        <v>15</v>
      </c>
    </row>
    <row r="113" spans="1:16" x14ac:dyDescent="0.25">
      <c r="A113">
        <v>112</v>
      </c>
      <c r="B113">
        <v>140</v>
      </c>
      <c r="C113" t="s">
        <v>45</v>
      </c>
      <c r="D113" t="s">
        <v>17</v>
      </c>
      <c r="E113" t="s">
        <v>49</v>
      </c>
      <c r="F113" t="s">
        <v>19</v>
      </c>
      <c r="G113" t="s">
        <v>26</v>
      </c>
      <c r="H113" t="s">
        <v>21</v>
      </c>
      <c r="I113" t="s">
        <v>24</v>
      </c>
      <c r="J113" t="s">
        <v>23</v>
      </c>
      <c r="K113">
        <v>558</v>
      </c>
      <c r="L113">
        <v>22.604417900000001</v>
      </c>
      <c r="M113">
        <v>157.23612719317128</v>
      </c>
      <c r="N113">
        <v>-0.56454758683596606</v>
      </c>
      <c r="O113" s="1" t="str">
        <f>HYPERLINK(".\sm_car_240930_0021\sm_car_240930_0021_112_Ca140TrN_MaLSS_ode23t_1.png","figure")</f>
        <v>figure</v>
      </c>
      <c r="P113" t="s">
        <v>15</v>
      </c>
    </row>
    <row r="114" spans="1:16" x14ac:dyDescent="0.25">
      <c r="A114">
        <v>113</v>
      </c>
      <c r="B114">
        <v>142</v>
      </c>
      <c r="C114" t="s">
        <v>45</v>
      </c>
      <c r="D114" t="s">
        <v>17</v>
      </c>
      <c r="E114" t="s">
        <v>49</v>
      </c>
      <c r="F114" t="s">
        <v>28</v>
      </c>
      <c r="G114" t="s">
        <v>26</v>
      </c>
      <c r="H114" t="s">
        <v>21</v>
      </c>
      <c r="I114" t="s">
        <v>22</v>
      </c>
      <c r="J114" t="s">
        <v>23</v>
      </c>
      <c r="K114">
        <v>964</v>
      </c>
      <c r="L114">
        <v>24.323035699999998</v>
      </c>
      <c r="M114">
        <v>411.81815060982069</v>
      </c>
      <c r="N114">
        <v>1.5972489568240869</v>
      </c>
      <c r="O114" s="1" t="str">
        <f>HYPERLINK(".\sm_car_240930_0021\sm_car_240930_0021_113_Ca142TrN_MaWOT_ode23t_1.png","figure")</f>
        <v>figure</v>
      </c>
      <c r="P114" t="s">
        <v>15</v>
      </c>
    </row>
    <row r="115" spans="1:16" x14ac:dyDescent="0.25">
      <c r="A115">
        <v>114</v>
      </c>
      <c r="B115">
        <v>142</v>
      </c>
      <c r="C115" t="s">
        <v>45</v>
      </c>
      <c r="D115" t="s">
        <v>17</v>
      </c>
      <c r="E115" t="s">
        <v>49</v>
      </c>
      <c r="F115" t="s">
        <v>28</v>
      </c>
      <c r="G115" t="s">
        <v>26</v>
      </c>
      <c r="H115" t="s">
        <v>21</v>
      </c>
      <c r="I115" t="s">
        <v>24</v>
      </c>
      <c r="J115" t="s">
        <v>23</v>
      </c>
      <c r="K115">
        <v>1108</v>
      </c>
      <c r="L115">
        <v>22.522410399999998</v>
      </c>
      <c r="M115">
        <v>157.34122647620401</v>
      </c>
      <c r="N115">
        <v>-0.57213780028028283</v>
      </c>
      <c r="O115" s="1" t="str">
        <f>HYPERLINK(".\sm_car_240930_0021\sm_car_240930_0021_114_Ca142TrN_MaLSS_ode23t_1.png","figure")</f>
        <v>figure</v>
      </c>
      <c r="P115" t="s">
        <v>15</v>
      </c>
    </row>
    <row r="116" spans="1:16" x14ac:dyDescent="0.25">
      <c r="A116">
        <v>115</v>
      </c>
      <c r="B116">
        <v>145</v>
      </c>
      <c r="C116" t="s">
        <v>46</v>
      </c>
      <c r="D116" t="s">
        <v>17</v>
      </c>
      <c r="E116" t="s">
        <v>50</v>
      </c>
      <c r="F116" t="s">
        <v>19</v>
      </c>
      <c r="G116" t="s">
        <v>26</v>
      </c>
      <c r="H116" t="s">
        <v>21</v>
      </c>
      <c r="I116" t="s">
        <v>22</v>
      </c>
      <c r="J116" t="s">
        <v>23</v>
      </c>
      <c r="K116">
        <v>349</v>
      </c>
      <c r="L116">
        <v>20.4523729</v>
      </c>
      <c r="M116">
        <v>96.60394817669561</v>
      </c>
      <c r="N116">
        <v>-4.193556241282545E-2</v>
      </c>
      <c r="O116" s="1" t="str">
        <f>HYPERLINK(".\sm_car_240930_0021\sm_car_240930_0021_115_Ca145TrN_MaWOT_ode23t_1.png","figure")</f>
        <v>figure</v>
      </c>
      <c r="P116" t="s">
        <v>15</v>
      </c>
    </row>
    <row r="117" spans="1:16" x14ac:dyDescent="0.25">
      <c r="A117">
        <v>116</v>
      </c>
      <c r="B117">
        <v>145</v>
      </c>
      <c r="C117" t="s">
        <v>46</v>
      </c>
      <c r="D117" t="s">
        <v>17</v>
      </c>
      <c r="E117" t="s">
        <v>50</v>
      </c>
      <c r="F117" t="s">
        <v>19</v>
      </c>
      <c r="G117" t="s">
        <v>26</v>
      </c>
      <c r="H117" t="s">
        <v>21</v>
      </c>
      <c r="I117" t="s">
        <v>24</v>
      </c>
      <c r="J117" t="s">
        <v>23</v>
      </c>
      <c r="K117">
        <v>437</v>
      </c>
      <c r="L117">
        <v>23.936564799999999</v>
      </c>
      <c r="M117">
        <v>25.166122551981559</v>
      </c>
      <c r="N117">
        <v>-5.1574028464355187E-2</v>
      </c>
      <c r="O117" s="1" t="str">
        <f>HYPERLINK(".\sm_car_240930_0021\sm_car_240930_0021_116_Ca145TrN_MaLSS_ode23t_1.png","figure")</f>
        <v>figure</v>
      </c>
      <c r="P117" t="s">
        <v>15</v>
      </c>
    </row>
    <row r="118" spans="1:16" x14ac:dyDescent="0.25">
      <c r="A118">
        <v>117</v>
      </c>
      <c r="B118">
        <v>146</v>
      </c>
      <c r="C118" t="s">
        <v>46</v>
      </c>
      <c r="D118" t="s">
        <v>17</v>
      </c>
      <c r="E118" t="s">
        <v>49</v>
      </c>
      <c r="F118" t="s">
        <v>19</v>
      </c>
      <c r="G118" t="s">
        <v>26</v>
      </c>
      <c r="H118" t="s">
        <v>21</v>
      </c>
      <c r="I118" t="s">
        <v>22</v>
      </c>
      <c r="J118" t="s">
        <v>23</v>
      </c>
      <c r="K118">
        <v>327</v>
      </c>
      <c r="L118">
        <v>14.3376772</v>
      </c>
      <c r="M118">
        <v>115.11160564157105</v>
      </c>
      <c r="N118">
        <v>0.53505322550047496</v>
      </c>
      <c r="O118" s="1" t="str">
        <f>HYPERLINK(".\sm_car_240930_0021\sm_car_240930_0021_117_Ca146TrN_MaWOT_ode23t_1.png","figure")</f>
        <v>figure</v>
      </c>
      <c r="P118" t="s">
        <v>15</v>
      </c>
    </row>
    <row r="119" spans="1:16" x14ac:dyDescent="0.25">
      <c r="A119">
        <v>118</v>
      </c>
      <c r="B119">
        <v>146</v>
      </c>
      <c r="C119" t="s">
        <v>46</v>
      </c>
      <c r="D119" t="s">
        <v>17</v>
      </c>
      <c r="E119" t="s">
        <v>49</v>
      </c>
      <c r="F119" t="s">
        <v>19</v>
      </c>
      <c r="G119" t="s">
        <v>26</v>
      </c>
      <c r="H119" t="s">
        <v>21</v>
      </c>
      <c r="I119" t="s">
        <v>24</v>
      </c>
      <c r="J119" t="s">
        <v>23</v>
      </c>
      <c r="K119">
        <v>427</v>
      </c>
      <c r="L119">
        <v>18.826424100000001</v>
      </c>
      <c r="M119">
        <v>35.86881130774956</v>
      </c>
      <c r="N119">
        <v>-3.0878353921689732E-2</v>
      </c>
      <c r="O119" s="1" t="str">
        <f>HYPERLINK(".\sm_car_240930_0021\sm_car_240930_0021_118_Ca146TrN_MaLSS_ode23t_1.png","figure")</f>
        <v>figure</v>
      </c>
      <c r="P119" t="s">
        <v>15</v>
      </c>
    </row>
    <row r="120" spans="1:16" x14ac:dyDescent="0.25">
      <c r="A120">
        <v>119</v>
      </c>
      <c r="B120">
        <v>146</v>
      </c>
      <c r="C120" t="s">
        <v>46</v>
      </c>
      <c r="D120" t="s">
        <v>17</v>
      </c>
      <c r="E120" t="s">
        <v>49</v>
      </c>
      <c r="F120" t="s">
        <v>19</v>
      </c>
      <c r="G120" t="s">
        <v>26</v>
      </c>
      <c r="H120" t="s">
        <v>21</v>
      </c>
      <c r="I120" t="s">
        <v>22</v>
      </c>
      <c r="J120" t="s">
        <v>23</v>
      </c>
      <c r="K120">
        <v>327</v>
      </c>
      <c r="L120">
        <v>14.371727</v>
      </c>
      <c r="M120">
        <v>115.11160564157105</v>
      </c>
      <c r="N120">
        <v>0.53505322550047496</v>
      </c>
      <c r="O120" s="1" t="str">
        <f>HYPERLINK(".\sm_car_240930_0021\sm_car_240930_0021_119_Ca146TrN_MaWOT_ode23t_1.png","figure")</f>
        <v>figure</v>
      </c>
      <c r="P120" t="s">
        <v>15</v>
      </c>
    </row>
    <row r="121" spans="1:16" x14ac:dyDescent="0.25">
      <c r="A121">
        <v>120</v>
      </c>
      <c r="B121">
        <v>146</v>
      </c>
      <c r="C121" t="s">
        <v>46</v>
      </c>
      <c r="D121" t="s">
        <v>17</v>
      </c>
      <c r="E121" t="s">
        <v>49</v>
      </c>
      <c r="F121" t="s">
        <v>19</v>
      </c>
      <c r="G121" t="s">
        <v>26</v>
      </c>
      <c r="H121" t="s">
        <v>21</v>
      </c>
      <c r="I121" t="s">
        <v>24</v>
      </c>
      <c r="J121" t="s">
        <v>23</v>
      </c>
      <c r="K121">
        <v>427</v>
      </c>
      <c r="L121">
        <v>19.1615763</v>
      </c>
      <c r="M121">
        <v>35.86881130774956</v>
      </c>
      <c r="N121">
        <v>-3.0878353921689732E-2</v>
      </c>
      <c r="O121" s="1" t="str">
        <f>HYPERLINK(".\sm_car_240930_0021\sm_car_240930_0021_120_Ca146TrN_MaLSS_ode23t_1.png","figure")</f>
        <v>figure</v>
      </c>
      <c r="P121" t="s">
        <v>15</v>
      </c>
    </row>
    <row r="122" spans="1:16" x14ac:dyDescent="0.25">
      <c r="A122">
        <v>121</v>
      </c>
      <c r="B122">
        <v>161</v>
      </c>
      <c r="C122" t="s">
        <v>45</v>
      </c>
      <c r="D122" t="s">
        <v>51</v>
      </c>
      <c r="E122" t="s">
        <v>49</v>
      </c>
      <c r="F122" t="s">
        <v>19</v>
      </c>
      <c r="G122" t="s">
        <v>26</v>
      </c>
      <c r="H122" t="s">
        <v>21</v>
      </c>
      <c r="I122" t="s">
        <v>22</v>
      </c>
      <c r="J122" t="s">
        <v>23</v>
      </c>
      <c r="K122">
        <v>444</v>
      </c>
      <c r="L122">
        <v>25.928827099999999</v>
      </c>
      <c r="M122">
        <v>183.10796880819677</v>
      </c>
      <c r="N122">
        <v>0.30616778062031696</v>
      </c>
      <c r="O122" s="1" t="str">
        <f>HYPERLINK(".\sm_car_240930_0021\sm_car_240930_0021_121_Ca161TrN_MaWOT_ode23t_1.png","figure")</f>
        <v>figure</v>
      </c>
      <c r="P122" t="s">
        <v>15</v>
      </c>
    </row>
    <row r="123" spans="1:16" x14ac:dyDescent="0.25">
      <c r="A123">
        <v>122</v>
      </c>
      <c r="B123">
        <v>161</v>
      </c>
      <c r="C123" t="s">
        <v>45</v>
      </c>
      <c r="D123" t="s">
        <v>51</v>
      </c>
      <c r="E123" t="s">
        <v>49</v>
      </c>
      <c r="F123" t="s">
        <v>19</v>
      </c>
      <c r="G123" t="s">
        <v>26</v>
      </c>
      <c r="H123" t="s">
        <v>21</v>
      </c>
      <c r="I123" t="s">
        <v>24</v>
      </c>
      <c r="J123" t="s">
        <v>23</v>
      </c>
      <c r="K123">
        <v>597</v>
      </c>
      <c r="L123">
        <v>34.006198099999999</v>
      </c>
      <c r="M123">
        <v>157.05930525273143</v>
      </c>
      <c r="N123">
        <v>-0.57389356945197023</v>
      </c>
      <c r="O123" s="1" t="str">
        <f>HYPERLINK(".\sm_car_240930_0021\sm_car_240930_0021_122_Ca161TrN_MaLSS_ode23t_1.png","figure")</f>
        <v>figure</v>
      </c>
      <c r="P123" t="s">
        <v>15</v>
      </c>
    </row>
    <row r="124" spans="1:16" x14ac:dyDescent="0.25">
      <c r="A124">
        <v>123</v>
      </c>
      <c r="B124">
        <v>163</v>
      </c>
      <c r="C124" t="s">
        <v>45</v>
      </c>
      <c r="D124" t="s">
        <v>52</v>
      </c>
      <c r="E124" t="s">
        <v>49</v>
      </c>
      <c r="F124" t="s">
        <v>19</v>
      </c>
      <c r="G124" t="s">
        <v>26</v>
      </c>
      <c r="H124" t="s">
        <v>21</v>
      </c>
      <c r="I124" t="s">
        <v>22</v>
      </c>
      <c r="J124" t="s">
        <v>23</v>
      </c>
      <c r="K124">
        <v>489</v>
      </c>
      <c r="L124">
        <v>31.107584800000001</v>
      </c>
      <c r="M124">
        <v>282.34354899086298</v>
      </c>
      <c r="N124">
        <v>0.73407597845537509</v>
      </c>
      <c r="O124" s="1" t="str">
        <f>HYPERLINK(".\sm_car_240930_0021\sm_car_240930_0021_123_Ca163TrN_MaWOT_ode23t_1.png","figure")</f>
        <v>figure</v>
      </c>
      <c r="P124" t="s">
        <v>15</v>
      </c>
    </row>
    <row r="125" spans="1:16" x14ac:dyDescent="0.25">
      <c r="A125">
        <v>124</v>
      </c>
      <c r="B125">
        <v>163</v>
      </c>
      <c r="C125" t="s">
        <v>45</v>
      </c>
      <c r="D125" t="s">
        <v>52</v>
      </c>
      <c r="E125" t="s">
        <v>49</v>
      </c>
      <c r="F125" t="s">
        <v>19</v>
      </c>
      <c r="G125" t="s">
        <v>26</v>
      </c>
      <c r="H125" t="s">
        <v>21</v>
      </c>
      <c r="I125" t="s">
        <v>24</v>
      </c>
      <c r="J125" t="s">
        <v>23</v>
      </c>
      <c r="K125">
        <v>705</v>
      </c>
      <c r="L125">
        <v>39.408979000000002</v>
      </c>
      <c r="M125">
        <v>260.89114265203619</v>
      </c>
      <c r="N125">
        <v>-0.46363244449419527</v>
      </c>
      <c r="O125" s="1" t="str">
        <f>HYPERLINK(".\sm_car_240930_0021\sm_car_240930_0021_124_Ca163TrN_MaLSS_ode23t_1.png","figure")</f>
        <v>figure</v>
      </c>
      <c r="P125" t="s">
        <v>15</v>
      </c>
    </row>
    <row r="126" spans="1:16" x14ac:dyDescent="0.25">
      <c r="A126">
        <v>125</v>
      </c>
      <c r="B126">
        <v>184</v>
      </c>
      <c r="C126" t="s">
        <v>105</v>
      </c>
      <c r="D126" t="s">
        <v>106</v>
      </c>
      <c r="E126" t="s">
        <v>49</v>
      </c>
      <c r="F126" t="s">
        <v>19</v>
      </c>
      <c r="G126" t="s">
        <v>20</v>
      </c>
      <c r="H126" t="s">
        <v>21</v>
      </c>
      <c r="I126" t="s">
        <v>22</v>
      </c>
      <c r="J126" t="s">
        <v>23</v>
      </c>
      <c r="K126">
        <v>289</v>
      </c>
      <c r="L126">
        <v>21.746103300000001</v>
      </c>
      <c r="M126">
        <v>313.20441498818104</v>
      </c>
      <c r="N126">
        <v>-5.3452395736832043E-4</v>
      </c>
      <c r="O126" s="1" t="str">
        <f>HYPERLINK(".\sm_car_240930_0021\sm_car_240930_0021_125_Ca184TrN_MaWOT_ode23t_1.png","figure")</f>
        <v>figure</v>
      </c>
      <c r="P126" t="s">
        <v>15</v>
      </c>
    </row>
    <row r="127" spans="1:16" x14ac:dyDescent="0.25">
      <c r="A127">
        <v>126</v>
      </c>
      <c r="B127">
        <v>184</v>
      </c>
      <c r="C127" t="s">
        <v>105</v>
      </c>
      <c r="D127" t="s">
        <v>106</v>
      </c>
      <c r="E127" t="s">
        <v>49</v>
      </c>
      <c r="F127" t="s">
        <v>19</v>
      </c>
      <c r="G127" t="s">
        <v>20</v>
      </c>
      <c r="H127" t="s">
        <v>21</v>
      </c>
      <c r="I127" t="s">
        <v>24</v>
      </c>
      <c r="J127" t="s">
        <v>23</v>
      </c>
      <c r="K127">
        <v>453</v>
      </c>
      <c r="L127">
        <v>19.081647100000001</v>
      </c>
      <c r="M127">
        <v>112.44211772974815</v>
      </c>
      <c r="N127">
        <v>-0.20264487071499523</v>
      </c>
      <c r="O127" s="1" t="str">
        <f>HYPERLINK(".\sm_car_240930_0021\sm_car_240930_0021_126_Ca184TrN_MaLSS_ode23t_1.png","figure")</f>
        <v>figure</v>
      </c>
      <c r="P127" t="s">
        <v>15</v>
      </c>
    </row>
    <row r="128" spans="1:16" x14ac:dyDescent="0.25">
      <c r="A128">
        <v>127</v>
      </c>
      <c r="B128">
        <v>12</v>
      </c>
      <c r="C128" t="s">
        <v>16</v>
      </c>
      <c r="D128" t="s">
        <v>17</v>
      </c>
      <c r="E128" t="s">
        <v>49</v>
      </c>
      <c r="F128" t="s">
        <v>28</v>
      </c>
      <c r="G128" t="s">
        <v>20</v>
      </c>
      <c r="H128" t="s">
        <v>21</v>
      </c>
      <c r="I128" t="s">
        <v>53</v>
      </c>
      <c r="J128" t="s">
        <v>23</v>
      </c>
      <c r="K128">
        <v>766</v>
      </c>
      <c r="L128">
        <v>17.0755883</v>
      </c>
      <c r="M128">
        <v>254.66980007167029</v>
      </c>
      <c r="N128">
        <v>3.4173561074020142E-3</v>
      </c>
      <c r="O128" s="1" t="str">
        <f>HYPERLINK(".\sm_car_240930_0021\sm_car_240930_0021_127_Ca012TrN_MaDLC_ode23t_1.png","figure")</f>
        <v>figure</v>
      </c>
      <c r="P128" t="s">
        <v>15</v>
      </c>
    </row>
    <row r="129" spans="1:16" x14ac:dyDescent="0.25">
      <c r="A129">
        <v>128</v>
      </c>
      <c r="B129">
        <v>12</v>
      </c>
      <c r="C129" t="s">
        <v>16</v>
      </c>
      <c r="D129" t="s">
        <v>17</v>
      </c>
      <c r="E129" t="s">
        <v>49</v>
      </c>
      <c r="F129" t="s">
        <v>28</v>
      </c>
      <c r="G129" t="s">
        <v>20</v>
      </c>
      <c r="H129" t="s">
        <v>21</v>
      </c>
      <c r="I129" t="s">
        <v>54</v>
      </c>
      <c r="J129" t="s">
        <v>23</v>
      </c>
      <c r="K129">
        <v>907</v>
      </c>
      <c r="L129">
        <v>22.630085900000001</v>
      </c>
      <c r="M129">
        <v>75.694920450121458</v>
      </c>
      <c r="N129">
        <v>0.76550172202538969</v>
      </c>
      <c r="O129" s="1" t="str">
        <f>HYPERLINK(".\sm_car_240930_0021\sm_car_240930_0021_128_Ca012TrN_MaIPA_ode23t_1.png","figure")</f>
        <v>figure</v>
      </c>
      <c r="P129" t="s">
        <v>15</v>
      </c>
    </row>
    <row r="130" spans="1:16" x14ac:dyDescent="0.25">
      <c r="A130">
        <v>129</v>
      </c>
      <c r="B130">
        <v>142</v>
      </c>
      <c r="C130" t="s">
        <v>45</v>
      </c>
      <c r="D130" t="s">
        <v>17</v>
      </c>
      <c r="E130" t="s">
        <v>49</v>
      </c>
      <c r="F130" t="s">
        <v>28</v>
      </c>
      <c r="G130" t="s">
        <v>26</v>
      </c>
      <c r="H130" t="s">
        <v>21</v>
      </c>
      <c r="I130" t="s">
        <v>53</v>
      </c>
      <c r="J130" t="s">
        <v>23</v>
      </c>
      <c r="K130">
        <v>741</v>
      </c>
      <c r="L130">
        <v>20.8663402</v>
      </c>
      <c r="M130">
        <v>256.03928529813709</v>
      </c>
      <c r="N130">
        <v>-4.7211475494384203E-3</v>
      </c>
      <c r="O130" s="1" t="str">
        <f>HYPERLINK(".\sm_car_240930_0021\sm_car_240930_0021_129_Ca142TrN_MaDLC_ode23t_1.png","figure")</f>
        <v>figure</v>
      </c>
      <c r="P130" t="s">
        <v>15</v>
      </c>
    </row>
    <row r="131" spans="1:16" x14ac:dyDescent="0.25">
      <c r="A131">
        <v>130</v>
      </c>
      <c r="B131">
        <v>142</v>
      </c>
      <c r="C131" t="s">
        <v>45</v>
      </c>
      <c r="D131" t="s">
        <v>17</v>
      </c>
      <c r="E131" t="s">
        <v>49</v>
      </c>
      <c r="F131" t="s">
        <v>28</v>
      </c>
      <c r="G131" t="s">
        <v>26</v>
      </c>
      <c r="H131" t="s">
        <v>21</v>
      </c>
      <c r="I131" t="s">
        <v>54</v>
      </c>
      <c r="J131" t="s">
        <v>23</v>
      </c>
      <c r="K131">
        <v>2025</v>
      </c>
      <c r="L131">
        <v>110.2528418</v>
      </c>
      <c r="M131">
        <v>85.067845719338578</v>
      </c>
      <c r="N131">
        <v>0.82124843141688286</v>
      </c>
      <c r="O131" s="1" t="str">
        <f>HYPERLINK(".\sm_car_240930_0021\sm_car_240930_0021_130_Ca142TrN_MaIPA_ode23t_1.png","figure")</f>
        <v>figure</v>
      </c>
      <c r="P131" t="s">
        <v>15</v>
      </c>
    </row>
    <row r="132" spans="1:16" x14ac:dyDescent="0.25">
      <c r="A132">
        <v>131</v>
      </c>
      <c r="B132">
        <v>145</v>
      </c>
      <c r="C132" t="s">
        <v>46</v>
      </c>
      <c r="D132" t="s">
        <v>17</v>
      </c>
      <c r="E132" t="s">
        <v>50</v>
      </c>
      <c r="F132" t="s">
        <v>19</v>
      </c>
      <c r="G132" t="s">
        <v>26</v>
      </c>
      <c r="H132" t="s">
        <v>21</v>
      </c>
      <c r="I132" t="s">
        <v>53</v>
      </c>
      <c r="J132" t="s">
        <v>23</v>
      </c>
      <c r="K132">
        <v>471</v>
      </c>
      <c r="L132">
        <v>28.2207884</v>
      </c>
      <c r="M132">
        <v>255.4765097650149</v>
      </c>
      <c r="N132">
        <v>4.0619588109048976E-2</v>
      </c>
      <c r="O132" s="1" t="str">
        <f>HYPERLINK(".\sm_car_240930_0021\sm_car_240930_0021_131_Ca145TrN_MaDLC_ode23t_1.png","figure")</f>
        <v>figure</v>
      </c>
      <c r="P132" t="s">
        <v>15</v>
      </c>
    </row>
    <row r="133" spans="1:16" x14ac:dyDescent="0.25">
      <c r="A133">
        <v>132</v>
      </c>
      <c r="B133">
        <v>145</v>
      </c>
      <c r="C133" t="s">
        <v>46</v>
      </c>
      <c r="D133" t="s">
        <v>17</v>
      </c>
      <c r="E133" t="s">
        <v>50</v>
      </c>
      <c r="F133" t="s">
        <v>19</v>
      </c>
      <c r="G133" t="s">
        <v>26</v>
      </c>
      <c r="H133" t="s">
        <v>21</v>
      </c>
      <c r="I133" t="s">
        <v>54</v>
      </c>
      <c r="J133" t="s">
        <v>23</v>
      </c>
      <c r="K133">
        <v>323</v>
      </c>
      <c r="L133">
        <v>17.3408917</v>
      </c>
      <c r="M133">
        <v>28.272759999353873</v>
      </c>
      <c r="N133">
        <v>1.554896860848605E-2</v>
      </c>
      <c r="O133" s="1" t="str">
        <f>HYPERLINK(".\sm_car_240930_0021\sm_car_240930_0021_132_Ca145TrN_MaIPA_ode23t_1.png","figure")</f>
        <v>figure</v>
      </c>
      <c r="P133" t="s">
        <v>15</v>
      </c>
    </row>
    <row r="134" spans="1:16" x14ac:dyDescent="0.25">
      <c r="A134">
        <v>133</v>
      </c>
      <c r="B134">
        <v>184</v>
      </c>
      <c r="C134" t="s">
        <v>105</v>
      </c>
      <c r="D134" t="s">
        <v>106</v>
      </c>
      <c r="E134" t="s">
        <v>49</v>
      </c>
      <c r="F134" t="s">
        <v>19</v>
      </c>
      <c r="G134" t="s">
        <v>20</v>
      </c>
      <c r="H134" t="s">
        <v>21</v>
      </c>
      <c r="I134" t="s">
        <v>53</v>
      </c>
      <c r="J134" t="s">
        <v>23</v>
      </c>
      <c r="K134">
        <v>414</v>
      </c>
      <c r="L134">
        <v>17.713687400000001</v>
      </c>
      <c r="M134">
        <v>253.84637792710214</v>
      </c>
      <c r="N134">
        <v>1.3042252777929697E-2</v>
      </c>
      <c r="O134" s="1" t="str">
        <f>HYPERLINK(".\sm_car_240930_0021\sm_car_240930_0021_133_Ca184TrN_MaDLC_ode23t_1.png","figure")</f>
        <v>figure</v>
      </c>
      <c r="P134" t="s">
        <v>15</v>
      </c>
    </row>
    <row r="135" spans="1:16" x14ac:dyDescent="0.25">
      <c r="A135">
        <v>134</v>
      </c>
      <c r="B135">
        <v>184</v>
      </c>
      <c r="C135" t="s">
        <v>105</v>
      </c>
      <c r="D135" t="s">
        <v>106</v>
      </c>
      <c r="E135" t="s">
        <v>49</v>
      </c>
      <c r="F135" t="s">
        <v>19</v>
      </c>
      <c r="G135" t="s">
        <v>20</v>
      </c>
      <c r="H135" t="s">
        <v>21</v>
      </c>
      <c r="I135" t="s">
        <v>54</v>
      </c>
      <c r="J135" t="s">
        <v>23</v>
      </c>
      <c r="K135">
        <v>375</v>
      </c>
      <c r="L135">
        <v>19.913953299999999</v>
      </c>
      <c r="M135">
        <v>61.810603218469637</v>
      </c>
      <c r="N135">
        <v>0.55694760204058247</v>
      </c>
      <c r="O135" s="1" t="str">
        <f>HYPERLINK(".\sm_car_240930_0021\sm_car_240930_0021_134_Ca184TrN_MaIPA_ode23t_1.png","figure")</f>
        <v>figure</v>
      </c>
      <c r="P135" t="s">
        <v>15</v>
      </c>
    </row>
    <row r="136" spans="1:16" x14ac:dyDescent="0.25">
      <c r="A136">
        <v>135</v>
      </c>
      <c r="B136">
        <v>204</v>
      </c>
      <c r="C136" t="s">
        <v>105</v>
      </c>
      <c r="D136" t="s">
        <v>107</v>
      </c>
      <c r="E136" t="s">
        <v>18</v>
      </c>
      <c r="F136" t="s">
        <v>19</v>
      </c>
      <c r="G136" t="s">
        <v>20</v>
      </c>
      <c r="H136" t="s">
        <v>21</v>
      </c>
      <c r="I136" t="s">
        <v>53</v>
      </c>
      <c r="J136" t="s">
        <v>23</v>
      </c>
      <c r="K136">
        <v>1962</v>
      </c>
      <c r="L136">
        <v>52.191422299999999</v>
      </c>
      <c r="M136">
        <v>255.47992328759784</v>
      </c>
      <c r="N136">
        <v>1.4759346699076303E-2</v>
      </c>
      <c r="O136" s="1" t="str">
        <f>HYPERLINK(".\sm_car_240930_0021\sm_car_240930_0021_135_Ca204TrN_MaDLC_ode23t_1.png","figure")</f>
        <v>figure</v>
      </c>
      <c r="P136" t="s">
        <v>15</v>
      </c>
    </row>
    <row r="137" spans="1:16" x14ac:dyDescent="0.25">
      <c r="A137">
        <v>136</v>
      </c>
      <c r="B137">
        <v>204</v>
      </c>
      <c r="C137" t="s">
        <v>105</v>
      </c>
      <c r="D137" t="s">
        <v>107</v>
      </c>
      <c r="E137" t="s">
        <v>18</v>
      </c>
      <c r="F137" t="s">
        <v>19</v>
      </c>
      <c r="G137" t="s">
        <v>20</v>
      </c>
      <c r="H137" t="s">
        <v>21</v>
      </c>
      <c r="I137" t="s">
        <v>54</v>
      </c>
      <c r="J137" t="s">
        <v>23</v>
      </c>
      <c r="K137">
        <v>690</v>
      </c>
      <c r="L137">
        <v>23.698277300000001</v>
      </c>
      <c r="M137">
        <v>26.03959368665377</v>
      </c>
      <c r="N137">
        <v>9.6811360663843164E-3</v>
      </c>
      <c r="O137" s="1" t="str">
        <f>HYPERLINK(".\sm_car_240930_0021\sm_car_240930_0021_136_Ca204TrN_MaIPA_ode23t_1.png","figure")</f>
        <v>figure</v>
      </c>
      <c r="P137" t="s">
        <v>15</v>
      </c>
    </row>
    <row r="138" spans="1:16" x14ac:dyDescent="0.25">
      <c r="A138">
        <v>137</v>
      </c>
      <c r="B138">
        <v>12</v>
      </c>
      <c r="C138" t="s">
        <v>16</v>
      </c>
      <c r="D138" t="s">
        <v>17</v>
      </c>
      <c r="E138" t="s">
        <v>49</v>
      </c>
      <c r="F138" t="s">
        <v>28</v>
      </c>
      <c r="G138" t="s">
        <v>20</v>
      </c>
      <c r="H138" t="s">
        <v>21</v>
      </c>
      <c r="I138" t="s">
        <v>55</v>
      </c>
      <c r="J138" t="s">
        <v>23</v>
      </c>
      <c r="K138">
        <v>2677</v>
      </c>
      <c r="L138">
        <v>52.111255900000003</v>
      </c>
      <c r="M138">
        <v>-1.8744192932584419E-2</v>
      </c>
      <c r="N138">
        <v>-0.62245335779661992</v>
      </c>
      <c r="O138" s="1" t="str">
        <f>HYPERLINK(".\sm_car_240930_0021\sm_car_240930_0021_137_Ca012TrN_MaMPK_ode23t_1.png","figure")</f>
        <v>figure</v>
      </c>
      <c r="P138" t="s">
        <v>15</v>
      </c>
    </row>
    <row r="139" spans="1:16" x14ac:dyDescent="0.25">
      <c r="A139">
        <v>138</v>
      </c>
      <c r="B139">
        <v>12</v>
      </c>
      <c r="C139" t="s">
        <v>16</v>
      </c>
      <c r="D139" t="s">
        <v>17</v>
      </c>
      <c r="E139" t="s">
        <v>49</v>
      </c>
      <c r="F139" t="s">
        <v>28</v>
      </c>
      <c r="G139" t="s">
        <v>20</v>
      </c>
      <c r="H139" t="s">
        <v>21</v>
      </c>
      <c r="I139" t="s">
        <v>56</v>
      </c>
      <c r="J139" t="s">
        <v>23</v>
      </c>
      <c r="K139">
        <v>3126</v>
      </c>
      <c r="L139">
        <v>60.537315300000003</v>
      </c>
      <c r="M139">
        <v>0.78840253716010444</v>
      </c>
      <c r="N139">
        <v>-0.32248511507902006</v>
      </c>
      <c r="O139" s="1" t="str">
        <f>HYPERLINK(".\sm_car_240930_0021\sm_car_240930_0021_138_Ca012TrN_MaMPC_ode23t_1.png","figure")</f>
        <v>figure</v>
      </c>
      <c r="P139" t="s">
        <v>15</v>
      </c>
    </row>
    <row r="140" spans="1:16" x14ac:dyDescent="0.25">
      <c r="A140">
        <v>139</v>
      </c>
      <c r="B140">
        <v>142</v>
      </c>
      <c r="C140" t="s">
        <v>45</v>
      </c>
      <c r="D140" t="s">
        <v>17</v>
      </c>
      <c r="E140" t="s">
        <v>49</v>
      </c>
      <c r="F140" t="s">
        <v>28</v>
      </c>
      <c r="G140" t="s">
        <v>26</v>
      </c>
      <c r="H140" t="s">
        <v>21</v>
      </c>
      <c r="I140" t="s">
        <v>55</v>
      </c>
      <c r="J140" t="s">
        <v>23</v>
      </c>
      <c r="K140">
        <v>2516</v>
      </c>
      <c r="L140">
        <v>61.353737000000002</v>
      </c>
      <c r="M140">
        <v>-1.4863629198380759E-2</v>
      </c>
      <c r="N140">
        <v>-0.54624952107374047</v>
      </c>
      <c r="O140" s="1" t="str">
        <f>HYPERLINK(".\sm_car_240930_0021\sm_car_240930_0021_139_Ca142TrN_MaMPK_ode23t_1.png","figure")</f>
        <v>figure</v>
      </c>
      <c r="P140" t="s">
        <v>15</v>
      </c>
    </row>
    <row r="141" spans="1:16" x14ac:dyDescent="0.25">
      <c r="A141">
        <v>140</v>
      </c>
      <c r="B141">
        <v>142</v>
      </c>
      <c r="C141" t="s">
        <v>45</v>
      </c>
      <c r="D141" t="s">
        <v>17</v>
      </c>
      <c r="E141" t="s">
        <v>49</v>
      </c>
      <c r="F141" t="s">
        <v>28</v>
      </c>
      <c r="G141" t="s">
        <v>26</v>
      </c>
      <c r="H141" t="s">
        <v>21</v>
      </c>
      <c r="I141" t="s">
        <v>56</v>
      </c>
      <c r="J141" t="s">
        <v>23</v>
      </c>
      <c r="K141">
        <v>3119</v>
      </c>
      <c r="L141">
        <v>91.560618199999993</v>
      </c>
      <c r="M141">
        <v>0.78870290365970241</v>
      </c>
      <c r="N141">
        <v>-0.36580033555101266</v>
      </c>
      <c r="O141" s="1" t="str">
        <f>HYPERLINK(".\sm_car_240930_0021\sm_car_240930_0021_140_Ca142TrN_MaMPC_ode23t_1.png","figure")</f>
        <v>figure</v>
      </c>
      <c r="P141" t="s">
        <v>15</v>
      </c>
    </row>
    <row r="142" spans="1:16" x14ac:dyDescent="0.25">
      <c r="A142">
        <v>141</v>
      </c>
      <c r="B142">
        <v>116</v>
      </c>
      <c r="C142" t="s">
        <v>16</v>
      </c>
      <c r="D142" t="s">
        <v>35</v>
      </c>
      <c r="E142" t="s">
        <v>18</v>
      </c>
      <c r="F142" t="s">
        <v>28</v>
      </c>
      <c r="G142" t="s">
        <v>20</v>
      </c>
      <c r="H142" t="s">
        <v>21</v>
      </c>
      <c r="I142" t="s">
        <v>55</v>
      </c>
      <c r="J142" t="s">
        <v>23</v>
      </c>
      <c r="K142">
        <v>2853</v>
      </c>
      <c r="L142">
        <v>24.029091600000001</v>
      </c>
      <c r="M142">
        <v>-1.9108917967834371E-2</v>
      </c>
      <c r="N142">
        <v>-0.52473296485800014</v>
      </c>
      <c r="O142" s="1" t="str">
        <f>HYPERLINK(".\sm_car_240930_0021\sm_car_240930_0021_141_Ca116TrN_MaMPK_ode23t_1.png","figure")</f>
        <v>figure</v>
      </c>
      <c r="P142" t="s">
        <v>15</v>
      </c>
    </row>
    <row r="143" spans="1:16" x14ac:dyDescent="0.25">
      <c r="A143">
        <v>142</v>
      </c>
      <c r="B143">
        <v>116</v>
      </c>
      <c r="C143" t="s">
        <v>16</v>
      </c>
      <c r="D143" t="s">
        <v>35</v>
      </c>
      <c r="E143" t="s">
        <v>18</v>
      </c>
      <c r="F143" t="s">
        <v>28</v>
      </c>
      <c r="G143" t="s">
        <v>20</v>
      </c>
      <c r="H143" t="s">
        <v>21</v>
      </c>
      <c r="I143" t="s">
        <v>56</v>
      </c>
      <c r="J143" t="s">
        <v>23</v>
      </c>
      <c r="K143">
        <v>3366</v>
      </c>
      <c r="L143">
        <v>25.645600900000002</v>
      </c>
      <c r="M143">
        <v>0.78634176009727419</v>
      </c>
      <c r="N143">
        <v>-0.35488912663545485</v>
      </c>
      <c r="O143" s="1" t="str">
        <f>HYPERLINK(".\sm_car_240930_0021\sm_car_240930_0021_142_Ca116TrN_MaMPC_ode23t_1.png","figure")</f>
        <v>figure</v>
      </c>
      <c r="P143" t="s">
        <v>15</v>
      </c>
    </row>
    <row r="144" spans="1:16" x14ac:dyDescent="0.25">
      <c r="A144">
        <v>143</v>
      </c>
      <c r="B144">
        <v>143</v>
      </c>
      <c r="C144" t="s">
        <v>46</v>
      </c>
      <c r="D144" t="s">
        <v>17</v>
      </c>
      <c r="E144" t="s">
        <v>47</v>
      </c>
      <c r="F144" t="s">
        <v>19</v>
      </c>
      <c r="G144" t="s">
        <v>26</v>
      </c>
      <c r="H144" t="s">
        <v>21</v>
      </c>
      <c r="I144" t="s">
        <v>55</v>
      </c>
      <c r="J144" t="s">
        <v>23</v>
      </c>
      <c r="K144">
        <v>2700</v>
      </c>
      <c r="L144">
        <v>86.767778899999996</v>
      </c>
      <c r="M144">
        <v>-1.6358502078633222E-2</v>
      </c>
      <c r="N144">
        <v>-0.39071609618265601</v>
      </c>
      <c r="O144" s="1" t="str">
        <f>HYPERLINK(".\sm_car_240930_0021\sm_car_240930_0021_143_Ca143TrN_MaMPK_ode23t_1.png","figure")</f>
        <v>figure</v>
      </c>
      <c r="P144" t="s">
        <v>15</v>
      </c>
    </row>
    <row r="145" spans="1:16" x14ac:dyDescent="0.25">
      <c r="A145">
        <v>144</v>
      </c>
      <c r="B145">
        <v>143</v>
      </c>
      <c r="C145" t="s">
        <v>46</v>
      </c>
      <c r="D145" t="s">
        <v>17</v>
      </c>
      <c r="E145" t="s">
        <v>47</v>
      </c>
      <c r="F145" t="s">
        <v>19</v>
      </c>
      <c r="G145" t="s">
        <v>26</v>
      </c>
      <c r="H145" t="s">
        <v>21</v>
      </c>
      <c r="I145" t="s">
        <v>56</v>
      </c>
      <c r="J145" t="s">
        <v>23</v>
      </c>
      <c r="K145">
        <v>2910</v>
      </c>
      <c r="L145">
        <v>111.4557294</v>
      </c>
      <c r="M145">
        <v>0.78643051354207749</v>
      </c>
      <c r="N145">
        <v>-0.25844203373919006</v>
      </c>
      <c r="O145" s="1" t="str">
        <f>HYPERLINK(".\sm_car_240930_0021\sm_car_240930_0021_144_Ca143TrN_MaMPC_ode23t_1.png","figure")</f>
        <v>figure</v>
      </c>
      <c r="P145" t="s">
        <v>15</v>
      </c>
    </row>
    <row r="146" spans="1:16" x14ac:dyDescent="0.25">
      <c r="A146">
        <v>145</v>
      </c>
      <c r="B146">
        <v>166</v>
      </c>
      <c r="C146" t="s">
        <v>45</v>
      </c>
      <c r="D146" t="s">
        <v>57</v>
      </c>
      <c r="E146" t="s">
        <v>18</v>
      </c>
      <c r="F146" t="s">
        <v>19</v>
      </c>
      <c r="G146" t="s">
        <v>26</v>
      </c>
      <c r="H146" t="s">
        <v>21</v>
      </c>
      <c r="I146" t="s">
        <v>55</v>
      </c>
      <c r="J146" t="s">
        <v>23</v>
      </c>
      <c r="K146">
        <v>3172</v>
      </c>
      <c r="L146">
        <v>80.257074000000003</v>
      </c>
      <c r="M146">
        <v>-1.5440423203387801E-2</v>
      </c>
      <c r="N146">
        <v>-0.55578198807773882</v>
      </c>
      <c r="O146" s="1" t="str">
        <f>HYPERLINK(".\sm_car_240930_0021\sm_car_240930_0021_145_Ca166TrN_MaMPK_ode23t_1.png","figure")</f>
        <v>figure</v>
      </c>
      <c r="P146" t="s">
        <v>15</v>
      </c>
    </row>
    <row r="147" spans="1:16" x14ac:dyDescent="0.25">
      <c r="A147">
        <v>146</v>
      </c>
      <c r="B147">
        <v>166</v>
      </c>
      <c r="C147" t="s">
        <v>45</v>
      </c>
      <c r="D147" t="s">
        <v>57</v>
      </c>
      <c r="E147" t="s">
        <v>18</v>
      </c>
      <c r="F147" t="s">
        <v>19</v>
      </c>
      <c r="G147" t="s">
        <v>26</v>
      </c>
      <c r="H147" t="s">
        <v>21</v>
      </c>
      <c r="I147" t="s">
        <v>56</v>
      </c>
      <c r="J147" t="s">
        <v>23</v>
      </c>
      <c r="K147">
        <v>3592</v>
      </c>
      <c r="L147">
        <v>97.859755399999997</v>
      </c>
      <c r="M147">
        <v>0.78838059818922979</v>
      </c>
      <c r="N147">
        <v>-0.35637793532218615</v>
      </c>
      <c r="O147" s="1" t="str">
        <f>HYPERLINK(".\sm_car_240930_0021\sm_car_240930_0021_146_Ca166TrN_MaMPC_ode23t_1.png","figure")</f>
        <v>figure</v>
      </c>
      <c r="P147" t="s">
        <v>15</v>
      </c>
    </row>
    <row r="148" spans="1:16" x14ac:dyDescent="0.25">
      <c r="A148">
        <v>147</v>
      </c>
      <c r="B148">
        <v>169</v>
      </c>
      <c r="C148" t="s">
        <v>45</v>
      </c>
      <c r="D148" t="s">
        <v>58</v>
      </c>
      <c r="E148" t="s">
        <v>49</v>
      </c>
      <c r="F148" t="s">
        <v>19</v>
      </c>
      <c r="G148" t="s">
        <v>26</v>
      </c>
      <c r="H148" t="s">
        <v>21</v>
      </c>
      <c r="I148" t="s">
        <v>55</v>
      </c>
      <c r="J148" t="s">
        <v>23</v>
      </c>
      <c r="K148">
        <v>3142</v>
      </c>
      <c r="L148">
        <v>69.645231800000005</v>
      </c>
      <c r="M148">
        <v>-3.0967060349970932E-3</v>
      </c>
      <c r="N148">
        <v>-0.55686594252404187</v>
      </c>
      <c r="O148" s="1" t="str">
        <f>HYPERLINK(".\sm_car_240930_0021\sm_car_240930_0021_147_Ca169TrN_MaMPK_ode23t_1.png","figure")</f>
        <v>figure</v>
      </c>
      <c r="P148" t="s">
        <v>15</v>
      </c>
    </row>
    <row r="149" spans="1:16" x14ac:dyDescent="0.25">
      <c r="A149">
        <v>148</v>
      </c>
      <c r="B149">
        <v>169</v>
      </c>
      <c r="C149" t="s">
        <v>45</v>
      </c>
      <c r="D149" t="s">
        <v>58</v>
      </c>
      <c r="E149" t="s">
        <v>49</v>
      </c>
      <c r="F149" t="s">
        <v>19</v>
      </c>
      <c r="G149" t="s">
        <v>26</v>
      </c>
      <c r="H149" t="s">
        <v>21</v>
      </c>
      <c r="I149" t="s">
        <v>56</v>
      </c>
      <c r="J149" t="s">
        <v>23</v>
      </c>
      <c r="K149">
        <v>3399</v>
      </c>
      <c r="L149">
        <v>73.435992499999998</v>
      </c>
      <c r="M149">
        <v>0.78380450155828285</v>
      </c>
      <c r="N149">
        <v>-0.35562626084476112</v>
      </c>
      <c r="O149" s="1" t="str">
        <f>HYPERLINK(".\sm_car_240930_0021\sm_car_240930_0021_148_Ca169TrN_MaMPC_ode23t_1.png","figure")</f>
        <v>figure</v>
      </c>
      <c r="P149" t="s">
        <v>15</v>
      </c>
    </row>
    <row r="150" spans="1:16" x14ac:dyDescent="0.25">
      <c r="A150">
        <v>149</v>
      </c>
      <c r="B150">
        <v>184</v>
      </c>
      <c r="C150" t="s">
        <v>105</v>
      </c>
      <c r="D150" t="s">
        <v>106</v>
      </c>
      <c r="E150" t="s">
        <v>49</v>
      </c>
      <c r="F150" t="s">
        <v>19</v>
      </c>
      <c r="G150" t="s">
        <v>20</v>
      </c>
      <c r="H150" t="s">
        <v>21</v>
      </c>
      <c r="I150" t="s">
        <v>55</v>
      </c>
      <c r="J150" t="s">
        <v>23</v>
      </c>
      <c r="K150">
        <v>2093</v>
      </c>
      <c r="L150">
        <v>81.824572900000007</v>
      </c>
      <c r="M150">
        <v>-1.77954956390977E-2</v>
      </c>
      <c r="N150">
        <v>-0.69902902061887129</v>
      </c>
      <c r="O150" s="1" t="str">
        <f>HYPERLINK(".\sm_car_240930_0021\sm_car_240930_0021_149_Ca184TrN_MaMPK_ode23t_1.png","figure")</f>
        <v>figure</v>
      </c>
      <c r="P150" t="s">
        <v>15</v>
      </c>
    </row>
    <row r="151" spans="1:16" x14ac:dyDescent="0.25">
      <c r="A151">
        <v>150</v>
      </c>
      <c r="B151">
        <v>184</v>
      </c>
      <c r="C151" t="s">
        <v>105</v>
      </c>
      <c r="D151" t="s">
        <v>106</v>
      </c>
      <c r="E151" t="s">
        <v>49</v>
      </c>
      <c r="F151" t="s">
        <v>19</v>
      </c>
      <c r="G151" t="s">
        <v>20</v>
      </c>
      <c r="H151" t="s">
        <v>21</v>
      </c>
      <c r="I151" t="s">
        <v>56</v>
      </c>
      <c r="J151" t="s">
        <v>23</v>
      </c>
      <c r="K151">
        <v>2163</v>
      </c>
      <c r="L151">
        <v>85.195864599999993</v>
      </c>
      <c r="M151">
        <v>0.78814740161944385</v>
      </c>
      <c r="N151">
        <v>-0.32975848715071859</v>
      </c>
      <c r="O151" s="1" t="str">
        <f>HYPERLINK(".\sm_car_240930_0021\sm_car_240930_0021_150_Ca184TrN_MaMPC_ode23t_1.png","figure")</f>
        <v>figure</v>
      </c>
      <c r="P151" t="s">
        <v>15</v>
      </c>
    </row>
    <row r="152" spans="1:16" x14ac:dyDescent="0.25">
      <c r="A152">
        <v>151</v>
      </c>
      <c r="B152">
        <v>195</v>
      </c>
      <c r="C152" t="s">
        <v>45</v>
      </c>
      <c r="D152" t="s">
        <v>58</v>
      </c>
      <c r="E152" t="s">
        <v>108</v>
      </c>
      <c r="F152" t="s">
        <v>19</v>
      </c>
      <c r="G152" t="s">
        <v>26</v>
      </c>
      <c r="H152" t="s">
        <v>21</v>
      </c>
      <c r="I152" t="s">
        <v>55</v>
      </c>
      <c r="J152" t="s">
        <v>23</v>
      </c>
      <c r="K152">
        <v>3171</v>
      </c>
      <c r="L152">
        <v>66.598917099999994</v>
      </c>
      <c r="M152">
        <v>-1.8266840505064372E-2</v>
      </c>
      <c r="N152">
        <v>-0.55647728698784682</v>
      </c>
      <c r="O152" s="1" t="str">
        <f>HYPERLINK(".\sm_car_240930_0021\sm_car_240930_0021_151_Ca195TrN_MaMPK_ode23t_1.png","figure")</f>
        <v>figure</v>
      </c>
      <c r="P152" t="s">
        <v>15</v>
      </c>
    </row>
    <row r="153" spans="1:16" x14ac:dyDescent="0.25">
      <c r="A153">
        <v>152</v>
      </c>
      <c r="B153">
        <v>195</v>
      </c>
      <c r="C153" t="s">
        <v>45</v>
      </c>
      <c r="D153" t="s">
        <v>58</v>
      </c>
      <c r="E153" t="s">
        <v>108</v>
      </c>
      <c r="F153" t="s">
        <v>19</v>
      </c>
      <c r="G153" t="s">
        <v>26</v>
      </c>
      <c r="H153" t="s">
        <v>21</v>
      </c>
      <c r="I153" t="s">
        <v>56</v>
      </c>
      <c r="J153" t="s">
        <v>23</v>
      </c>
      <c r="K153">
        <v>3380</v>
      </c>
      <c r="L153">
        <v>68.411094899999995</v>
      </c>
      <c r="M153">
        <v>0.78925322197823</v>
      </c>
      <c r="N153">
        <v>-0.35567299250265272</v>
      </c>
      <c r="O153" s="1" t="str">
        <f>HYPERLINK(".\sm_car_240930_0021\sm_car_240930_0021_152_Ca195TrN_MaMPC_ode23t_1.png","figure")</f>
        <v>figure</v>
      </c>
      <c r="P153" t="s">
        <v>15</v>
      </c>
    </row>
    <row r="154" spans="1:16" x14ac:dyDescent="0.25">
      <c r="A154">
        <v>153</v>
      </c>
      <c r="B154">
        <v>198</v>
      </c>
      <c r="C154" t="s">
        <v>105</v>
      </c>
      <c r="D154" t="s">
        <v>106</v>
      </c>
      <c r="E154" t="s">
        <v>108</v>
      </c>
      <c r="F154" t="s">
        <v>19</v>
      </c>
      <c r="G154" t="s">
        <v>20</v>
      </c>
      <c r="H154" t="s">
        <v>21</v>
      </c>
      <c r="I154" t="s">
        <v>55</v>
      </c>
      <c r="J154" t="s">
        <v>23</v>
      </c>
      <c r="K154">
        <v>2128</v>
      </c>
      <c r="L154">
        <v>52.787677199999997</v>
      </c>
      <c r="M154">
        <v>-2.0278072598254926E-2</v>
      </c>
      <c r="N154">
        <v>-0.69918313756741579</v>
      </c>
      <c r="O154" s="1" t="str">
        <f>HYPERLINK(".\sm_car_240930_0021\sm_car_240930_0021_153_Ca198TrN_MaMPK_ode23t_1.png","figure")</f>
        <v>figure</v>
      </c>
      <c r="P154" t="s">
        <v>15</v>
      </c>
    </row>
    <row r="155" spans="1:16" x14ac:dyDescent="0.25">
      <c r="A155">
        <v>154</v>
      </c>
      <c r="B155">
        <v>198</v>
      </c>
      <c r="C155" t="s">
        <v>105</v>
      </c>
      <c r="D155" t="s">
        <v>106</v>
      </c>
      <c r="E155" t="s">
        <v>108</v>
      </c>
      <c r="F155" t="s">
        <v>19</v>
      </c>
      <c r="G155" t="s">
        <v>20</v>
      </c>
      <c r="H155" t="s">
        <v>21</v>
      </c>
      <c r="I155" t="s">
        <v>56</v>
      </c>
      <c r="J155" t="s">
        <v>23</v>
      </c>
      <c r="K155">
        <v>2182</v>
      </c>
      <c r="L155">
        <v>52.348158699999999</v>
      </c>
      <c r="M155">
        <v>0.78855598583982101</v>
      </c>
      <c r="N155">
        <v>-0.32972239338079185</v>
      </c>
      <c r="O155" s="1" t="str">
        <f>HYPERLINK(".\sm_car_240930_0021\sm_car_240930_0021_154_Ca198TrN_MaMPC_ode23t_1.png","figure")</f>
        <v>figure</v>
      </c>
      <c r="P155" t="s">
        <v>15</v>
      </c>
    </row>
    <row r="156" spans="1:16" x14ac:dyDescent="0.25">
      <c r="A156">
        <v>155</v>
      </c>
      <c r="B156">
        <v>151</v>
      </c>
      <c r="C156" t="s">
        <v>16</v>
      </c>
      <c r="D156" t="s">
        <v>17</v>
      </c>
      <c r="E156" t="s">
        <v>18</v>
      </c>
      <c r="F156" t="s">
        <v>19</v>
      </c>
      <c r="G156" t="s">
        <v>59</v>
      </c>
      <c r="H156" t="s">
        <v>21</v>
      </c>
      <c r="I156" t="s">
        <v>24</v>
      </c>
      <c r="J156" t="s">
        <v>23</v>
      </c>
      <c r="K156">
        <v>507</v>
      </c>
      <c r="L156">
        <v>19.515454099999999</v>
      </c>
      <c r="M156">
        <v>73.388850683325856</v>
      </c>
      <c r="N156">
        <v>-0.84450423032419386</v>
      </c>
      <c r="O156" s="1" t="str">
        <f>HYPERLINK(".\sm_car_240930_0021\sm_car_240930_0021_155_Ca151TrN_MaLSS_ode23t_1.png","figure")</f>
        <v>figure</v>
      </c>
      <c r="P156" t="s">
        <v>15</v>
      </c>
    </row>
    <row r="157" spans="1:16" x14ac:dyDescent="0.25">
      <c r="A157">
        <v>156</v>
      </c>
      <c r="B157">
        <v>152</v>
      </c>
      <c r="C157" t="s">
        <v>16</v>
      </c>
      <c r="D157" t="s">
        <v>17</v>
      </c>
      <c r="E157" t="s">
        <v>18</v>
      </c>
      <c r="F157" t="s">
        <v>19</v>
      </c>
      <c r="G157" t="s">
        <v>60</v>
      </c>
      <c r="H157" t="s">
        <v>21</v>
      </c>
      <c r="I157" t="s">
        <v>24</v>
      </c>
      <c r="J157" t="s">
        <v>23</v>
      </c>
      <c r="K157">
        <v>521</v>
      </c>
      <c r="L157">
        <v>21.002260700000001</v>
      </c>
      <c r="M157">
        <v>71.757003316274307</v>
      </c>
      <c r="N157">
        <v>-0.54269543175910784</v>
      </c>
      <c r="O157" s="1" t="str">
        <f>HYPERLINK(".\sm_car_240930_0021\sm_car_240930_0021_156_Ca152TrN_MaLSS_ode23t_1.png","figure")</f>
        <v>figure</v>
      </c>
      <c r="P157" t="s">
        <v>15</v>
      </c>
    </row>
    <row r="158" spans="1:16" x14ac:dyDescent="0.25">
      <c r="A158">
        <v>157</v>
      </c>
      <c r="B158">
        <v>153</v>
      </c>
      <c r="C158" t="s">
        <v>16</v>
      </c>
      <c r="D158" t="s">
        <v>17</v>
      </c>
      <c r="E158" t="s">
        <v>18</v>
      </c>
      <c r="F158" t="s">
        <v>19</v>
      </c>
      <c r="G158" t="s">
        <v>61</v>
      </c>
      <c r="H158" t="s">
        <v>21</v>
      </c>
      <c r="I158" t="s">
        <v>24</v>
      </c>
      <c r="J158" t="s">
        <v>23</v>
      </c>
      <c r="K158">
        <v>537</v>
      </c>
      <c r="L158">
        <v>21.4866393</v>
      </c>
      <c r="M158">
        <v>71.600015348903469</v>
      </c>
      <c r="N158">
        <v>-0.8854087743889566</v>
      </c>
      <c r="O158" s="1" t="str">
        <f>HYPERLINK(".\sm_car_240930_0021\sm_car_240930_0021_157_Ca153TrN_MaLSS_ode23t_1.png","figure")</f>
        <v>figure</v>
      </c>
      <c r="P158" t="s">
        <v>15</v>
      </c>
    </row>
    <row r="159" spans="1:16" x14ac:dyDescent="0.25">
      <c r="A159">
        <v>158</v>
      </c>
      <c r="B159">
        <v>154</v>
      </c>
      <c r="C159" t="s">
        <v>16</v>
      </c>
      <c r="D159" t="s">
        <v>17</v>
      </c>
      <c r="E159" t="s">
        <v>18</v>
      </c>
      <c r="F159" t="s">
        <v>19</v>
      </c>
      <c r="G159" t="s">
        <v>109</v>
      </c>
      <c r="H159" t="s">
        <v>21</v>
      </c>
      <c r="I159" t="s">
        <v>24</v>
      </c>
      <c r="J159" t="s">
        <v>23</v>
      </c>
      <c r="K159">
        <v>489</v>
      </c>
      <c r="L159">
        <v>25.142435599999999</v>
      </c>
      <c r="M159">
        <v>71.790293889655757</v>
      </c>
      <c r="N159">
        <v>-0.36473989049800931</v>
      </c>
      <c r="O159" s="1" t="str">
        <f>HYPERLINK(".\sm_car_240930_0021\sm_car_240930_0021_158_Ca154TrN_MaLSS_ode23t_1.png","figure")</f>
        <v>figure</v>
      </c>
      <c r="P159" t="s">
        <v>15</v>
      </c>
    </row>
    <row r="160" spans="1:16" x14ac:dyDescent="0.25">
      <c r="A160">
        <v>159</v>
      </c>
      <c r="B160">
        <v>155</v>
      </c>
      <c r="C160" t="s">
        <v>16</v>
      </c>
      <c r="D160" t="s">
        <v>17</v>
      </c>
      <c r="E160" t="s">
        <v>18</v>
      </c>
      <c r="F160" t="s">
        <v>19</v>
      </c>
      <c r="G160" t="s">
        <v>62</v>
      </c>
      <c r="H160" t="s">
        <v>21</v>
      </c>
      <c r="I160" t="s">
        <v>24</v>
      </c>
      <c r="J160" t="s">
        <v>23</v>
      </c>
      <c r="K160">
        <v>528</v>
      </c>
      <c r="L160">
        <v>28.2847337</v>
      </c>
      <c r="M160">
        <v>71.628089678282436</v>
      </c>
      <c r="N160">
        <v>-0.86998333051976795</v>
      </c>
      <c r="O160" s="1" t="str">
        <f>HYPERLINK(".\sm_car_240930_0021\sm_car_240930_0021_159_Ca155TrN_MaLSS_ode23t_1.png","figure")</f>
        <v>figure</v>
      </c>
      <c r="P160" t="s">
        <v>15</v>
      </c>
    </row>
    <row r="161" spans="1:16" x14ac:dyDescent="0.25">
      <c r="A161">
        <v>160</v>
      </c>
      <c r="B161">
        <v>4</v>
      </c>
      <c r="C161" t="s">
        <v>16</v>
      </c>
      <c r="D161" t="s">
        <v>17</v>
      </c>
      <c r="E161" t="s">
        <v>18</v>
      </c>
      <c r="F161" t="s">
        <v>28</v>
      </c>
      <c r="G161" t="s">
        <v>20</v>
      </c>
      <c r="H161" t="s">
        <v>21</v>
      </c>
      <c r="I161" t="s">
        <v>22</v>
      </c>
      <c r="J161" t="s">
        <v>63</v>
      </c>
      <c r="K161">
        <v>3246</v>
      </c>
      <c r="L161">
        <v>14.1049793</v>
      </c>
      <c r="M161">
        <v>234.09520337872848</v>
      </c>
      <c r="N161">
        <v>1.5597601237183302E-2</v>
      </c>
      <c r="O161" s="1" t="str">
        <f>HYPERLINK(".\sm_car_240930_0021\sm_car_240930_0021_160_Ca004TrN_MaWOT_ode3_1.png","figure")</f>
        <v>figure</v>
      </c>
      <c r="P161" t="s">
        <v>15</v>
      </c>
    </row>
    <row r="162" spans="1:16" x14ac:dyDescent="0.25">
      <c r="A162">
        <v>161</v>
      </c>
      <c r="B162">
        <v>4</v>
      </c>
      <c r="C162" t="s">
        <v>16</v>
      </c>
      <c r="D162" t="s">
        <v>17</v>
      </c>
      <c r="E162" t="s">
        <v>18</v>
      </c>
      <c r="F162" t="s">
        <v>28</v>
      </c>
      <c r="G162" t="s">
        <v>20</v>
      </c>
      <c r="H162" t="s">
        <v>21</v>
      </c>
      <c r="I162" t="s">
        <v>24</v>
      </c>
      <c r="J162" t="s">
        <v>63</v>
      </c>
      <c r="K162">
        <v>2564</v>
      </c>
      <c r="L162">
        <v>12.0422577</v>
      </c>
      <c r="M162">
        <v>72.060968646483076</v>
      </c>
      <c r="N162">
        <v>-0.55315112787421983</v>
      </c>
      <c r="O162" s="1" t="str">
        <f>HYPERLINK(".\sm_car_240930_0021\sm_car_240930_0021_161_Ca004TrN_MaLSS_ode3_1.png","figure")</f>
        <v>figure</v>
      </c>
      <c r="P162" t="s">
        <v>15</v>
      </c>
    </row>
    <row r="163" spans="1:16" x14ac:dyDescent="0.25">
      <c r="A163">
        <v>162</v>
      </c>
      <c r="B163">
        <v>4</v>
      </c>
      <c r="C163" t="s">
        <v>16</v>
      </c>
      <c r="D163" t="s">
        <v>17</v>
      </c>
      <c r="E163" t="s">
        <v>18</v>
      </c>
      <c r="F163" t="s">
        <v>28</v>
      </c>
      <c r="G163" t="s">
        <v>20</v>
      </c>
      <c r="H163" t="s">
        <v>21</v>
      </c>
      <c r="I163" t="s">
        <v>64</v>
      </c>
      <c r="J163" t="s">
        <v>63</v>
      </c>
      <c r="K163">
        <v>2562</v>
      </c>
      <c r="L163">
        <v>11.506513099999999</v>
      </c>
      <c r="M163">
        <v>64.366272556222512</v>
      </c>
      <c r="N163">
        <v>-25.53945015042936</v>
      </c>
      <c r="O163" s="1" t="str">
        <f>HYPERLINK(".\sm_car_240930_0021\sm_car_240930_0021_162_Ca004TrN_MaTUR_ode3_1.png","figure")</f>
        <v>figure</v>
      </c>
      <c r="P163" t="s">
        <v>15</v>
      </c>
    </row>
    <row r="164" spans="1:16" x14ac:dyDescent="0.25">
      <c r="A164">
        <v>163</v>
      </c>
      <c r="B164">
        <v>116</v>
      </c>
      <c r="C164" t="s">
        <v>16</v>
      </c>
      <c r="D164" t="s">
        <v>35</v>
      </c>
      <c r="E164" t="s">
        <v>18</v>
      </c>
      <c r="F164" t="s">
        <v>28</v>
      </c>
      <c r="G164" t="s">
        <v>20</v>
      </c>
      <c r="H164" t="s">
        <v>21</v>
      </c>
      <c r="I164" t="s">
        <v>22</v>
      </c>
      <c r="J164" t="s">
        <v>63</v>
      </c>
      <c r="K164">
        <v>3244</v>
      </c>
      <c r="L164">
        <v>6.4631940999999999</v>
      </c>
      <c r="M164">
        <v>242.7037948432378</v>
      </c>
      <c r="N164">
        <v>0.23327776653692373</v>
      </c>
      <c r="O164" s="1" t="str">
        <f>HYPERLINK(".\sm_car_240930_0021\sm_car_240930_0021_163_Ca116TrN_MaWOT_ode3_1.png","figure")</f>
        <v>figure</v>
      </c>
      <c r="P164" t="s">
        <v>15</v>
      </c>
    </row>
    <row r="165" spans="1:16" x14ac:dyDescent="0.25">
      <c r="A165">
        <v>164</v>
      </c>
      <c r="B165">
        <v>116</v>
      </c>
      <c r="C165" t="s">
        <v>16</v>
      </c>
      <c r="D165" t="s">
        <v>35</v>
      </c>
      <c r="E165" t="s">
        <v>18</v>
      </c>
      <c r="F165" t="s">
        <v>28</v>
      </c>
      <c r="G165" t="s">
        <v>20</v>
      </c>
      <c r="H165" t="s">
        <v>21</v>
      </c>
      <c r="I165" t="s">
        <v>24</v>
      </c>
      <c r="J165" t="s">
        <v>63</v>
      </c>
      <c r="K165">
        <v>2564</v>
      </c>
      <c r="L165">
        <v>5.4167860000000001</v>
      </c>
      <c r="M165">
        <v>74.659492311694123</v>
      </c>
      <c r="N165">
        <v>-0.34093734199840481</v>
      </c>
      <c r="O165" s="1" t="str">
        <f>HYPERLINK(".\sm_car_240930_0021\sm_car_240930_0021_164_Ca116TrN_MaLSS_ode3_1.png","figure")</f>
        <v>figure</v>
      </c>
      <c r="P165" t="s">
        <v>15</v>
      </c>
    </row>
    <row r="166" spans="1:16" x14ac:dyDescent="0.25">
      <c r="A166">
        <v>165</v>
      </c>
      <c r="B166">
        <v>116</v>
      </c>
      <c r="C166" t="s">
        <v>16</v>
      </c>
      <c r="D166" t="s">
        <v>35</v>
      </c>
      <c r="E166" t="s">
        <v>18</v>
      </c>
      <c r="F166" t="s">
        <v>28</v>
      </c>
      <c r="G166" t="s">
        <v>20</v>
      </c>
      <c r="H166" t="s">
        <v>21</v>
      </c>
      <c r="I166" t="s">
        <v>64</v>
      </c>
      <c r="J166" t="s">
        <v>63</v>
      </c>
      <c r="K166">
        <v>2563</v>
      </c>
      <c r="L166">
        <v>5.4056537000000002</v>
      </c>
      <c r="M166">
        <v>71.323971743789272</v>
      </c>
      <c r="N166">
        <v>-17.591550619340072</v>
      </c>
      <c r="O166" s="1" t="str">
        <f>HYPERLINK(".\sm_car_240930_0021\sm_car_240930_0021_165_Ca116TrN_MaTUR_ode3_1.png","figure")</f>
        <v>figure</v>
      </c>
      <c r="P166" t="s">
        <v>15</v>
      </c>
    </row>
    <row r="167" spans="1:16" x14ac:dyDescent="0.25">
      <c r="A167">
        <v>166</v>
      </c>
      <c r="B167">
        <v>124</v>
      </c>
      <c r="C167" t="s">
        <v>16</v>
      </c>
      <c r="D167" t="s">
        <v>35</v>
      </c>
      <c r="E167" t="s">
        <v>49</v>
      </c>
      <c r="F167" t="s">
        <v>28</v>
      </c>
      <c r="G167" t="s">
        <v>20</v>
      </c>
      <c r="H167" t="s">
        <v>21</v>
      </c>
      <c r="I167" t="s">
        <v>22</v>
      </c>
      <c r="J167" t="s">
        <v>63</v>
      </c>
      <c r="K167">
        <v>3244</v>
      </c>
      <c r="L167">
        <v>4.0088619000000003</v>
      </c>
      <c r="M167">
        <v>242.88013077767147</v>
      </c>
      <c r="N167">
        <v>0.23308389744189009</v>
      </c>
      <c r="O167" s="1" t="str">
        <f>HYPERLINK(".\sm_car_240930_0021\sm_car_240930_0021_166_Ca124TrN_MaWOT_ode3_1.png","figure")</f>
        <v>figure</v>
      </c>
      <c r="P167" t="s">
        <v>15</v>
      </c>
    </row>
    <row r="168" spans="1:16" x14ac:dyDescent="0.25">
      <c r="A168">
        <v>167</v>
      </c>
      <c r="B168">
        <v>124</v>
      </c>
      <c r="C168" t="s">
        <v>16</v>
      </c>
      <c r="D168" t="s">
        <v>35</v>
      </c>
      <c r="E168" t="s">
        <v>49</v>
      </c>
      <c r="F168" t="s">
        <v>28</v>
      </c>
      <c r="G168" t="s">
        <v>20</v>
      </c>
      <c r="H168" t="s">
        <v>21</v>
      </c>
      <c r="I168" t="s">
        <v>24</v>
      </c>
      <c r="J168" t="s">
        <v>63</v>
      </c>
      <c r="K168">
        <v>2565</v>
      </c>
      <c r="L168">
        <v>3.1480400999999998</v>
      </c>
      <c r="M168">
        <v>74.79839484160884</v>
      </c>
      <c r="N168">
        <v>-0.34251601798099268</v>
      </c>
      <c r="O168" s="1" t="str">
        <f>HYPERLINK(".\sm_car_240930_0021\sm_car_240930_0021_167_Ca124TrN_MaLSS_ode3_1.png","figure")</f>
        <v>figure</v>
      </c>
      <c r="P168" t="s">
        <v>15</v>
      </c>
    </row>
    <row r="169" spans="1:16" x14ac:dyDescent="0.25">
      <c r="A169">
        <v>168</v>
      </c>
      <c r="B169">
        <v>124</v>
      </c>
      <c r="C169" t="s">
        <v>16</v>
      </c>
      <c r="D169" t="s">
        <v>35</v>
      </c>
      <c r="E169" t="s">
        <v>49</v>
      </c>
      <c r="F169" t="s">
        <v>28</v>
      </c>
      <c r="G169" t="s">
        <v>20</v>
      </c>
      <c r="H169" t="s">
        <v>21</v>
      </c>
      <c r="I169" t="s">
        <v>64</v>
      </c>
      <c r="J169" t="s">
        <v>63</v>
      </c>
      <c r="K169">
        <v>2564</v>
      </c>
      <c r="L169">
        <v>3.2288790000000001</v>
      </c>
      <c r="M169">
        <v>71.449353366816283</v>
      </c>
      <c r="N169">
        <v>-17.637595535249076</v>
      </c>
      <c r="O169" s="1" t="str">
        <f>HYPERLINK(".\sm_car_240930_0021\sm_car_240930_0021_168_Ca124TrN_MaTUR_ode3_1.png","figure")</f>
        <v>figure</v>
      </c>
      <c r="P169" t="s">
        <v>15</v>
      </c>
    </row>
    <row r="170" spans="1:16" x14ac:dyDescent="0.25">
      <c r="A170">
        <v>169</v>
      </c>
      <c r="B170">
        <v>141</v>
      </c>
      <c r="C170" t="s">
        <v>45</v>
      </c>
      <c r="D170" t="s">
        <v>17</v>
      </c>
      <c r="E170" t="s">
        <v>18</v>
      </c>
      <c r="F170" t="s">
        <v>28</v>
      </c>
      <c r="G170" t="s">
        <v>26</v>
      </c>
      <c r="H170" t="s">
        <v>21</v>
      </c>
      <c r="I170" t="s">
        <v>22</v>
      </c>
      <c r="J170" t="s">
        <v>63</v>
      </c>
      <c r="K170">
        <v>3833</v>
      </c>
      <c r="L170">
        <v>19.591649199999999</v>
      </c>
      <c r="M170">
        <v>411.77327954089554</v>
      </c>
      <c r="N170">
        <v>1.5228308614799715</v>
      </c>
      <c r="O170" s="1" t="str">
        <f>HYPERLINK(".\sm_car_240930_0021\sm_car_240930_0021_169_Ca141TrN_MaWOT_ode3_1.png","figure")</f>
        <v>figure</v>
      </c>
      <c r="P170" t="s">
        <v>15</v>
      </c>
    </row>
    <row r="171" spans="1:16" x14ac:dyDescent="0.25">
      <c r="A171">
        <v>170</v>
      </c>
      <c r="B171">
        <v>141</v>
      </c>
      <c r="C171" t="s">
        <v>45</v>
      </c>
      <c r="D171" t="s">
        <v>17</v>
      </c>
      <c r="E171" t="s">
        <v>18</v>
      </c>
      <c r="F171" t="s">
        <v>28</v>
      </c>
      <c r="G171" t="s">
        <v>26</v>
      </c>
      <c r="H171" t="s">
        <v>21</v>
      </c>
      <c r="I171" t="s">
        <v>24</v>
      </c>
      <c r="J171" t="s">
        <v>63</v>
      </c>
      <c r="K171">
        <v>3192</v>
      </c>
      <c r="L171">
        <v>16.414105800000002</v>
      </c>
      <c r="M171">
        <v>157.35652747775873</v>
      </c>
      <c r="N171">
        <v>-0.56383995304647982</v>
      </c>
      <c r="O171" s="1" t="str">
        <f>HYPERLINK(".\sm_car_240930_0021\sm_car_240930_0021_170_Ca141TrN_MaLSS_ode3_1.png","figure")</f>
        <v>figure</v>
      </c>
      <c r="P171" t="s">
        <v>15</v>
      </c>
    </row>
    <row r="172" spans="1:16" x14ac:dyDescent="0.25">
      <c r="A172">
        <v>171</v>
      </c>
      <c r="B172">
        <v>141</v>
      </c>
      <c r="C172" t="s">
        <v>45</v>
      </c>
      <c r="D172" t="s">
        <v>17</v>
      </c>
      <c r="E172" t="s">
        <v>18</v>
      </c>
      <c r="F172" t="s">
        <v>28</v>
      </c>
      <c r="G172" t="s">
        <v>26</v>
      </c>
      <c r="H172" t="s">
        <v>21</v>
      </c>
      <c r="I172" t="s">
        <v>64</v>
      </c>
      <c r="J172" t="s">
        <v>63</v>
      </c>
      <c r="K172">
        <v>3160</v>
      </c>
      <c r="L172">
        <v>16.2930502</v>
      </c>
      <c r="M172">
        <v>99.307823665733622</v>
      </c>
      <c r="N172">
        <v>-89.462983440892131</v>
      </c>
      <c r="O172" s="1" t="str">
        <f>HYPERLINK(".\sm_car_240930_0021\sm_car_240930_0021_171_Ca141TrN_MaTUR_ode3_1.png","figure")</f>
        <v>figure</v>
      </c>
      <c r="P172" t="s">
        <v>15</v>
      </c>
    </row>
    <row r="173" spans="1:16" x14ac:dyDescent="0.25">
      <c r="A173">
        <v>172</v>
      </c>
      <c r="B173">
        <v>145</v>
      </c>
      <c r="C173" t="s">
        <v>46</v>
      </c>
      <c r="D173" t="s">
        <v>17</v>
      </c>
      <c r="E173" t="s">
        <v>50</v>
      </c>
      <c r="F173" t="s">
        <v>19</v>
      </c>
      <c r="G173" t="s">
        <v>26</v>
      </c>
      <c r="H173" t="s">
        <v>21</v>
      </c>
      <c r="I173" t="s">
        <v>22</v>
      </c>
      <c r="J173" t="s">
        <v>63</v>
      </c>
      <c r="K173">
        <v>2853</v>
      </c>
      <c r="L173">
        <v>12.6310307</v>
      </c>
      <c r="M173">
        <v>96.995317895193025</v>
      </c>
      <c r="N173">
        <v>-4.6572513131402787E-2</v>
      </c>
      <c r="O173" s="1" t="str">
        <f>HYPERLINK(".\sm_car_240930_0021\sm_car_240930_0021_172_Ca145TrN_MaWOT_ode3_1.png","figure")</f>
        <v>figure</v>
      </c>
      <c r="P173" t="s">
        <v>15</v>
      </c>
    </row>
    <row r="174" spans="1:16" x14ac:dyDescent="0.25">
      <c r="A174">
        <v>173</v>
      </c>
      <c r="B174">
        <v>145</v>
      </c>
      <c r="C174" t="s">
        <v>46</v>
      </c>
      <c r="D174" t="s">
        <v>17</v>
      </c>
      <c r="E174" t="s">
        <v>50</v>
      </c>
      <c r="F174" t="s">
        <v>19</v>
      </c>
      <c r="G174" t="s">
        <v>26</v>
      </c>
      <c r="H174" t="s">
        <v>21</v>
      </c>
      <c r="I174" t="s">
        <v>24</v>
      </c>
      <c r="J174" t="s">
        <v>63</v>
      </c>
      <c r="K174">
        <v>2382</v>
      </c>
      <c r="L174">
        <v>10.524552999999999</v>
      </c>
      <c r="M174">
        <v>25.420242120970858</v>
      </c>
      <c r="N174">
        <v>-5.3226458653149851E-2</v>
      </c>
      <c r="O174" s="1" t="str">
        <f>HYPERLINK(".\sm_car_240930_0021\sm_car_240930_0021_173_Ca145TrN_MaLSS_ode3_1.png","figure")</f>
        <v>figure</v>
      </c>
      <c r="P174" t="s">
        <v>15</v>
      </c>
    </row>
    <row r="175" spans="1:16" x14ac:dyDescent="0.25">
      <c r="A175">
        <v>174</v>
      </c>
      <c r="B175">
        <v>145</v>
      </c>
      <c r="C175" t="s">
        <v>46</v>
      </c>
      <c r="D175" t="s">
        <v>17</v>
      </c>
      <c r="E175" t="s">
        <v>50</v>
      </c>
      <c r="F175" t="s">
        <v>19</v>
      </c>
      <c r="G175" t="s">
        <v>26</v>
      </c>
      <c r="H175" t="s">
        <v>21</v>
      </c>
      <c r="I175" t="s">
        <v>64</v>
      </c>
      <c r="J175" t="s">
        <v>63</v>
      </c>
      <c r="K175">
        <v>2379</v>
      </c>
      <c r="L175">
        <v>10.4222793</v>
      </c>
      <c r="M175">
        <v>25.265723787457468</v>
      </c>
      <c r="N175">
        <v>-2.6404610822245078</v>
      </c>
      <c r="O175" s="1" t="str">
        <f>HYPERLINK(".\sm_car_240930_0021\sm_car_240930_0021_174_Ca145TrN_MaTUR_ode3_1.png","figure")</f>
        <v>figure</v>
      </c>
      <c r="P175" t="s">
        <v>15</v>
      </c>
    </row>
    <row r="176" spans="1:16" x14ac:dyDescent="0.25">
      <c r="A176">
        <v>175</v>
      </c>
      <c r="B176">
        <v>199</v>
      </c>
      <c r="C176" t="s">
        <v>46</v>
      </c>
      <c r="D176" t="s">
        <v>17</v>
      </c>
      <c r="E176" t="s">
        <v>110</v>
      </c>
      <c r="F176" t="s">
        <v>19</v>
      </c>
      <c r="G176" t="s">
        <v>26</v>
      </c>
      <c r="H176" t="s">
        <v>21</v>
      </c>
      <c r="I176" t="s">
        <v>22</v>
      </c>
      <c r="J176" t="s">
        <v>63</v>
      </c>
      <c r="K176">
        <v>2864</v>
      </c>
      <c r="L176">
        <v>14.250736</v>
      </c>
      <c r="M176">
        <v>97.75251122533345</v>
      </c>
      <c r="N176">
        <v>-4.7537728348416575E-2</v>
      </c>
      <c r="O176" s="1" t="str">
        <f>HYPERLINK(".\sm_car_240930_0021\sm_car_240930_0021_175_Ca199TrN_MaWOT_ode3_1.png","figure")</f>
        <v>figure</v>
      </c>
      <c r="P176" t="s">
        <v>15</v>
      </c>
    </row>
    <row r="177" spans="1:16" x14ac:dyDescent="0.25">
      <c r="A177">
        <v>176</v>
      </c>
      <c r="B177">
        <v>199</v>
      </c>
      <c r="C177" t="s">
        <v>46</v>
      </c>
      <c r="D177" t="s">
        <v>17</v>
      </c>
      <c r="E177" t="s">
        <v>110</v>
      </c>
      <c r="F177" t="s">
        <v>19</v>
      </c>
      <c r="G177" t="s">
        <v>26</v>
      </c>
      <c r="H177" t="s">
        <v>21</v>
      </c>
      <c r="I177" t="s">
        <v>24</v>
      </c>
      <c r="J177" t="s">
        <v>63</v>
      </c>
      <c r="K177">
        <v>2383</v>
      </c>
      <c r="L177">
        <v>11.900892000000001</v>
      </c>
      <c r="M177">
        <v>26.05630604840697</v>
      </c>
      <c r="N177">
        <v>-5.2693354541738499E-2</v>
      </c>
      <c r="O177" s="1" t="str">
        <f>HYPERLINK(".\sm_car_240930_0021\sm_car_240930_0021_176_Ca199TrN_MaLSS_ode3_1.png","figure")</f>
        <v>figure</v>
      </c>
      <c r="P177" t="s">
        <v>15</v>
      </c>
    </row>
    <row r="178" spans="1:16" x14ac:dyDescent="0.25">
      <c r="A178">
        <v>177</v>
      </c>
      <c r="B178">
        <v>199</v>
      </c>
      <c r="C178" t="s">
        <v>46</v>
      </c>
      <c r="D178" t="s">
        <v>17</v>
      </c>
      <c r="E178" t="s">
        <v>110</v>
      </c>
      <c r="F178" t="s">
        <v>19</v>
      </c>
      <c r="G178" t="s">
        <v>26</v>
      </c>
      <c r="H178" t="s">
        <v>21</v>
      </c>
      <c r="I178" t="s">
        <v>64</v>
      </c>
      <c r="J178" t="s">
        <v>63</v>
      </c>
      <c r="K178">
        <v>2380</v>
      </c>
      <c r="L178">
        <v>11.850130399999999</v>
      </c>
      <c r="M178">
        <v>25.893849872045557</v>
      </c>
      <c r="N178">
        <v>-2.7235083134033209</v>
      </c>
      <c r="O178" s="1" t="str">
        <f>HYPERLINK(".\sm_car_240930_0021\sm_car_240930_0021_177_Ca199TrN_MaTUR_ode3_1.png","figure")</f>
        <v>figure</v>
      </c>
      <c r="P178" t="s">
        <v>15</v>
      </c>
    </row>
    <row r="179" spans="1:16" x14ac:dyDescent="0.25">
      <c r="A179">
        <v>178</v>
      </c>
      <c r="B179">
        <v>139</v>
      </c>
      <c r="C179" t="s">
        <v>45</v>
      </c>
      <c r="D179" t="s">
        <v>17</v>
      </c>
      <c r="E179" t="s">
        <v>18</v>
      </c>
      <c r="F179" t="s">
        <v>19</v>
      </c>
      <c r="G179" t="s">
        <v>26</v>
      </c>
      <c r="H179" t="s">
        <v>21</v>
      </c>
      <c r="I179" t="s">
        <v>53</v>
      </c>
      <c r="J179" t="s">
        <v>23</v>
      </c>
      <c r="K179">
        <v>521</v>
      </c>
      <c r="L179">
        <v>13.615922400000001</v>
      </c>
      <c r="M179">
        <v>256.07258190498123</v>
      </c>
      <c r="N179">
        <v>-5.4071553223904445E-3</v>
      </c>
      <c r="O179" s="1" t="str">
        <f>HYPERLINK(".\sm_car_240930_0021\sm_car_240930_0021_178_Ca139TrN_MaDLC_ode23t_1.png","figure")</f>
        <v>figure</v>
      </c>
      <c r="P179" t="s">
        <v>15</v>
      </c>
    </row>
    <row r="180" spans="1:16" x14ac:dyDescent="0.25">
      <c r="A180">
        <v>179</v>
      </c>
      <c r="B180">
        <v>139</v>
      </c>
      <c r="C180" t="s">
        <v>45</v>
      </c>
      <c r="D180" t="s">
        <v>17</v>
      </c>
      <c r="E180" t="s">
        <v>18</v>
      </c>
      <c r="F180" t="s">
        <v>19</v>
      </c>
      <c r="G180" t="s">
        <v>26</v>
      </c>
      <c r="H180" t="s">
        <v>65</v>
      </c>
      <c r="I180" t="s">
        <v>53</v>
      </c>
      <c r="J180" t="s">
        <v>23</v>
      </c>
      <c r="K180">
        <v>738</v>
      </c>
      <c r="L180">
        <v>40.671001599999997</v>
      </c>
      <c r="M180">
        <v>253.22332332722669</v>
      </c>
      <c r="N180">
        <v>0.1083994432348554</v>
      </c>
      <c r="O180" s="1" t="str">
        <f>HYPERLINK(".\sm_car_240930_0021\sm_car_240930_0021_179_Ca139TrE_MaDLC_ode23t_1.png","figure")</f>
        <v>figure</v>
      </c>
      <c r="P180" t="s">
        <v>15</v>
      </c>
    </row>
    <row r="181" spans="1:16" x14ac:dyDescent="0.25">
      <c r="A181">
        <v>180</v>
      </c>
      <c r="B181">
        <v>139</v>
      </c>
      <c r="C181" t="s">
        <v>45</v>
      </c>
      <c r="D181" t="s">
        <v>17</v>
      </c>
      <c r="E181" t="s">
        <v>18</v>
      </c>
      <c r="F181" t="s">
        <v>19</v>
      </c>
      <c r="G181" t="s">
        <v>26</v>
      </c>
      <c r="H181" t="s">
        <v>66</v>
      </c>
      <c r="I181" t="s">
        <v>53</v>
      </c>
      <c r="J181" t="s">
        <v>23</v>
      </c>
      <c r="K181">
        <v>894</v>
      </c>
      <c r="L181">
        <v>46.508098500000003</v>
      </c>
      <c r="M181">
        <v>254.89783016519186</v>
      </c>
      <c r="N181">
        <v>-5.6557102311156626E-3</v>
      </c>
      <c r="O181" s="1" t="str">
        <f>HYPERLINK(".\sm_car_240930_0021\sm_car_240930_0021_180_Ca139TrT_MaDLC_ode23t_1.png","figure")</f>
        <v>figure</v>
      </c>
      <c r="P181" t="s">
        <v>15</v>
      </c>
    </row>
    <row r="182" spans="1:16" x14ac:dyDescent="0.25">
      <c r="A182">
        <v>181</v>
      </c>
      <c r="B182">
        <v>139</v>
      </c>
      <c r="C182" t="s">
        <v>45</v>
      </c>
      <c r="D182" t="s">
        <v>17</v>
      </c>
      <c r="E182" t="s">
        <v>18</v>
      </c>
      <c r="F182" t="s">
        <v>19</v>
      </c>
      <c r="G182" t="s">
        <v>26</v>
      </c>
      <c r="H182" t="s">
        <v>65</v>
      </c>
      <c r="I182" t="s">
        <v>53</v>
      </c>
      <c r="J182" t="s">
        <v>23</v>
      </c>
      <c r="K182">
        <v>774</v>
      </c>
      <c r="L182">
        <v>30.758617300000001</v>
      </c>
      <c r="M182">
        <v>253.32652876168225</v>
      </c>
      <c r="N182">
        <v>1.2883476698110741E-2</v>
      </c>
      <c r="O182" s="1" t="str">
        <f>HYPERLINK(".\sm_car_240930_0021\sm_car_240930_0021_181_Ca139TrE_MaDLC_ode23t_1.png","figure")</f>
        <v>figure</v>
      </c>
      <c r="P182" t="s">
        <v>15</v>
      </c>
    </row>
    <row r="183" spans="1:16" x14ac:dyDescent="0.25">
      <c r="A183">
        <v>182</v>
      </c>
      <c r="B183">
        <v>2</v>
      </c>
      <c r="C183" t="s">
        <v>16</v>
      </c>
      <c r="D183" t="s">
        <v>17</v>
      </c>
      <c r="E183" t="s">
        <v>18</v>
      </c>
      <c r="F183" t="s">
        <v>19</v>
      </c>
      <c r="G183" t="s">
        <v>26</v>
      </c>
      <c r="H183" t="s">
        <v>21</v>
      </c>
      <c r="I183" t="s">
        <v>53</v>
      </c>
      <c r="J183" t="s">
        <v>23</v>
      </c>
      <c r="K183">
        <v>615</v>
      </c>
      <c r="L183">
        <v>15.1729129</v>
      </c>
      <c r="M183">
        <v>254.16753287521914</v>
      </c>
      <c r="N183">
        <v>3.2506532566296542E-3</v>
      </c>
      <c r="O183" s="1" t="str">
        <f>HYPERLINK(".\sm_car_240930_0021\sm_car_240930_0021_182_Ca002TrN_MaDLC_ode23t_1.png","figure")</f>
        <v>figure</v>
      </c>
      <c r="P183" t="s">
        <v>15</v>
      </c>
    </row>
    <row r="184" spans="1:16" x14ac:dyDescent="0.25">
      <c r="A184">
        <v>183</v>
      </c>
      <c r="B184">
        <v>2</v>
      </c>
      <c r="C184" t="s">
        <v>16</v>
      </c>
      <c r="D184" t="s">
        <v>17</v>
      </c>
      <c r="E184" t="s">
        <v>18</v>
      </c>
      <c r="F184" t="s">
        <v>19</v>
      </c>
      <c r="G184" t="s">
        <v>26</v>
      </c>
      <c r="H184" t="s">
        <v>65</v>
      </c>
      <c r="I184" t="s">
        <v>53</v>
      </c>
      <c r="J184" t="s">
        <v>23</v>
      </c>
      <c r="K184">
        <v>772</v>
      </c>
      <c r="L184">
        <v>36.370502199999997</v>
      </c>
      <c r="M184">
        <v>253.42831504984116</v>
      </c>
      <c r="N184">
        <v>3.6414933444159914E-3</v>
      </c>
      <c r="O184" s="1" t="str">
        <f>HYPERLINK(".\sm_car_240930_0021\sm_car_240930_0021_183_Ca002TrE_MaDLC_ode23t_1.png","figure")</f>
        <v>figure</v>
      </c>
      <c r="P184" t="s">
        <v>15</v>
      </c>
    </row>
    <row r="185" spans="1:16" x14ac:dyDescent="0.25">
      <c r="A185">
        <v>184</v>
      </c>
      <c r="B185">
        <v>2</v>
      </c>
      <c r="C185" t="s">
        <v>16</v>
      </c>
      <c r="D185" t="s">
        <v>17</v>
      </c>
      <c r="E185" t="s">
        <v>18</v>
      </c>
      <c r="F185" t="s">
        <v>19</v>
      </c>
      <c r="G185" t="s">
        <v>26</v>
      </c>
      <c r="H185" t="s">
        <v>66</v>
      </c>
      <c r="I185" t="s">
        <v>53</v>
      </c>
      <c r="J185" t="s">
        <v>23</v>
      </c>
      <c r="K185">
        <v>1066</v>
      </c>
      <c r="L185">
        <v>67.200269300000002</v>
      </c>
      <c r="M185">
        <v>254.52077492609624</v>
      </c>
      <c r="N185">
        <v>3.0868629758638022E-3</v>
      </c>
      <c r="O185" s="1" t="str">
        <f>HYPERLINK(".\sm_car_240930_0021\sm_car_240930_0021_184_Ca002TrT_MaDLC_ode23t_1.png","figure")</f>
        <v>figure</v>
      </c>
      <c r="P185" t="s">
        <v>15</v>
      </c>
    </row>
    <row r="186" spans="1:16" x14ac:dyDescent="0.25">
      <c r="A186">
        <v>185</v>
      </c>
      <c r="B186">
        <v>2</v>
      </c>
      <c r="C186" t="s">
        <v>16</v>
      </c>
      <c r="D186" t="s">
        <v>17</v>
      </c>
      <c r="E186" t="s">
        <v>18</v>
      </c>
      <c r="F186" t="s">
        <v>19</v>
      </c>
      <c r="G186" t="s">
        <v>26</v>
      </c>
      <c r="H186" t="s">
        <v>65</v>
      </c>
      <c r="I186" t="s">
        <v>53</v>
      </c>
      <c r="J186" t="s">
        <v>23</v>
      </c>
      <c r="K186">
        <v>784</v>
      </c>
      <c r="L186">
        <v>28.749853699999999</v>
      </c>
      <c r="M186">
        <v>253.58268416498015</v>
      </c>
      <c r="N186">
        <v>3.5548943959629042E-3</v>
      </c>
      <c r="O186" s="1" t="str">
        <f>HYPERLINK(".\sm_car_240930_0021\sm_car_240930_0021_185_Ca002TrE_MaDLC_ode23t_1.png","figure")</f>
        <v>figure</v>
      </c>
      <c r="P186" t="s">
        <v>15</v>
      </c>
    </row>
    <row r="187" spans="1:16" x14ac:dyDescent="0.25">
      <c r="A187">
        <v>186</v>
      </c>
      <c r="B187">
        <v>145</v>
      </c>
      <c r="C187" t="s">
        <v>46</v>
      </c>
      <c r="D187" t="s">
        <v>17</v>
      </c>
      <c r="E187" t="s">
        <v>50</v>
      </c>
      <c r="F187" t="s">
        <v>19</v>
      </c>
      <c r="G187" t="s">
        <v>26</v>
      </c>
      <c r="H187" t="s">
        <v>21</v>
      </c>
      <c r="I187" t="s">
        <v>53</v>
      </c>
      <c r="J187" t="s">
        <v>23</v>
      </c>
      <c r="K187">
        <v>471</v>
      </c>
      <c r="L187">
        <v>29.649146500000001</v>
      </c>
      <c r="M187">
        <v>255.4765097650149</v>
      </c>
      <c r="N187">
        <v>4.0619588109048976E-2</v>
      </c>
      <c r="O187" s="1" t="str">
        <f>HYPERLINK(".\sm_car_240930_0021\sm_car_240930_0021_186_Ca145TrN_MaDLC_ode23t_1.png","figure")</f>
        <v>figure</v>
      </c>
      <c r="P187" t="s">
        <v>15</v>
      </c>
    </row>
    <row r="188" spans="1:16" x14ac:dyDescent="0.25">
      <c r="A188">
        <v>187</v>
      </c>
      <c r="B188">
        <v>145</v>
      </c>
      <c r="C188" t="s">
        <v>46</v>
      </c>
      <c r="D188" t="s">
        <v>17</v>
      </c>
      <c r="E188" t="s">
        <v>50</v>
      </c>
      <c r="F188" t="s">
        <v>19</v>
      </c>
      <c r="G188" t="s">
        <v>26</v>
      </c>
      <c r="H188" t="s">
        <v>65</v>
      </c>
      <c r="I188" t="s">
        <v>53</v>
      </c>
      <c r="J188" t="s">
        <v>23</v>
      </c>
      <c r="K188">
        <v>552</v>
      </c>
      <c r="L188">
        <v>53.040620599999997</v>
      </c>
      <c r="M188">
        <v>253.18860398697478</v>
      </c>
      <c r="N188">
        <v>4.9824515645788381E-2</v>
      </c>
      <c r="O188" s="1" t="str">
        <f>HYPERLINK(".\sm_car_240930_0021\sm_car_240930_0021_187_Ca145TrE_MaDLC_ode23t_1.png","figure")</f>
        <v>figure</v>
      </c>
      <c r="P188" t="s">
        <v>15</v>
      </c>
    </row>
    <row r="189" spans="1:16" x14ac:dyDescent="0.25">
      <c r="A189">
        <v>188</v>
      </c>
      <c r="B189">
        <v>145</v>
      </c>
      <c r="C189" t="s">
        <v>46</v>
      </c>
      <c r="D189" t="s">
        <v>17</v>
      </c>
      <c r="E189" t="s">
        <v>50</v>
      </c>
      <c r="F189" t="s">
        <v>19</v>
      </c>
      <c r="G189" t="s">
        <v>26</v>
      </c>
      <c r="H189" t="s">
        <v>66</v>
      </c>
      <c r="I189" t="s">
        <v>53</v>
      </c>
      <c r="J189" t="s">
        <v>23</v>
      </c>
      <c r="K189">
        <v>754</v>
      </c>
      <c r="L189">
        <v>84.170246599999999</v>
      </c>
      <c r="M189">
        <v>253.29832042394696</v>
      </c>
      <c r="N189">
        <v>4.9056775607040137E-2</v>
      </c>
      <c r="O189" s="1" t="str">
        <f>HYPERLINK(".\sm_car_240930_0021\sm_car_240930_0021_188_Ca145TrT_MaDLC_ode23t_1.png","figure")</f>
        <v>figure</v>
      </c>
      <c r="P189" t="s">
        <v>15</v>
      </c>
    </row>
    <row r="190" spans="1:16" x14ac:dyDescent="0.25">
      <c r="A190">
        <v>189</v>
      </c>
      <c r="B190">
        <v>145</v>
      </c>
      <c r="C190" t="s">
        <v>46</v>
      </c>
      <c r="D190" t="s">
        <v>17</v>
      </c>
      <c r="E190" t="s">
        <v>50</v>
      </c>
      <c r="F190" t="s">
        <v>19</v>
      </c>
      <c r="G190" t="s">
        <v>26</v>
      </c>
      <c r="H190" t="s">
        <v>65</v>
      </c>
      <c r="I190" t="s">
        <v>53</v>
      </c>
      <c r="J190" t="s">
        <v>23</v>
      </c>
      <c r="K190">
        <v>553</v>
      </c>
      <c r="L190">
        <v>41.701111900000001</v>
      </c>
      <c r="M190">
        <v>254.25984677407649</v>
      </c>
      <c r="N190">
        <v>4.5743309558453404E-2</v>
      </c>
      <c r="O190" s="1" t="str">
        <f>HYPERLINK(".\sm_car_240930_0021\sm_car_240930_0021_189_Ca145TrE_MaDLC_ode23t_1.png","figure")</f>
        <v>figure</v>
      </c>
      <c r="P190" t="s">
        <v>15</v>
      </c>
    </row>
    <row r="191" spans="1:16" x14ac:dyDescent="0.25">
      <c r="A191">
        <v>190</v>
      </c>
      <c r="B191">
        <v>199</v>
      </c>
      <c r="C191" t="s">
        <v>46</v>
      </c>
      <c r="D191" t="s">
        <v>17</v>
      </c>
      <c r="E191" t="s">
        <v>110</v>
      </c>
      <c r="F191" t="s">
        <v>19</v>
      </c>
      <c r="G191" t="s">
        <v>26</v>
      </c>
      <c r="H191" t="s">
        <v>21</v>
      </c>
      <c r="I191" t="s">
        <v>53</v>
      </c>
      <c r="J191" t="s">
        <v>23</v>
      </c>
      <c r="K191">
        <v>472</v>
      </c>
      <c r="L191">
        <v>11.762983999999999</v>
      </c>
      <c r="M191">
        <v>255.4744960872822</v>
      </c>
      <c r="N191">
        <v>4.0766114777232687E-2</v>
      </c>
      <c r="O191" s="1" t="str">
        <f>HYPERLINK(".\sm_car_240930_0021\sm_car_240930_0021_190_Ca199TrN_MaDLC_ode23t_1.png","figure")</f>
        <v>figure</v>
      </c>
      <c r="P191" t="s">
        <v>15</v>
      </c>
    </row>
    <row r="192" spans="1:16" x14ac:dyDescent="0.25">
      <c r="A192">
        <v>191</v>
      </c>
      <c r="B192">
        <v>199</v>
      </c>
      <c r="C192" t="s">
        <v>46</v>
      </c>
      <c r="D192" t="s">
        <v>17</v>
      </c>
      <c r="E192" t="s">
        <v>110</v>
      </c>
      <c r="F192" t="s">
        <v>19</v>
      </c>
      <c r="G192" t="s">
        <v>26</v>
      </c>
      <c r="H192" t="s">
        <v>65</v>
      </c>
      <c r="I192" t="s">
        <v>53</v>
      </c>
      <c r="J192" t="s">
        <v>23</v>
      </c>
      <c r="K192">
        <v>558</v>
      </c>
      <c r="L192">
        <v>29.323325799999999</v>
      </c>
      <c r="M192">
        <v>254.26035171628212</v>
      </c>
      <c r="N192">
        <v>4.5754859310956242E-2</v>
      </c>
      <c r="O192" s="1" t="str">
        <f>HYPERLINK(".\sm_car_240930_0021\sm_car_240930_0021_191_Ca199TrE_MaDLC_ode23t_1.png","figure")</f>
        <v>figure</v>
      </c>
      <c r="P192" t="s">
        <v>15</v>
      </c>
    </row>
    <row r="193" spans="1:16" x14ac:dyDescent="0.25">
      <c r="A193">
        <v>192</v>
      </c>
      <c r="B193">
        <v>199</v>
      </c>
      <c r="C193" t="s">
        <v>46</v>
      </c>
      <c r="D193" t="s">
        <v>17</v>
      </c>
      <c r="E193" t="s">
        <v>110</v>
      </c>
      <c r="F193" t="s">
        <v>19</v>
      </c>
      <c r="G193" t="s">
        <v>26</v>
      </c>
      <c r="H193" t="s">
        <v>66</v>
      </c>
      <c r="I193" t="s">
        <v>53</v>
      </c>
      <c r="J193" t="s">
        <v>23</v>
      </c>
      <c r="K193">
        <v>691</v>
      </c>
      <c r="L193">
        <v>33.183775900000001</v>
      </c>
      <c r="M193">
        <v>253.87157470800952</v>
      </c>
      <c r="N193">
        <v>4.6825056696568446E-2</v>
      </c>
      <c r="O193" s="1" t="str">
        <f>HYPERLINK(".\sm_car_240930_0021\sm_car_240930_0021_192_Ca199TrT_MaDLC_ode23t_1.png","figure")</f>
        <v>figure</v>
      </c>
      <c r="P193" t="s">
        <v>15</v>
      </c>
    </row>
    <row r="194" spans="1:16" x14ac:dyDescent="0.25">
      <c r="A194">
        <v>193</v>
      </c>
      <c r="B194">
        <v>199</v>
      </c>
      <c r="C194" t="s">
        <v>46</v>
      </c>
      <c r="D194" t="s">
        <v>17</v>
      </c>
      <c r="E194" t="s">
        <v>110</v>
      </c>
      <c r="F194" t="s">
        <v>19</v>
      </c>
      <c r="G194" t="s">
        <v>26</v>
      </c>
      <c r="H194" t="s">
        <v>65</v>
      </c>
      <c r="I194" t="s">
        <v>53</v>
      </c>
      <c r="J194" t="s">
        <v>23</v>
      </c>
      <c r="K194">
        <v>559</v>
      </c>
      <c r="L194">
        <v>20.987052200000001</v>
      </c>
      <c r="M194">
        <v>254.26032738600782</v>
      </c>
      <c r="N194">
        <v>4.5761908134059226E-2</v>
      </c>
      <c r="O194" s="1" t="str">
        <f>HYPERLINK(".\sm_car_240930_0021\sm_car_240930_0021_193_Ca199TrE_MaDLC_ode23t_1.png","figure")</f>
        <v>figure</v>
      </c>
      <c r="P194" t="s">
        <v>15</v>
      </c>
    </row>
    <row r="195" spans="1:16" x14ac:dyDescent="0.25">
      <c r="A195">
        <v>194</v>
      </c>
      <c r="B195">
        <v>139</v>
      </c>
      <c r="C195" t="s">
        <v>45</v>
      </c>
      <c r="D195" t="s">
        <v>17</v>
      </c>
      <c r="E195" t="s">
        <v>18</v>
      </c>
      <c r="F195" t="s">
        <v>19</v>
      </c>
      <c r="G195" t="s">
        <v>26</v>
      </c>
      <c r="H195" t="s">
        <v>65</v>
      </c>
      <c r="I195" t="s">
        <v>67</v>
      </c>
      <c r="J195" t="s">
        <v>23</v>
      </c>
      <c r="K195">
        <v>428</v>
      </c>
      <c r="L195">
        <v>18.2465954</v>
      </c>
      <c r="M195">
        <v>261.08089995101261</v>
      </c>
      <c r="N195">
        <v>2.5013845576906135</v>
      </c>
      <c r="O195" s="1" t="str">
        <f>HYPERLINK(".\sm_car_240930_0021\sm_car_240930_0021_194_Ca139TrE_MaTRD_ode23t_1.png","figure")</f>
        <v>figure</v>
      </c>
      <c r="P195" t="s">
        <v>15</v>
      </c>
    </row>
    <row r="196" spans="1:16" x14ac:dyDescent="0.25">
      <c r="A196">
        <v>195</v>
      </c>
      <c r="B196">
        <v>139</v>
      </c>
      <c r="C196" t="s">
        <v>45</v>
      </c>
      <c r="D196" t="s">
        <v>17</v>
      </c>
      <c r="E196" t="s">
        <v>18</v>
      </c>
      <c r="F196" t="s">
        <v>19</v>
      </c>
      <c r="G196" t="s">
        <v>26</v>
      </c>
      <c r="H196" t="s">
        <v>65</v>
      </c>
      <c r="I196" t="s">
        <v>67</v>
      </c>
      <c r="J196" t="s">
        <v>23</v>
      </c>
      <c r="K196">
        <v>484</v>
      </c>
      <c r="L196">
        <v>17.8368924</v>
      </c>
      <c r="M196">
        <v>261.06389624252023</v>
      </c>
      <c r="N196">
        <v>2.5012974601501279</v>
      </c>
      <c r="O196" s="1" t="str">
        <f>HYPERLINK(".\sm_car_240930_0021\sm_car_240930_0021_195_Ca139TrU_MaTRD_ode23t_1.png","figure")</f>
        <v>figure</v>
      </c>
      <c r="P196" t="s">
        <v>15</v>
      </c>
    </row>
    <row r="197" spans="1:16" x14ac:dyDescent="0.25">
      <c r="A197">
        <v>196</v>
      </c>
      <c r="B197">
        <v>149</v>
      </c>
      <c r="C197" t="s">
        <v>46</v>
      </c>
      <c r="D197" t="s">
        <v>17</v>
      </c>
      <c r="E197" t="s">
        <v>68</v>
      </c>
      <c r="F197" t="s">
        <v>19</v>
      </c>
      <c r="G197" t="s">
        <v>26</v>
      </c>
      <c r="H197" t="s">
        <v>21</v>
      </c>
      <c r="I197" t="s">
        <v>69</v>
      </c>
      <c r="J197" t="s">
        <v>23</v>
      </c>
      <c r="K197">
        <v>1235</v>
      </c>
      <c r="L197">
        <v>18.7109688</v>
      </c>
      <c r="M197">
        <v>-5.2036655776877966E-3</v>
      </c>
      <c r="N197">
        <v>-6.2229820621459962E-4</v>
      </c>
      <c r="O197" s="1" t="str">
        <f>HYPERLINK(".\sm_car_240930_0021\sm_car_240930_0021_196_Ca149TrN_MaPST_ode23t_1.png","figure")</f>
        <v>figure</v>
      </c>
      <c r="P197" t="s">
        <v>15</v>
      </c>
    </row>
    <row r="198" spans="1:16" x14ac:dyDescent="0.25">
      <c r="A198">
        <v>197</v>
      </c>
      <c r="B198">
        <v>139</v>
      </c>
      <c r="C198" t="s">
        <v>45</v>
      </c>
      <c r="D198" t="s">
        <v>17</v>
      </c>
      <c r="E198" t="s">
        <v>18</v>
      </c>
      <c r="F198" t="s">
        <v>19</v>
      </c>
      <c r="G198" t="s">
        <v>26</v>
      </c>
      <c r="H198" t="s">
        <v>21</v>
      </c>
      <c r="I198" t="s">
        <v>70</v>
      </c>
      <c r="J198" t="s">
        <v>23</v>
      </c>
      <c r="K198">
        <v>1558</v>
      </c>
      <c r="L198">
        <v>57.038813900000001</v>
      </c>
      <c r="M198">
        <v>36.731837700137895</v>
      </c>
      <c r="N198">
        <v>0.33668611301604784</v>
      </c>
      <c r="O198" s="1" t="str">
        <f>HYPERLINK(".\sm_car_240930_0021\sm_car_240930_0021_197_Ca139TrN_MaSKD_ode23t_1.png","figure")</f>
        <v>figure</v>
      </c>
      <c r="P198" t="s">
        <v>15</v>
      </c>
    </row>
    <row r="199" spans="1:16" x14ac:dyDescent="0.25">
      <c r="A199">
        <v>198</v>
      </c>
      <c r="B199">
        <v>139</v>
      </c>
      <c r="C199" t="s">
        <v>45</v>
      </c>
      <c r="D199" t="s">
        <v>17</v>
      </c>
      <c r="E199" t="s">
        <v>18</v>
      </c>
      <c r="F199" t="s">
        <v>19</v>
      </c>
      <c r="G199" t="s">
        <v>26</v>
      </c>
      <c r="H199" t="s">
        <v>21</v>
      </c>
      <c r="I199" t="s">
        <v>71</v>
      </c>
      <c r="J199" t="s">
        <v>23</v>
      </c>
      <c r="K199">
        <v>1064</v>
      </c>
      <c r="L199">
        <v>51.994052400000001</v>
      </c>
      <c r="M199">
        <v>3.303515801706979</v>
      </c>
      <c r="N199">
        <v>26.653093605555732</v>
      </c>
      <c r="O199" s="1" t="str">
        <f>HYPERLINK(".\sm_car_240930_0021\sm_car_240930_0021_198_Ca139TrN_MaRAD_ode23t_1.png","figure")</f>
        <v>figure</v>
      </c>
      <c r="P199" t="s">
        <v>15</v>
      </c>
    </row>
    <row r="200" spans="1:16" x14ac:dyDescent="0.25">
      <c r="A200">
        <v>199</v>
      </c>
      <c r="B200">
        <v>184</v>
      </c>
      <c r="C200" t="s">
        <v>105</v>
      </c>
      <c r="D200" t="s">
        <v>106</v>
      </c>
      <c r="E200" t="s">
        <v>49</v>
      </c>
      <c r="F200" t="s">
        <v>19</v>
      </c>
      <c r="G200" t="s">
        <v>20</v>
      </c>
      <c r="H200" t="s">
        <v>21</v>
      </c>
      <c r="I200" t="s">
        <v>70</v>
      </c>
      <c r="J200" t="s">
        <v>23</v>
      </c>
      <c r="K200">
        <v>1329</v>
      </c>
      <c r="L200">
        <v>84.389747400000005</v>
      </c>
      <c r="M200">
        <v>36.474757444831589</v>
      </c>
      <c r="N200">
        <v>0.24128144994208139</v>
      </c>
      <c r="O200" s="1" t="str">
        <f>HYPERLINK(".\sm_car_240930_0021\sm_car_240930_0021_199_Ca184TrN_MaSKD_ode23t_1.png","figure")</f>
        <v>figure</v>
      </c>
      <c r="P200" t="s">
        <v>15</v>
      </c>
    </row>
    <row r="201" spans="1:16" x14ac:dyDescent="0.25">
      <c r="A201">
        <v>200</v>
      </c>
      <c r="B201">
        <v>184</v>
      </c>
      <c r="C201" t="s">
        <v>105</v>
      </c>
      <c r="D201" t="s">
        <v>106</v>
      </c>
      <c r="E201" t="s">
        <v>49</v>
      </c>
      <c r="F201" t="s">
        <v>19</v>
      </c>
      <c r="G201" t="s">
        <v>20</v>
      </c>
      <c r="H201" t="s">
        <v>21</v>
      </c>
      <c r="I201" t="s">
        <v>71</v>
      </c>
      <c r="J201" t="s">
        <v>23</v>
      </c>
      <c r="K201">
        <v>629</v>
      </c>
      <c r="L201">
        <v>37.747942799999997</v>
      </c>
      <c r="M201">
        <v>12.325471223045373</v>
      </c>
      <c r="N201">
        <v>21.750874056949584</v>
      </c>
      <c r="O201" s="1" t="str">
        <f>HYPERLINK(".\sm_car_240930_0021\sm_car_240930_0021_200_Ca184TrN_MaRAD_ode23t_1.png","figure")</f>
        <v>figure</v>
      </c>
      <c r="P201" t="s">
        <v>15</v>
      </c>
    </row>
    <row r="202" spans="1:16" x14ac:dyDescent="0.25">
      <c r="A202">
        <v>201</v>
      </c>
      <c r="B202">
        <v>198</v>
      </c>
      <c r="C202" t="s">
        <v>105</v>
      </c>
      <c r="D202" t="s">
        <v>106</v>
      </c>
      <c r="E202" t="s">
        <v>108</v>
      </c>
      <c r="F202" t="s">
        <v>19</v>
      </c>
      <c r="G202" t="s">
        <v>20</v>
      </c>
      <c r="H202" t="s">
        <v>21</v>
      </c>
      <c r="I202" t="s">
        <v>70</v>
      </c>
      <c r="J202" t="s">
        <v>23</v>
      </c>
      <c r="K202">
        <v>1426</v>
      </c>
      <c r="L202">
        <v>50.790736799999998</v>
      </c>
      <c r="M202">
        <v>36.482083482997133</v>
      </c>
      <c r="N202">
        <v>0.24088302911073864</v>
      </c>
      <c r="O202" s="1" t="str">
        <f>HYPERLINK(".\sm_car_240930_0021\sm_car_240930_0021_201_Ca198TrN_MaSKD_ode23t_1.png","figure")</f>
        <v>figure</v>
      </c>
      <c r="P202" t="s">
        <v>15</v>
      </c>
    </row>
    <row r="203" spans="1:16" x14ac:dyDescent="0.25">
      <c r="A203">
        <v>202</v>
      </c>
      <c r="B203">
        <v>198</v>
      </c>
      <c r="C203" t="s">
        <v>105</v>
      </c>
      <c r="D203" t="s">
        <v>106</v>
      </c>
      <c r="E203" t="s">
        <v>108</v>
      </c>
      <c r="F203" t="s">
        <v>19</v>
      </c>
      <c r="G203" t="s">
        <v>20</v>
      </c>
      <c r="H203" t="s">
        <v>21</v>
      </c>
      <c r="I203" t="s">
        <v>71</v>
      </c>
      <c r="J203" t="s">
        <v>23</v>
      </c>
      <c r="K203">
        <v>669</v>
      </c>
      <c r="L203">
        <v>22.974853700000001</v>
      </c>
      <c r="M203">
        <v>12.311551763316782</v>
      </c>
      <c r="N203">
        <v>21.706447534656252</v>
      </c>
      <c r="O203" s="1" t="str">
        <f>HYPERLINK(".\sm_car_240930_0021\sm_car_240930_0021_202_Ca198TrN_MaRAD_ode23t_1.png","figure")</f>
        <v>figure</v>
      </c>
      <c r="P203" t="s">
        <v>15</v>
      </c>
    </row>
    <row r="204" spans="1:16" x14ac:dyDescent="0.25">
      <c r="A204">
        <v>203</v>
      </c>
      <c r="B204">
        <v>156</v>
      </c>
      <c r="C204" t="s">
        <v>45</v>
      </c>
      <c r="D204" t="s">
        <v>17</v>
      </c>
      <c r="E204" t="s">
        <v>18</v>
      </c>
      <c r="F204" t="s">
        <v>19</v>
      </c>
      <c r="G204" t="s">
        <v>38</v>
      </c>
      <c r="H204" t="s">
        <v>21</v>
      </c>
      <c r="I204" t="s">
        <v>54</v>
      </c>
      <c r="J204" t="s">
        <v>23</v>
      </c>
      <c r="K204">
        <v>27230</v>
      </c>
      <c r="L204">
        <v>653.2909171</v>
      </c>
      <c r="M204">
        <v>19.987015018773761</v>
      </c>
      <c r="N204">
        <v>3.2657087382420533</v>
      </c>
      <c r="O204" s="1" t="str">
        <f>HYPERLINK(".\sm_car_240930_0021\sm_car_240930_0021_203_Ca156TrN_MaIPA_ode23t.png","figure")</f>
        <v>figure</v>
      </c>
      <c r="P204" t="s">
        <v>15</v>
      </c>
    </row>
    <row r="205" spans="1:16" x14ac:dyDescent="0.25">
      <c r="A205">
        <v>204</v>
      </c>
      <c r="B205">
        <v>130</v>
      </c>
      <c r="C205" t="s">
        <v>16</v>
      </c>
      <c r="D205" t="s">
        <v>17</v>
      </c>
      <c r="E205" t="s">
        <v>18</v>
      </c>
      <c r="F205" t="s">
        <v>19</v>
      </c>
      <c r="G205" t="s">
        <v>38</v>
      </c>
      <c r="H205" t="s">
        <v>21</v>
      </c>
      <c r="I205" t="s">
        <v>54</v>
      </c>
      <c r="J205" t="s">
        <v>23</v>
      </c>
      <c r="K205">
        <v>18934</v>
      </c>
      <c r="L205">
        <v>413.4314359</v>
      </c>
      <c r="M205">
        <v>16.627893970180288</v>
      </c>
      <c r="N205">
        <v>0.60008697507214281</v>
      </c>
      <c r="O205" s="1" t="str">
        <f>HYPERLINK(".\sm_car_240930_0021\sm_car_240930_0021_204_Ca130TrN_MaIPA_ode23t.png","figure")</f>
        <v>figure</v>
      </c>
      <c r="P205" t="s">
        <v>15</v>
      </c>
    </row>
    <row r="206" spans="1:16" x14ac:dyDescent="0.25">
      <c r="A206">
        <v>205</v>
      </c>
      <c r="B206">
        <v>171</v>
      </c>
      <c r="C206" t="s">
        <v>45</v>
      </c>
      <c r="D206" t="s">
        <v>17</v>
      </c>
      <c r="E206" t="s">
        <v>72</v>
      </c>
      <c r="F206" t="s">
        <v>19</v>
      </c>
      <c r="G206" t="s">
        <v>26</v>
      </c>
      <c r="H206" t="s">
        <v>21</v>
      </c>
      <c r="I206" t="s">
        <v>73</v>
      </c>
      <c r="J206" t="s">
        <v>23</v>
      </c>
      <c r="K206">
        <v>1355</v>
      </c>
      <c r="L206">
        <v>31.5696729</v>
      </c>
      <c r="M206">
        <v>347.20778335411956</v>
      </c>
      <c r="N206">
        <v>0.73145608070206924</v>
      </c>
      <c r="O206" s="1" t="str">
        <f>HYPERLINK(".\sm_car_240930_0021\sm_car_240930_0021_205_Ca171TrN_MaRDP_ode23t_1.png","figure")</f>
        <v>figure</v>
      </c>
      <c r="P206" t="s">
        <v>15</v>
      </c>
    </row>
    <row r="207" spans="1:16" x14ac:dyDescent="0.25">
      <c r="A207">
        <v>206</v>
      </c>
      <c r="B207">
        <v>172</v>
      </c>
      <c r="C207" t="s">
        <v>46</v>
      </c>
      <c r="D207" t="s">
        <v>17</v>
      </c>
      <c r="E207" t="s">
        <v>72</v>
      </c>
      <c r="F207" t="s">
        <v>19</v>
      </c>
      <c r="G207" t="s">
        <v>26</v>
      </c>
      <c r="H207" t="s">
        <v>21</v>
      </c>
      <c r="I207" t="s">
        <v>73</v>
      </c>
      <c r="J207" t="s">
        <v>23</v>
      </c>
      <c r="K207">
        <v>1358</v>
      </c>
      <c r="L207">
        <v>16.935465600000001</v>
      </c>
      <c r="M207">
        <v>144.09868481879104</v>
      </c>
      <c r="N207">
        <v>3.6001086423006722E-2</v>
      </c>
      <c r="O207" s="1" t="str">
        <f>HYPERLINK(".\sm_car_240930_0021\sm_car_240930_0021_206_Ca172TrN_MaRDP_ode23t_1.png","figure")</f>
        <v>figure</v>
      </c>
      <c r="P207" t="s">
        <v>15</v>
      </c>
    </row>
    <row r="208" spans="1:16" x14ac:dyDescent="0.25">
      <c r="A208">
        <v>207</v>
      </c>
      <c r="B208">
        <v>139</v>
      </c>
      <c r="C208" t="s">
        <v>45</v>
      </c>
      <c r="D208" t="s">
        <v>17</v>
      </c>
      <c r="E208" t="s">
        <v>18</v>
      </c>
      <c r="F208" t="s">
        <v>19</v>
      </c>
      <c r="G208" t="s">
        <v>26</v>
      </c>
      <c r="H208" t="s">
        <v>21</v>
      </c>
      <c r="I208" t="s">
        <v>74</v>
      </c>
      <c r="J208" t="s">
        <v>23</v>
      </c>
      <c r="K208">
        <v>1427</v>
      </c>
      <c r="L208">
        <v>25.101471400000001</v>
      </c>
      <c r="M208">
        <v>371.39245661294166</v>
      </c>
      <c r="N208">
        <v>0.79955812398063275</v>
      </c>
      <c r="O208" s="1" t="str">
        <f>HYPERLINK(".\sm_car_240930_0021\sm_car_240930_0021_207_Ca139TrN_MaZPL_ode23t_1.png","figure")</f>
        <v>figure</v>
      </c>
      <c r="P208" t="s">
        <v>15</v>
      </c>
    </row>
    <row r="209" spans="1:16" x14ac:dyDescent="0.25">
      <c r="A209">
        <v>208</v>
      </c>
      <c r="B209">
        <v>165</v>
      </c>
      <c r="C209" t="s">
        <v>45</v>
      </c>
      <c r="D209" t="s">
        <v>35</v>
      </c>
      <c r="E209" t="s">
        <v>49</v>
      </c>
      <c r="F209" t="s">
        <v>19</v>
      </c>
      <c r="G209" t="s">
        <v>26</v>
      </c>
      <c r="H209" t="s">
        <v>21</v>
      </c>
      <c r="I209" t="s">
        <v>74</v>
      </c>
      <c r="J209" t="s">
        <v>23</v>
      </c>
      <c r="K209">
        <v>2105</v>
      </c>
      <c r="L209">
        <v>15.7384799</v>
      </c>
      <c r="M209">
        <v>397.51465881880523</v>
      </c>
      <c r="N209">
        <v>0.33443409297635462</v>
      </c>
      <c r="O209" s="1" t="str">
        <f>HYPERLINK(".\sm_car_240930_0021\sm_car_240930_0021_208_Ca165TrN_MaZPL_ode23t_1.png","figure")</f>
        <v>figure</v>
      </c>
      <c r="P209" t="s">
        <v>15</v>
      </c>
    </row>
    <row r="210" spans="1:16" x14ac:dyDescent="0.25">
      <c r="A210">
        <v>209</v>
      </c>
      <c r="B210">
        <v>171</v>
      </c>
      <c r="C210" t="s">
        <v>45</v>
      </c>
      <c r="D210" t="s">
        <v>17</v>
      </c>
      <c r="E210" t="s">
        <v>72</v>
      </c>
      <c r="F210" t="s">
        <v>19</v>
      </c>
      <c r="G210" t="s">
        <v>26</v>
      </c>
      <c r="H210" t="s">
        <v>21</v>
      </c>
      <c r="I210" t="s">
        <v>74</v>
      </c>
      <c r="J210" t="s">
        <v>23</v>
      </c>
      <c r="K210">
        <v>1434</v>
      </c>
      <c r="L210">
        <v>33.109081500000002</v>
      </c>
      <c r="M210">
        <v>371.17467872685876</v>
      </c>
      <c r="N210">
        <v>0.80396514803508068</v>
      </c>
      <c r="O210" s="1" t="str">
        <f>HYPERLINK(".\sm_car_240930_0021\sm_car_240930_0021_209_Ca171TrN_MaZPL_ode23t_1.png","figure")</f>
        <v>figure</v>
      </c>
      <c r="P210" t="s">
        <v>15</v>
      </c>
    </row>
    <row r="211" spans="1:16" x14ac:dyDescent="0.25">
      <c r="A211">
        <v>210</v>
      </c>
      <c r="B211">
        <v>165</v>
      </c>
      <c r="C211" t="s">
        <v>45</v>
      </c>
      <c r="D211" t="s">
        <v>35</v>
      </c>
      <c r="E211" t="s">
        <v>49</v>
      </c>
      <c r="F211" t="s">
        <v>19</v>
      </c>
      <c r="G211" t="s">
        <v>26</v>
      </c>
      <c r="H211" t="s">
        <v>21</v>
      </c>
      <c r="I211" t="s">
        <v>75</v>
      </c>
      <c r="J211" t="s">
        <v>23</v>
      </c>
      <c r="K211">
        <v>519</v>
      </c>
      <c r="L211">
        <v>7.3539995999999999</v>
      </c>
      <c r="M211">
        <v>378.1753822341725</v>
      </c>
      <c r="N211">
        <v>0.32183513089324894</v>
      </c>
      <c r="O211" s="1" t="str">
        <f>HYPERLINK(".\sm_car_240930_0021\sm_car_240930_0021_210_Ca165TrN_MaCPL_ode23t_1.png","figure")</f>
        <v>figure</v>
      </c>
      <c r="P211" t="s">
        <v>15</v>
      </c>
    </row>
    <row r="212" spans="1:16" x14ac:dyDescent="0.25">
      <c r="A212">
        <v>211</v>
      </c>
      <c r="B212">
        <v>171</v>
      </c>
      <c r="C212" t="s">
        <v>45</v>
      </c>
      <c r="D212" t="s">
        <v>17</v>
      </c>
      <c r="E212" t="s">
        <v>72</v>
      </c>
      <c r="F212" t="s">
        <v>19</v>
      </c>
      <c r="G212" t="s">
        <v>26</v>
      </c>
      <c r="H212" t="s">
        <v>21</v>
      </c>
      <c r="I212" t="s">
        <v>75</v>
      </c>
      <c r="J212" t="s">
        <v>23</v>
      </c>
      <c r="K212">
        <v>402</v>
      </c>
      <c r="L212">
        <v>21.730360600000001</v>
      </c>
      <c r="M212">
        <v>347.5189038300245</v>
      </c>
      <c r="N212">
        <v>0.74017224130264525</v>
      </c>
      <c r="O212" s="1" t="str">
        <f>HYPERLINK(".\sm_car_240930_0021\sm_car_240930_0021_211_Ca171TrN_MaCPL_ode23t_1.png","figure")</f>
        <v>figure</v>
      </c>
      <c r="P212" t="s">
        <v>15</v>
      </c>
    </row>
    <row r="213" spans="1:16" x14ac:dyDescent="0.25">
      <c r="A213">
        <v>212</v>
      </c>
      <c r="B213">
        <v>171</v>
      </c>
      <c r="C213" t="s">
        <v>45</v>
      </c>
      <c r="D213" t="s">
        <v>17</v>
      </c>
      <c r="E213" t="s">
        <v>72</v>
      </c>
      <c r="F213" t="s">
        <v>19</v>
      </c>
      <c r="G213" t="s">
        <v>26</v>
      </c>
      <c r="H213" t="s">
        <v>21</v>
      </c>
      <c r="I213" t="s">
        <v>76</v>
      </c>
      <c r="J213" t="s">
        <v>23</v>
      </c>
      <c r="K213">
        <v>2432</v>
      </c>
      <c r="L213">
        <v>61.159168600000001</v>
      </c>
      <c r="M213">
        <v>152.46435922129751</v>
      </c>
      <c r="N213">
        <v>1.9393841910814605E-3</v>
      </c>
      <c r="O213" s="1" t="str">
        <f>HYPERLINK(".\sm_car_240930_0021\sm_car_240930_0021_212_Ca171TrN_MaRDR_ode23t_1.png","figure")</f>
        <v>figure</v>
      </c>
      <c r="P213" t="s">
        <v>15</v>
      </c>
    </row>
    <row r="214" spans="1:16" x14ac:dyDescent="0.25">
      <c r="A214">
        <v>213</v>
      </c>
      <c r="B214">
        <v>172</v>
      </c>
      <c r="C214" t="s">
        <v>46</v>
      </c>
      <c r="D214" t="s">
        <v>17</v>
      </c>
      <c r="E214" t="s">
        <v>72</v>
      </c>
      <c r="F214" t="s">
        <v>19</v>
      </c>
      <c r="G214" t="s">
        <v>26</v>
      </c>
      <c r="H214" t="s">
        <v>21</v>
      </c>
      <c r="I214" t="s">
        <v>76</v>
      </c>
      <c r="J214" t="s">
        <v>23</v>
      </c>
      <c r="K214">
        <v>2822</v>
      </c>
      <c r="L214">
        <v>40.805020499999998</v>
      </c>
      <c r="M214">
        <v>146.53862357025255</v>
      </c>
      <c r="N214">
        <v>-4.7704055743526558E-3</v>
      </c>
      <c r="O214" s="1" t="str">
        <f>HYPERLINK(".\sm_car_240930_0021\sm_car_240930_0021_213_Ca172TrN_MaRDR_ode23t_1.png","figure")</f>
        <v>figure</v>
      </c>
      <c r="P214" t="s">
        <v>15</v>
      </c>
    </row>
    <row r="215" spans="1:16" x14ac:dyDescent="0.25">
      <c r="A215">
        <v>214</v>
      </c>
      <c r="B215">
        <v>139</v>
      </c>
      <c r="C215" t="s">
        <v>45</v>
      </c>
      <c r="D215" t="s">
        <v>17</v>
      </c>
      <c r="E215" t="s">
        <v>18</v>
      </c>
      <c r="F215" t="s">
        <v>19</v>
      </c>
      <c r="G215" t="s">
        <v>26</v>
      </c>
      <c r="H215" t="s">
        <v>21</v>
      </c>
      <c r="I215" t="s">
        <v>77</v>
      </c>
      <c r="J215" t="s">
        <v>23</v>
      </c>
      <c r="K215">
        <v>2890</v>
      </c>
      <c r="L215">
        <v>54.6503686</v>
      </c>
      <c r="M215">
        <v>176.57606659787592</v>
      </c>
      <c r="N215">
        <v>8.6790348301413135E-4</v>
      </c>
      <c r="O215" s="1" t="str">
        <f>HYPERLINK(".\sm_car_240930_0021\sm_car_240930_0021_214_Ca139TrN_MaZRR_ode23t_1.png","figure")</f>
        <v>figure</v>
      </c>
      <c r="P215" t="s">
        <v>15</v>
      </c>
    </row>
    <row r="216" spans="1:16" x14ac:dyDescent="0.25">
      <c r="A216">
        <v>215</v>
      </c>
      <c r="B216">
        <v>165</v>
      </c>
      <c r="C216" t="s">
        <v>45</v>
      </c>
      <c r="D216" t="s">
        <v>35</v>
      </c>
      <c r="E216" t="s">
        <v>49</v>
      </c>
      <c r="F216" t="s">
        <v>19</v>
      </c>
      <c r="G216" t="s">
        <v>26</v>
      </c>
      <c r="H216" t="s">
        <v>21</v>
      </c>
      <c r="I216" t="s">
        <v>77</v>
      </c>
      <c r="J216" t="s">
        <v>23</v>
      </c>
      <c r="K216">
        <v>3571</v>
      </c>
      <c r="L216">
        <v>36.092856699999999</v>
      </c>
      <c r="M216">
        <v>176.85006417202214</v>
      </c>
      <c r="N216">
        <v>8.1391527936827888E-5</v>
      </c>
      <c r="O216" s="1" t="str">
        <f>HYPERLINK(".\sm_car_240930_0021\sm_car_240930_0021_215_Ca165TrN_MaZRR_ode23t_1.png","figure")</f>
        <v>figure</v>
      </c>
      <c r="P216" t="s">
        <v>15</v>
      </c>
    </row>
    <row r="217" spans="1:16" x14ac:dyDescent="0.25">
      <c r="A217">
        <v>216</v>
      </c>
      <c r="B217">
        <v>171</v>
      </c>
      <c r="C217" t="s">
        <v>45</v>
      </c>
      <c r="D217" t="s">
        <v>17</v>
      </c>
      <c r="E217" t="s">
        <v>72</v>
      </c>
      <c r="F217" t="s">
        <v>19</v>
      </c>
      <c r="G217" t="s">
        <v>26</v>
      </c>
      <c r="H217" t="s">
        <v>21</v>
      </c>
      <c r="I217" t="s">
        <v>77</v>
      </c>
      <c r="J217" t="s">
        <v>23</v>
      </c>
      <c r="K217">
        <v>2922</v>
      </c>
      <c r="L217">
        <v>75.704864099999995</v>
      </c>
      <c r="M217">
        <v>176.5857622125892</v>
      </c>
      <c r="N217">
        <v>8.6417246548595346E-4</v>
      </c>
      <c r="O217" s="1" t="str">
        <f>HYPERLINK(".\sm_car_240930_0021\sm_car_240930_0021_216_Ca171TrN_MaZRR_ode23t_1.png","figure")</f>
        <v>figure</v>
      </c>
      <c r="P217" t="s">
        <v>15</v>
      </c>
    </row>
    <row r="218" spans="1:16" x14ac:dyDescent="0.25">
      <c r="A218">
        <v>217</v>
      </c>
      <c r="B218">
        <v>170</v>
      </c>
      <c r="C218" t="s">
        <v>45</v>
      </c>
      <c r="D218" t="s">
        <v>35</v>
      </c>
      <c r="E218" t="s">
        <v>49</v>
      </c>
      <c r="F218" t="s">
        <v>19</v>
      </c>
      <c r="G218" t="s">
        <v>20</v>
      </c>
      <c r="H218" t="s">
        <v>21</v>
      </c>
      <c r="I218" t="s">
        <v>78</v>
      </c>
      <c r="J218" t="s">
        <v>23</v>
      </c>
      <c r="K218">
        <v>5049</v>
      </c>
      <c r="L218">
        <v>31.164555799999999</v>
      </c>
      <c r="M218">
        <v>-5.998027096537502</v>
      </c>
      <c r="N218">
        <v>2.9466562029409693E-3</v>
      </c>
      <c r="O218" s="1" t="str">
        <f>HYPERLINK(".\sm_car_240930_0021\sm_car_240930_0021_217_Ca170TrN_MaCMP_ode23t_1.png","figure")</f>
        <v>figure</v>
      </c>
      <c r="P218" t="s">
        <v>15</v>
      </c>
    </row>
    <row r="219" spans="1:16" x14ac:dyDescent="0.25">
      <c r="A219">
        <v>218</v>
      </c>
      <c r="B219">
        <v>170</v>
      </c>
      <c r="C219" t="s">
        <v>45</v>
      </c>
      <c r="D219" t="s">
        <v>35</v>
      </c>
      <c r="E219" t="s">
        <v>49</v>
      </c>
      <c r="F219" t="s">
        <v>19</v>
      </c>
      <c r="G219" t="s">
        <v>20</v>
      </c>
      <c r="H219" t="s">
        <v>21</v>
      </c>
      <c r="I219" t="s">
        <v>79</v>
      </c>
      <c r="J219" t="s">
        <v>23</v>
      </c>
      <c r="K219">
        <v>1826</v>
      </c>
      <c r="L219">
        <v>20.750860500000002</v>
      </c>
      <c r="M219">
        <v>-5.9920390120190694</v>
      </c>
      <c r="N219">
        <v>2.8562059678171308E-3</v>
      </c>
      <c r="O219" s="1" t="str">
        <f>HYPERLINK(".\sm_car_240930_0021\sm_car_240930_0021_218_Ca170TrN_MaCMF_ode23t_1.png","figure")</f>
        <v>figure</v>
      </c>
      <c r="P219" t="s">
        <v>15</v>
      </c>
    </row>
    <row r="220" spans="1:16" x14ac:dyDescent="0.25">
      <c r="A220">
        <v>219</v>
      </c>
      <c r="B220">
        <v>170</v>
      </c>
      <c r="C220" t="s">
        <v>45</v>
      </c>
      <c r="D220" t="s">
        <v>35</v>
      </c>
      <c r="E220" t="s">
        <v>49</v>
      </c>
      <c r="F220" t="s">
        <v>19</v>
      </c>
      <c r="G220" t="s">
        <v>20</v>
      </c>
      <c r="H220" t="s">
        <v>21</v>
      </c>
      <c r="I220" t="s">
        <v>80</v>
      </c>
      <c r="J220" t="s">
        <v>23</v>
      </c>
      <c r="K220">
        <v>4625</v>
      </c>
      <c r="L220">
        <v>69.0901152</v>
      </c>
      <c r="M220">
        <v>-329.53437222487264</v>
      </c>
      <c r="N220">
        <v>6.1280936700903688</v>
      </c>
      <c r="O220" s="1" t="str">
        <f>HYPERLINK(".\sm_car_240930_0021\sm_car_240930_0021_219_Ca170TrN_MaMPO_ode23t_1.png","figure")</f>
        <v>figure</v>
      </c>
      <c r="P220" t="s">
        <v>15</v>
      </c>
    </row>
    <row r="221" spans="1:16" x14ac:dyDescent="0.25">
      <c r="A221">
        <v>220</v>
      </c>
      <c r="B221">
        <v>170</v>
      </c>
      <c r="C221" t="s">
        <v>45</v>
      </c>
      <c r="D221" t="s">
        <v>35</v>
      </c>
      <c r="E221" t="s">
        <v>49</v>
      </c>
      <c r="F221" t="s">
        <v>19</v>
      </c>
      <c r="G221" t="s">
        <v>20</v>
      </c>
      <c r="H221" t="s">
        <v>21</v>
      </c>
      <c r="I221" t="s">
        <v>81</v>
      </c>
      <c r="J221" t="s">
        <v>23</v>
      </c>
      <c r="K221">
        <v>1205</v>
      </c>
      <c r="L221">
        <v>19.5958048</v>
      </c>
      <c r="M221">
        <v>-13.871169011907341</v>
      </c>
      <c r="N221">
        <v>0.22234753972321641</v>
      </c>
      <c r="O221" s="1" t="str">
        <f>HYPERLINK(".\sm_car_240930_0021\sm_car_240930_0021_220_Ca170TrN_MaMCI_ode23t_1.png","figure")</f>
        <v>figure</v>
      </c>
      <c r="P221" t="s">
        <v>15</v>
      </c>
    </row>
    <row r="222" spans="1:16" x14ac:dyDescent="0.25">
      <c r="A222">
        <v>221</v>
      </c>
      <c r="B222">
        <v>170</v>
      </c>
      <c r="C222" t="s">
        <v>45</v>
      </c>
      <c r="D222" t="s">
        <v>35</v>
      </c>
      <c r="E222" t="s">
        <v>49</v>
      </c>
      <c r="F222" t="s">
        <v>19</v>
      </c>
      <c r="G222" t="s">
        <v>20</v>
      </c>
      <c r="H222" t="s">
        <v>21</v>
      </c>
      <c r="I222" t="s">
        <v>111</v>
      </c>
      <c r="J222" t="s">
        <v>23</v>
      </c>
      <c r="K222">
        <v>5969</v>
      </c>
      <c r="L222">
        <v>34.344272500000002</v>
      </c>
      <c r="M222">
        <v>-5.9989230372552775</v>
      </c>
      <c r="N222">
        <v>-4.4794502547011424E-3</v>
      </c>
      <c r="O222" s="1" t="str">
        <f>HYPERLINK(".\sm_car_240930_0021\sm_car_240930_0021_221_Ca170TrN_MaCHO_ode23t_1.png","figure")</f>
        <v>figure</v>
      </c>
      <c r="P222" t="s">
        <v>15</v>
      </c>
    </row>
    <row r="223" spans="1:16" x14ac:dyDescent="0.25">
      <c r="A223">
        <v>222</v>
      </c>
      <c r="B223">
        <v>170</v>
      </c>
      <c r="C223" t="s">
        <v>45</v>
      </c>
      <c r="D223" t="s">
        <v>35</v>
      </c>
      <c r="E223" t="s">
        <v>49</v>
      </c>
      <c r="F223" t="s">
        <v>19</v>
      </c>
      <c r="G223" t="s">
        <v>20</v>
      </c>
      <c r="H223" t="s">
        <v>21</v>
      </c>
      <c r="I223" t="s">
        <v>112</v>
      </c>
      <c r="J223" t="s">
        <v>23</v>
      </c>
      <c r="K223">
        <v>3424</v>
      </c>
      <c r="L223">
        <v>32.075519900000003</v>
      </c>
      <c r="M223">
        <v>-5.9587863014455085</v>
      </c>
      <c r="N223">
        <v>-4.5990417778347063E-3</v>
      </c>
      <c r="O223" s="1" t="str">
        <f>HYPERLINK(".\sm_car_240930_0021\sm_car_240930_0021_222_Ca170TrN_MaCHF_ode23t_1.png","figure")</f>
        <v>figure</v>
      </c>
      <c r="P223" t="s">
        <v>15</v>
      </c>
    </row>
    <row r="224" spans="1:16" x14ac:dyDescent="0.25">
      <c r="A224">
        <v>223</v>
      </c>
      <c r="B224">
        <v>170</v>
      </c>
      <c r="C224" t="s">
        <v>45</v>
      </c>
      <c r="D224" t="s">
        <v>35</v>
      </c>
      <c r="E224" t="s">
        <v>49</v>
      </c>
      <c r="F224" t="s">
        <v>19</v>
      </c>
      <c r="G224" t="s">
        <v>20</v>
      </c>
      <c r="H224" t="s">
        <v>21</v>
      </c>
      <c r="I224" t="s">
        <v>82</v>
      </c>
      <c r="J224" t="s">
        <v>23</v>
      </c>
      <c r="K224">
        <v>7103</v>
      </c>
      <c r="L224">
        <v>51.277969800000001</v>
      </c>
      <c r="M224">
        <v>-752.11369889467642</v>
      </c>
      <c r="N224">
        <v>628.45176989008257</v>
      </c>
      <c r="O224" s="1" t="str">
        <f>HYPERLINK(".\sm_car_240930_0021\sm_car_240930_0021_223_Ca170TrN_MaCKY_ode23t_1.png","figure")</f>
        <v>figure</v>
      </c>
      <c r="P224" t="s">
        <v>15</v>
      </c>
    </row>
    <row r="225" spans="1:16" x14ac:dyDescent="0.25">
      <c r="A225">
        <v>224</v>
      </c>
      <c r="B225">
        <v>170</v>
      </c>
      <c r="C225" t="s">
        <v>45</v>
      </c>
      <c r="D225" t="s">
        <v>35</v>
      </c>
      <c r="E225" t="s">
        <v>49</v>
      </c>
      <c r="F225" t="s">
        <v>19</v>
      </c>
      <c r="G225" t="s">
        <v>20</v>
      </c>
      <c r="H225" t="s">
        <v>21</v>
      </c>
      <c r="I225" t="s">
        <v>83</v>
      </c>
      <c r="J225" t="s">
        <v>23</v>
      </c>
      <c r="K225">
        <v>2128</v>
      </c>
      <c r="L225">
        <v>25.392019699999999</v>
      </c>
      <c r="M225">
        <v>-758.74729294075007</v>
      </c>
      <c r="N225">
        <v>632.74571172841343</v>
      </c>
      <c r="O225" s="1" t="str">
        <f>HYPERLINK(".\sm_car_240930_0021\sm_car_240930_0021_224_Ca170TrN_MaCKF_ode23t_1.png","figure")</f>
        <v>figure</v>
      </c>
      <c r="P225" t="s">
        <v>15</v>
      </c>
    </row>
    <row r="226" spans="1:16" x14ac:dyDescent="0.25">
      <c r="A226">
        <v>225</v>
      </c>
      <c r="B226">
        <v>170</v>
      </c>
      <c r="C226" t="s">
        <v>45</v>
      </c>
      <c r="D226" t="s">
        <v>35</v>
      </c>
      <c r="E226" t="s">
        <v>49</v>
      </c>
      <c r="F226" t="s">
        <v>19</v>
      </c>
      <c r="G226" t="s">
        <v>20</v>
      </c>
      <c r="H226" t="s">
        <v>21</v>
      </c>
      <c r="I226" t="s">
        <v>84</v>
      </c>
      <c r="J226" t="s">
        <v>23</v>
      </c>
      <c r="K226">
        <v>2830</v>
      </c>
      <c r="L226">
        <v>29.2993782</v>
      </c>
      <c r="M226">
        <v>177.34596455720714</v>
      </c>
      <c r="N226">
        <v>288.25318686717759</v>
      </c>
      <c r="O226" s="1" t="str">
        <f>HYPERLINK(".\sm_car_240930_0021\sm_car_240930_0021_225_Ca170TrN_MaCNN_ode23t_1.png","figure")</f>
        <v>figure</v>
      </c>
      <c r="P226" t="s">
        <v>15</v>
      </c>
    </row>
    <row r="227" spans="1:16" x14ac:dyDescent="0.25">
      <c r="A227">
        <v>226</v>
      </c>
      <c r="B227">
        <v>170</v>
      </c>
      <c r="C227" t="s">
        <v>45</v>
      </c>
      <c r="D227" t="s">
        <v>35</v>
      </c>
      <c r="E227" t="s">
        <v>49</v>
      </c>
      <c r="F227" t="s">
        <v>19</v>
      </c>
      <c r="G227" t="s">
        <v>20</v>
      </c>
      <c r="H227" t="s">
        <v>21</v>
      </c>
      <c r="I227" t="s">
        <v>85</v>
      </c>
      <c r="J227" t="s">
        <v>23</v>
      </c>
      <c r="K227">
        <v>4320</v>
      </c>
      <c r="L227">
        <v>114.7596255</v>
      </c>
      <c r="M227">
        <v>2994.875288185623</v>
      </c>
      <c r="N227">
        <v>-3064.8914132253813</v>
      </c>
      <c r="O227" s="1" t="str">
        <f>HYPERLINK(".\sm_car_240930_0021\sm_car_240930_0021_226_Ca170TrN_MaCNF_ode23t_1.png","figure")</f>
        <v>figure</v>
      </c>
      <c r="P227" t="s">
        <v>15</v>
      </c>
    </row>
    <row r="228" spans="1:16" x14ac:dyDescent="0.25">
      <c r="A228">
        <v>227</v>
      </c>
      <c r="B228">
        <v>170</v>
      </c>
      <c r="C228" t="s">
        <v>45</v>
      </c>
      <c r="D228" t="s">
        <v>35</v>
      </c>
      <c r="E228" t="s">
        <v>49</v>
      </c>
      <c r="F228" t="s">
        <v>19</v>
      </c>
      <c r="G228" t="s">
        <v>20</v>
      </c>
      <c r="H228" t="s">
        <v>21</v>
      </c>
      <c r="I228" t="s">
        <v>86</v>
      </c>
      <c r="J228" t="s">
        <v>23</v>
      </c>
      <c r="K228">
        <v>2949</v>
      </c>
      <c r="L228">
        <v>25.894187500000001</v>
      </c>
      <c r="M228">
        <v>522.24280149038191</v>
      </c>
      <c r="N228">
        <v>-164.32938028134686</v>
      </c>
      <c r="O228" s="1" t="str">
        <f>HYPERLINK(".\sm_car_240930_0021\sm_car_240930_0021_227_Ca170TrN_MaCSZ_ode23t_1.png","figure")</f>
        <v>figure</v>
      </c>
      <c r="P228" t="s">
        <v>15</v>
      </c>
    </row>
    <row r="229" spans="1:16" x14ac:dyDescent="0.25">
      <c r="A229">
        <v>228</v>
      </c>
      <c r="B229">
        <v>170</v>
      </c>
      <c r="C229" t="s">
        <v>45</v>
      </c>
      <c r="D229" t="s">
        <v>35</v>
      </c>
      <c r="E229" t="s">
        <v>49</v>
      </c>
      <c r="F229" t="s">
        <v>19</v>
      </c>
      <c r="G229" t="s">
        <v>20</v>
      </c>
      <c r="H229" t="s">
        <v>21</v>
      </c>
      <c r="I229" t="s">
        <v>87</v>
      </c>
      <c r="J229" t="s">
        <v>23</v>
      </c>
      <c r="K229">
        <v>5688</v>
      </c>
      <c r="L229">
        <v>157.62831030000001</v>
      </c>
      <c r="M229">
        <v>-8.9789545925209389</v>
      </c>
      <c r="N229">
        <v>9.8080131798269181E-3</v>
      </c>
      <c r="O229" s="1" t="str">
        <f>HYPERLINK(".\sm_car_240930_0021\sm_car_240930_0021_228_Ca170TrN_MaCSF_ode23t_1.png","figure")</f>
        <v>figure</v>
      </c>
      <c r="P229" t="s">
        <v>15</v>
      </c>
    </row>
    <row r="230" spans="1:16" x14ac:dyDescent="0.25">
      <c r="A230">
        <v>229</v>
      </c>
      <c r="B230">
        <v>170</v>
      </c>
      <c r="C230" t="s">
        <v>45</v>
      </c>
      <c r="D230" t="s">
        <v>35</v>
      </c>
      <c r="E230" t="s">
        <v>49</v>
      </c>
      <c r="F230" t="s">
        <v>19</v>
      </c>
      <c r="G230" t="s">
        <v>20</v>
      </c>
      <c r="H230" t="s">
        <v>21</v>
      </c>
      <c r="I230" t="s">
        <v>88</v>
      </c>
      <c r="J230" t="s">
        <v>23</v>
      </c>
      <c r="K230">
        <v>2182</v>
      </c>
      <c r="L230">
        <v>30.069491599999999</v>
      </c>
      <c r="M230">
        <v>209.02155194353321</v>
      </c>
      <c r="N230">
        <v>379.24630047922966</v>
      </c>
      <c r="O230" s="1" t="str">
        <f>HYPERLINK(".\sm_car_240930_0021\sm_car_240930_0021_229_Ca170TrN_MaCPU_ode23t_1.png","figure")</f>
        <v>figure</v>
      </c>
      <c r="P230" t="s">
        <v>15</v>
      </c>
    </row>
    <row r="231" spans="1:16" x14ac:dyDescent="0.25">
      <c r="A231">
        <v>230</v>
      </c>
      <c r="B231">
        <v>170</v>
      </c>
      <c r="C231" t="s">
        <v>45</v>
      </c>
      <c r="D231" t="s">
        <v>35</v>
      </c>
      <c r="E231" t="s">
        <v>49</v>
      </c>
      <c r="F231" t="s">
        <v>19</v>
      </c>
      <c r="G231" t="s">
        <v>20</v>
      </c>
      <c r="H231" t="s">
        <v>21</v>
      </c>
      <c r="I231" t="s">
        <v>89</v>
      </c>
      <c r="J231" t="s">
        <v>23</v>
      </c>
      <c r="K231">
        <v>2614</v>
      </c>
      <c r="L231">
        <v>30.3762814</v>
      </c>
      <c r="M231">
        <v>183.03227814165416</v>
      </c>
      <c r="N231">
        <v>-170.24507130401071</v>
      </c>
      <c r="O231" s="1" t="str">
        <f>HYPERLINK(".\sm_car_240930_0021\sm_car_240930_0021_230_Ca170TrN_MaCPD_ode23t_1.png","figure")</f>
        <v>figure</v>
      </c>
      <c r="P231" t="s">
        <v>15</v>
      </c>
    </row>
    <row r="232" spans="1:16" x14ac:dyDescent="0.25">
      <c r="A232">
        <v>231</v>
      </c>
      <c r="B232">
        <v>202</v>
      </c>
      <c r="C232" t="s">
        <v>45</v>
      </c>
      <c r="D232" t="s">
        <v>35</v>
      </c>
      <c r="E232" t="s">
        <v>108</v>
      </c>
      <c r="F232" t="s">
        <v>19</v>
      </c>
      <c r="G232" t="s">
        <v>20</v>
      </c>
      <c r="H232" t="s">
        <v>21</v>
      </c>
      <c r="I232" t="s">
        <v>79</v>
      </c>
      <c r="J232" t="s">
        <v>23</v>
      </c>
      <c r="K232">
        <v>1810</v>
      </c>
      <c r="L232">
        <v>8.2010714999999994</v>
      </c>
      <c r="M232">
        <v>-5.9987543557472085</v>
      </c>
      <c r="N232">
        <v>2.8935227081303447E-3</v>
      </c>
      <c r="O232" s="1" t="str">
        <f>HYPERLINK(".\sm_car_240930_0021\sm_car_240930_0021_231_Ca202TrN_MaCMF_ode23t_1.png","figure")</f>
        <v>figure</v>
      </c>
      <c r="P232" t="s">
        <v>15</v>
      </c>
    </row>
    <row r="233" spans="1:16" x14ac:dyDescent="0.25">
      <c r="A233">
        <v>232</v>
      </c>
      <c r="B233">
        <v>202</v>
      </c>
      <c r="C233" t="s">
        <v>45</v>
      </c>
      <c r="D233" t="s">
        <v>35</v>
      </c>
      <c r="E233" t="s">
        <v>108</v>
      </c>
      <c r="F233" t="s">
        <v>19</v>
      </c>
      <c r="G233" t="s">
        <v>20</v>
      </c>
      <c r="H233" t="s">
        <v>21</v>
      </c>
      <c r="I233" t="s">
        <v>80</v>
      </c>
      <c r="J233" t="s">
        <v>23</v>
      </c>
      <c r="K233">
        <v>4552</v>
      </c>
      <c r="L233">
        <v>41.780518800000003</v>
      </c>
      <c r="M233">
        <v>-329.53019580058924</v>
      </c>
      <c r="N233">
        <v>6.11649025545535</v>
      </c>
      <c r="O233" s="1" t="str">
        <f>HYPERLINK(".\sm_car_240930_0021\sm_car_240930_0021_232_Ca202TrN_MaMPO_ode23t_1.png","figure")</f>
        <v>figure</v>
      </c>
      <c r="P233" t="s">
        <v>15</v>
      </c>
    </row>
    <row r="234" spans="1:16" x14ac:dyDescent="0.25">
      <c r="A234">
        <v>233</v>
      </c>
      <c r="B234">
        <v>202</v>
      </c>
      <c r="C234" t="s">
        <v>45</v>
      </c>
      <c r="D234" t="s">
        <v>35</v>
      </c>
      <c r="E234" t="s">
        <v>108</v>
      </c>
      <c r="F234" t="s">
        <v>19</v>
      </c>
      <c r="G234" t="s">
        <v>20</v>
      </c>
      <c r="H234" t="s">
        <v>21</v>
      </c>
      <c r="I234" t="s">
        <v>81</v>
      </c>
      <c r="J234" t="s">
        <v>23</v>
      </c>
      <c r="K234">
        <v>1194</v>
      </c>
      <c r="L234">
        <v>11.781301600000001</v>
      </c>
      <c r="M234">
        <v>-13.866970476812689</v>
      </c>
      <c r="N234">
        <v>0.22482919657898037</v>
      </c>
      <c r="O234" s="1" t="str">
        <f>HYPERLINK(".\sm_car_240930_0021\sm_car_240930_0021_233_Ca202TrN_MaMCI_ode23t_1.png","figure")</f>
        <v>figure</v>
      </c>
      <c r="P234" t="s">
        <v>15</v>
      </c>
    </row>
    <row r="235" spans="1:16" x14ac:dyDescent="0.25">
      <c r="A235">
        <v>234</v>
      </c>
      <c r="B235">
        <v>202</v>
      </c>
      <c r="C235" t="s">
        <v>45</v>
      </c>
      <c r="D235" t="s">
        <v>35</v>
      </c>
      <c r="E235" t="s">
        <v>108</v>
      </c>
      <c r="F235" t="s">
        <v>19</v>
      </c>
      <c r="G235" t="s">
        <v>20</v>
      </c>
      <c r="H235" t="s">
        <v>21</v>
      </c>
      <c r="I235" t="s">
        <v>83</v>
      </c>
      <c r="J235" t="s">
        <v>23</v>
      </c>
      <c r="K235">
        <v>3608</v>
      </c>
      <c r="L235">
        <v>18.677449599999999</v>
      </c>
      <c r="M235">
        <v>-5.9991555911035883</v>
      </c>
      <c r="N235">
        <v>-7.209211026894302E-3</v>
      </c>
      <c r="O235" s="1" t="str">
        <f>HYPERLINK(".\sm_car_240930_0021\sm_car_240930_0021_234_Ca202TrN_MaCKF_ode23t_1.png","figure")</f>
        <v>figure</v>
      </c>
      <c r="P235" t="s">
        <v>15</v>
      </c>
    </row>
    <row r="236" spans="1:16" x14ac:dyDescent="0.25">
      <c r="A236">
        <v>235</v>
      </c>
      <c r="B236">
        <v>202</v>
      </c>
      <c r="C236" t="s">
        <v>45</v>
      </c>
      <c r="D236" t="s">
        <v>35</v>
      </c>
      <c r="E236" t="s">
        <v>108</v>
      </c>
      <c r="F236" t="s">
        <v>19</v>
      </c>
      <c r="G236" t="s">
        <v>20</v>
      </c>
      <c r="H236" t="s">
        <v>21</v>
      </c>
      <c r="I236" t="s">
        <v>85</v>
      </c>
      <c r="J236" t="s">
        <v>23</v>
      </c>
      <c r="K236">
        <v>10178</v>
      </c>
      <c r="L236">
        <v>185.74527710000001</v>
      </c>
      <c r="M236">
        <v>-8.998968919342536</v>
      </c>
      <c r="N236">
        <v>4.7166466441961707E-2</v>
      </c>
      <c r="O236" s="1" t="str">
        <f>HYPERLINK(".\sm_car_240930_0021\sm_car_240930_0021_235_Ca202TrN_MaCNF_ode23t_1.png","figure")</f>
        <v>figure</v>
      </c>
      <c r="P236" t="s">
        <v>15</v>
      </c>
    </row>
    <row r="237" spans="1:16" x14ac:dyDescent="0.25">
      <c r="A237">
        <v>236</v>
      </c>
      <c r="B237">
        <v>202</v>
      </c>
      <c r="C237" t="s">
        <v>45</v>
      </c>
      <c r="D237" t="s">
        <v>35</v>
      </c>
      <c r="E237" t="s">
        <v>108</v>
      </c>
      <c r="F237" t="s">
        <v>19</v>
      </c>
      <c r="G237" t="s">
        <v>20</v>
      </c>
      <c r="H237" t="s">
        <v>21</v>
      </c>
      <c r="I237" t="s">
        <v>87</v>
      </c>
      <c r="J237" t="s">
        <v>23</v>
      </c>
      <c r="K237">
        <v>5739</v>
      </c>
      <c r="L237">
        <v>93.508731999999995</v>
      </c>
      <c r="M237">
        <v>-8.9941200633326321</v>
      </c>
      <c r="N237">
        <v>1.0176048420826179E-2</v>
      </c>
      <c r="O237" s="1" t="str">
        <f>HYPERLINK(".\sm_car_240930_0021\sm_car_240930_0021_236_Ca202TrN_MaCSF_ode23t_1.png","figure")</f>
        <v>figure</v>
      </c>
      <c r="P237" t="s">
        <v>15</v>
      </c>
    </row>
    <row r="238" spans="1:16" x14ac:dyDescent="0.25">
      <c r="A238">
        <v>237</v>
      </c>
      <c r="B238">
        <v>202</v>
      </c>
      <c r="C238" t="s">
        <v>45</v>
      </c>
      <c r="D238" t="s">
        <v>35</v>
      </c>
      <c r="E238" t="s">
        <v>108</v>
      </c>
      <c r="F238" t="s">
        <v>19</v>
      </c>
      <c r="G238" t="s">
        <v>20</v>
      </c>
      <c r="H238" t="s">
        <v>21</v>
      </c>
      <c r="I238" t="s">
        <v>78</v>
      </c>
      <c r="J238" t="s">
        <v>23</v>
      </c>
      <c r="K238">
        <v>5527</v>
      </c>
      <c r="L238">
        <v>37.003177800000003</v>
      </c>
      <c r="M238">
        <v>-5.9983823080028316</v>
      </c>
      <c r="N238">
        <v>2.9023887196406536E-3</v>
      </c>
      <c r="O238" s="1" t="str">
        <f>HYPERLINK(".\sm_car_240930_0021\sm_car_240930_0021_237_Ca202TrN_MaCMP_ode23t_1.png","figure")</f>
        <v>figure</v>
      </c>
      <c r="P238" t="s">
        <v>15</v>
      </c>
    </row>
    <row r="239" spans="1:16" x14ac:dyDescent="0.25">
      <c r="A239">
        <v>238</v>
      </c>
      <c r="B239">
        <v>202</v>
      </c>
      <c r="C239" t="s">
        <v>45</v>
      </c>
      <c r="D239" t="s">
        <v>35</v>
      </c>
      <c r="E239" t="s">
        <v>108</v>
      </c>
      <c r="F239" t="s">
        <v>19</v>
      </c>
      <c r="G239" t="s">
        <v>20</v>
      </c>
      <c r="H239" t="s">
        <v>21</v>
      </c>
      <c r="I239" t="s">
        <v>82</v>
      </c>
      <c r="J239" t="s">
        <v>23</v>
      </c>
      <c r="K239">
        <v>15062</v>
      </c>
      <c r="L239">
        <v>110.40841570000001</v>
      </c>
      <c r="M239">
        <v>-5.9984431065025898</v>
      </c>
      <c r="N239">
        <v>-8.8964474708750126E-3</v>
      </c>
      <c r="O239" s="1" t="str">
        <f>HYPERLINK(".\sm_car_240930_0021\sm_car_240930_0021_238_Ca202TrN_MaCKY_ode23t_1.png","figure")</f>
        <v>figure</v>
      </c>
      <c r="P239" t="s">
        <v>15</v>
      </c>
    </row>
    <row r="240" spans="1:16" x14ac:dyDescent="0.25">
      <c r="A240">
        <v>239</v>
      </c>
      <c r="B240">
        <v>202</v>
      </c>
      <c r="C240" t="s">
        <v>45</v>
      </c>
      <c r="D240" t="s">
        <v>35</v>
      </c>
      <c r="E240" t="s">
        <v>108</v>
      </c>
      <c r="F240" t="s">
        <v>19</v>
      </c>
      <c r="G240" t="s">
        <v>20</v>
      </c>
      <c r="H240" t="s">
        <v>21</v>
      </c>
      <c r="I240" t="s">
        <v>75</v>
      </c>
      <c r="J240" t="s">
        <v>23</v>
      </c>
      <c r="K240">
        <v>452</v>
      </c>
      <c r="L240">
        <v>4.3603133999999999</v>
      </c>
      <c r="M240">
        <v>382.00939327162217</v>
      </c>
      <c r="N240">
        <v>0.32992049848204708</v>
      </c>
      <c r="O240" s="1" t="str">
        <f>HYPERLINK(".\sm_car_240930_0021\sm_car_240930_0021_239_Ca202TrN_MaCPL_ode23t_1.png","figure")</f>
        <v>figure</v>
      </c>
      <c r="P240" t="s">
        <v>15</v>
      </c>
    </row>
    <row r="241" spans="1:16" x14ac:dyDescent="0.25">
      <c r="A241">
        <v>240</v>
      </c>
      <c r="B241">
        <v>140</v>
      </c>
      <c r="C241" t="s">
        <v>45</v>
      </c>
      <c r="D241" t="s">
        <v>17</v>
      </c>
      <c r="E241" t="s">
        <v>49</v>
      </c>
      <c r="F241" t="s">
        <v>19</v>
      </c>
      <c r="G241" t="s">
        <v>26</v>
      </c>
      <c r="H241" t="s">
        <v>21</v>
      </c>
      <c r="I241" t="s">
        <v>113</v>
      </c>
      <c r="J241" t="s">
        <v>23</v>
      </c>
      <c r="K241">
        <v>2616</v>
      </c>
      <c r="L241">
        <v>60.697390200000001</v>
      </c>
      <c r="M241">
        <v>176.38703352772353</v>
      </c>
      <c r="N241">
        <v>7.5515848335224215E-4</v>
      </c>
      <c r="O241" s="1" t="str">
        <f>HYPERLINK(".\sm_car_240930_0021\sm_car_240930_0021_240_Ca140TrN_MaCRR_ode23t_1.png","figure")</f>
        <v>figure</v>
      </c>
      <c r="P241" t="s">
        <v>15</v>
      </c>
    </row>
    <row r="242" spans="1:16" x14ac:dyDescent="0.25">
      <c r="A242">
        <v>241</v>
      </c>
      <c r="B242">
        <v>189</v>
      </c>
      <c r="C242" t="s">
        <v>45</v>
      </c>
      <c r="D242" t="s">
        <v>17</v>
      </c>
      <c r="E242" t="s">
        <v>108</v>
      </c>
      <c r="F242" t="s">
        <v>19</v>
      </c>
      <c r="G242" t="s">
        <v>26</v>
      </c>
      <c r="H242" t="s">
        <v>21</v>
      </c>
      <c r="I242" t="s">
        <v>113</v>
      </c>
      <c r="J242" t="s">
        <v>23</v>
      </c>
      <c r="K242">
        <v>3127</v>
      </c>
      <c r="L242">
        <v>64.160069500000006</v>
      </c>
      <c r="M242">
        <v>176.44692952249773</v>
      </c>
      <c r="N242">
        <v>7.8265287233937695E-4</v>
      </c>
      <c r="O242" s="1" t="str">
        <f>HYPERLINK(".\sm_car_240930_0021\sm_car_240930_0021_241_Ca189TrN_MaCRR_ode23t_1.png","figure")</f>
        <v>figure</v>
      </c>
      <c r="P242" t="s">
        <v>15</v>
      </c>
    </row>
    <row r="243" spans="1:16" x14ac:dyDescent="0.25">
      <c r="A243">
        <v>242</v>
      </c>
      <c r="B243">
        <v>173</v>
      </c>
      <c r="C243" t="s">
        <v>45</v>
      </c>
      <c r="D243" t="s">
        <v>35</v>
      </c>
      <c r="E243" t="s">
        <v>49</v>
      </c>
      <c r="F243" t="s">
        <v>19</v>
      </c>
      <c r="G243" t="s">
        <v>90</v>
      </c>
      <c r="H243" t="s">
        <v>21</v>
      </c>
      <c r="I243" t="s">
        <v>91</v>
      </c>
      <c r="J243" t="s">
        <v>92</v>
      </c>
      <c r="K243">
        <v>1693</v>
      </c>
      <c r="L243">
        <v>124.9892689</v>
      </c>
      <c r="M243">
        <v>51.299675727130705</v>
      </c>
      <c r="N243">
        <v>9.0083308664585283E-3</v>
      </c>
      <c r="O243" s="1" t="str">
        <f>HYPERLINK(".\sm_car_240930_0021\sm_car_240930_0021_242_Ca173TrN_MaDCA_daessc_1.png","figure")</f>
        <v>figure</v>
      </c>
      <c r="P243" t="s">
        <v>15</v>
      </c>
    </row>
    <row r="244" spans="1:16" x14ac:dyDescent="0.25">
      <c r="A244">
        <v>243</v>
      </c>
      <c r="B244">
        <v>173</v>
      </c>
      <c r="C244" t="s">
        <v>45</v>
      </c>
      <c r="D244" t="s">
        <v>35</v>
      </c>
      <c r="E244" t="s">
        <v>49</v>
      </c>
      <c r="F244" t="s">
        <v>19</v>
      </c>
      <c r="G244" t="s">
        <v>90</v>
      </c>
      <c r="H244" t="s">
        <v>21</v>
      </c>
      <c r="I244" t="s">
        <v>93</v>
      </c>
      <c r="J244" t="s">
        <v>92</v>
      </c>
      <c r="K244">
        <v>4214</v>
      </c>
      <c r="L244">
        <v>192.45394680000001</v>
      </c>
      <c r="M244">
        <v>980.46770683510817</v>
      </c>
      <c r="N244">
        <v>0.72219800056215766</v>
      </c>
      <c r="O244" s="1" t="str">
        <f>HYPERLINK(".\sm_car_240930_0021\sm_car_240930_0021_243_Ca173TrN_MaDC1_daessc_1.png","figure")</f>
        <v>figure</v>
      </c>
      <c r="P244" t="s">
        <v>15</v>
      </c>
    </row>
    <row r="245" spans="1:16" x14ac:dyDescent="0.25">
      <c r="A245">
        <v>244</v>
      </c>
      <c r="B245">
        <v>165</v>
      </c>
      <c r="C245" t="s">
        <v>45</v>
      </c>
      <c r="D245" t="s">
        <v>35</v>
      </c>
      <c r="E245" t="s">
        <v>49</v>
      </c>
      <c r="F245" t="s">
        <v>19</v>
      </c>
      <c r="G245" t="s">
        <v>26</v>
      </c>
      <c r="H245" t="s">
        <v>21</v>
      </c>
      <c r="I245" t="s">
        <v>91</v>
      </c>
      <c r="J245" t="s">
        <v>23</v>
      </c>
      <c r="K245">
        <v>332</v>
      </c>
      <c r="L245">
        <v>4.5421702000000002</v>
      </c>
      <c r="M245">
        <v>53.509315763001581</v>
      </c>
      <c r="N245">
        <v>9.7537632982646512E-3</v>
      </c>
      <c r="O245" s="1" t="str">
        <f>HYPERLINK(".\sm_car_240930_0021\sm_car_240930_0021_244_Ca165TrN_MaDCA_ode23t_1.png","figure")</f>
        <v>figure</v>
      </c>
      <c r="P245" t="s">
        <v>15</v>
      </c>
    </row>
    <row r="246" spans="1:16" x14ac:dyDescent="0.25">
      <c r="A246">
        <v>245</v>
      </c>
      <c r="B246">
        <v>165</v>
      </c>
      <c r="C246" t="s">
        <v>45</v>
      </c>
      <c r="D246" t="s">
        <v>35</v>
      </c>
      <c r="E246" t="s">
        <v>49</v>
      </c>
      <c r="F246" t="s">
        <v>19</v>
      </c>
      <c r="G246" t="s">
        <v>26</v>
      </c>
      <c r="H246" t="s">
        <v>21</v>
      </c>
      <c r="I246" t="s">
        <v>93</v>
      </c>
      <c r="J246" t="s">
        <v>23</v>
      </c>
      <c r="K246">
        <v>1208</v>
      </c>
      <c r="L246">
        <v>11.154343799999999</v>
      </c>
      <c r="M246">
        <v>992.65447209660749</v>
      </c>
      <c r="N246">
        <v>0.7598581710510266</v>
      </c>
      <c r="O246" s="1" t="str">
        <f>HYPERLINK(".\sm_car_240930_0021\sm_car_240930_0021_245_Ca165TrN_MaDC1_ode23t_1.png","figure")</f>
        <v>figure</v>
      </c>
      <c r="P246" t="s">
        <v>15</v>
      </c>
    </row>
    <row r="247" spans="1:16" x14ac:dyDescent="0.25">
      <c r="A247">
        <v>246</v>
      </c>
      <c r="B247">
        <v>196</v>
      </c>
      <c r="C247" t="s">
        <v>45</v>
      </c>
      <c r="D247" t="s">
        <v>35</v>
      </c>
      <c r="E247" t="s">
        <v>108</v>
      </c>
      <c r="F247" t="s">
        <v>19</v>
      </c>
      <c r="G247" t="s">
        <v>90</v>
      </c>
      <c r="H247" t="s">
        <v>21</v>
      </c>
      <c r="I247" t="s">
        <v>93</v>
      </c>
      <c r="J247" t="s">
        <v>92</v>
      </c>
      <c r="K247">
        <v>4244</v>
      </c>
      <c r="L247">
        <v>97.890922000000003</v>
      </c>
      <c r="M247">
        <v>980.46387449150279</v>
      </c>
      <c r="N247">
        <v>0.72251386295851061</v>
      </c>
      <c r="O247" s="1" t="str">
        <f>HYPERLINK(".\sm_car_240930_0021\sm_car_240930_0021_246_Ca196TrN_MaDC1_daessc_1.png","figure")</f>
        <v>figure</v>
      </c>
      <c r="P247" t="s">
        <v>15</v>
      </c>
    </row>
    <row r="248" spans="1:16" x14ac:dyDescent="0.25">
      <c r="A248">
        <v>247</v>
      </c>
      <c r="B248">
        <v>179</v>
      </c>
      <c r="C248" t="s">
        <v>45</v>
      </c>
      <c r="D248" t="s">
        <v>57</v>
      </c>
      <c r="E248" t="s">
        <v>18</v>
      </c>
      <c r="F248" t="s">
        <v>19</v>
      </c>
      <c r="G248" t="s">
        <v>26</v>
      </c>
      <c r="H248" t="s">
        <v>21</v>
      </c>
      <c r="I248" t="s">
        <v>22</v>
      </c>
      <c r="J248" t="s">
        <v>23</v>
      </c>
      <c r="K248">
        <v>479</v>
      </c>
      <c r="L248">
        <v>7.2348673999999997</v>
      </c>
      <c r="M248">
        <v>147.84525632059601</v>
      </c>
      <c r="N248">
        <v>9.4851659853183432E-2</v>
      </c>
      <c r="O248" s="1" t="str">
        <f>HYPERLINK(".\sm_car_240930_0021\sm_car_240930_0021_247_Ca179TrN_MaWOT_ode23t_1.png","figure")</f>
        <v>figure</v>
      </c>
      <c r="P248" t="s">
        <v>15</v>
      </c>
    </row>
    <row r="249" spans="1:16" x14ac:dyDescent="0.25">
      <c r="A249">
        <v>248</v>
      </c>
      <c r="B249">
        <v>180</v>
      </c>
      <c r="C249" t="s">
        <v>45</v>
      </c>
      <c r="D249" t="s">
        <v>57</v>
      </c>
      <c r="E249" t="s">
        <v>49</v>
      </c>
      <c r="F249" t="s">
        <v>19</v>
      </c>
      <c r="G249" t="s">
        <v>26</v>
      </c>
      <c r="H249" t="s">
        <v>21</v>
      </c>
      <c r="I249" t="s">
        <v>22</v>
      </c>
      <c r="J249" t="s">
        <v>23</v>
      </c>
      <c r="K249">
        <v>501</v>
      </c>
      <c r="L249">
        <v>10.19074</v>
      </c>
      <c r="M249">
        <v>147.86506911668459</v>
      </c>
      <c r="N249">
        <v>9.4537157890563855E-2</v>
      </c>
      <c r="O249" s="1" t="str">
        <f>HYPERLINK(".\sm_car_240930_0021\sm_car_240930_0021_248_Ca180TrN_MaWOT_ode23t_1.png","figure")</f>
        <v>figure</v>
      </c>
      <c r="P249" t="s">
        <v>15</v>
      </c>
    </row>
    <row r="250" spans="1:16" x14ac:dyDescent="0.25">
      <c r="A250">
        <v>249</v>
      </c>
      <c r="B250">
        <v>197</v>
      </c>
      <c r="C250" t="s">
        <v>45</v>
      </c>
      <c r="D250" t="s">
        <v>57</v>
      </c>
      <c r="E250" t="s">
        <v>108</v>
      </c>
      <c r="F250" t="s">
        <v>19</v>
      </c>
      <c r="G250" t="s">
        <v>26</v>
      </c>
      <c r="H250" t="s">
        <v>21</v>
      </c>
      <c r="I250" t="s">
        <v>22</v>
      </c>
      <c r="J250" t="s">
        <v>23</v>
      </c>
      <c r="K250">
        <v>461</v>
      </c>
      <c r="L250">
        <v>2.9878038999999998</v>
      </c>
      <c r="M250">
        <v>147.86103719484703</v>
      </c>
      <c r="N250">
        <v>9.4540227479985112E-2</v>
      </c>
      <c r="O250" s="1" t="str">
        <f>HYPERLINK(".\sm_car_240930_0021\sm_car_240930_0021_249_Ca197TrN_MaWOT_ode23t_1.png","figure")</f>
        <v>figure</v>
      </c>
      <c r="P250" t="s">
        <v>15</v>
      </c>
    </row>
    <row r="251" spans="1:16" x14ac:dyDescent="0.25">
      <c r="A251">
        <v>250</v>
      </c>
      <c r="B251">
        <v>182</v>
      </c>
      <c r="C251" t="s">
        <v>45</v>
      </c>
      <c r="D251" t="s">
        <v>17</v>
      </c>
      <c r="E251" t="s">
        <v>49</v>
      </c>
      <c r="F251" t="s">
        <v>19</v>
      </c>
      <c r="G251" t="s">
        <v>26</v>
      </c>
      <c r="H251" t="s">
        <v>21</v>
      </c>
      <c r="I251" t="s">
        <v>64</v>
      </c>
      <c r="J251" t="s">
        <v>23</v>
      </c>
      <c r="K251">
        <v>421</v>
      </c>
      <c r="L251">
        <v>18.863349899999999</v>
      </c>
      <c r="M251">
        <v>63.227174751235836</v>
      </c>
      <c r="N251">
        <v>-25.378193366493665</v>
      </c>
      <c r="O251" s="1" t="str">
        <f>HYPERLINK(".\sm_car_240930_0021\sm_car_240930_0021_250_Ca182TrN_MaTUR_ode23t_1.png","figure")</f>
        <v>figure</v>
      </c>
      <c r="P251" t="s">
        <v>15</v>
      </c>
    </row>
    <row r="252" spans="1:16" x14ac:dyDescent="0.25">
      <c r="A252">
        <v>251</v>
      </c>
      <c r="B252">
        <v>203</v>
      </c>
      <c r="C252" t="s">
        <v>45</v>
      </c>
      <c r="D252" t="s">
        <v>17</v>
      </c>
      <c r="E252" t="s">
        <v>108</v>
      </c>
      <c r="F252" t="s">
        <v>19</v>
      </c>
      <c r="G252" t="s">
        <v>26</v>
      </c>
      <c r="H252" t="s">
        <v>21</v>
      </c>
      <c r="I252" t="s">
        <v>64</v>
      </c>
      <c r="J252" t="s">
        <v>23</v>
      </c>
      <c r="K252">
        <v>343</v>
      </c>
      <c r="L252">
        <v>6.4391876000000003</v>
      </c>
      <c r="M252">
        <v>63.213935099917975</v>
      </c>
      <c r="N252">
        <v>-25.380816425241392</v>
      </c>
      <c r="O252" s="1" t="str">
        <f>HYPERLINK(".\sm_car_240930_0021\sm_car_240930_0021_251_Ca203TrN_MaTUR_ode23t_1.png","figure")</f>
        <v>figure</v>
      </c>
      <c r="P252" t="s">
        <v>15</v>
      </c>
    </row>
    <row r="253" spans="1:16" x14ac:dyDescent="0.25">
      <c r="A253">
        <v>252</v>
      </c>
      <c r="B253">
        <v>185</v>
      </c>
      <c r="C253" t="s">
        <v>45</v>
      </c>
      <c r="D253" t="s">
        <v>17</v>
      </c>
      <c r="E253" t="s">
        <v>18</v>
      </c>
      <c r="F253" t="s">
        <v>19</v>
      </c>
      <c r="G253" t="s">
        <v>26</v>
      </c>
      <c r="H253" t="s">
        <v>21</v>
      </c>
      <c r="I253" t="s">
        <v>64</v>
      </c>
      <c r="J253" t="s">
        <v>23</v>
      </c>
      <c r="K253">
        <v>423</v>
      </c>
      <c r="L253">
        <v>20.339932699999999</v>
      </c>
      <c r="M253">
        <v>114.16954210145565</v>
      </c>
      <c r="N253">
        <v>-80.781245259829163</v>
      </c>
      <c r="O253" s="1" t="str">
        <f>HYPERLINK(".\sm_car_240930_0021\sm_car_240930_0021_252_Ca185TrN_MaTUR_ode23t_1.png","figure")</f>
        <v>figure</v>
      </c>
      <c r="P253" t="s">
        <v>15</v>
      </c>
    </row>
    <row r="254" spans="1:16" x14ac:dyDescent="0.25">
      <c r="A254">
        <v>253</v>
      </c>
      <c r="B254">
        <v>188</v>
      </c>
      <c r="C254" t="s">
        <v>45</v>
      </c>
      <c r="D254" t="s">
        <v>114</v>
      </c>
      <c r="E254" t="s">
        <v>49</v>
      </c>
      <c r="F254" t="s">
        <v>19</v>
      </c>
      <c r="G254" t="s">
        <v>26</v>
      </c>
      <c r="H254" t="s">
        <v>21</v>
      </c>
      <c r="I254" t="s">
        <v>64</v>
      </c>
      <c r="J254" t="s">
        <v>23</v>
      </c>
      <c r="K254">
        <v>555</v>
      </c>
      <c r="L254">
        <v>10.8168791</v>
      </c>
      <c r="M254">
        <v>140.64038127848318</v>
      </c>
      <c r="N254">
        <v>-71.768348993823594</v>
      </c>
      <c r="O254" s="1" t="str">
        <f>HYPERLINK(".\sm_car_240930_0021\sm_car_240930_0021_253_Ca188TrN_MaTUR_ode23t_1.png","figure")</f>
        <v>figure</v>
      </c>
      <c r="P254" t="s">
        <v>15</v>
      </c>
    </row>
    <row r="255" spans="1:16" x14ac:dyDescent="0.25">
      <c r="A255">
        <v>254</v>
      </c>
      <c r="B255" t="s">
        <v>94</v>
      </c>
      <c r="C255" t="s">
        <v>95</v>
      </c>
      <c r="D255" t="s">
        <v>35</v>
      </c>
      <c r="E255" t="s">
        <v>18</v>
      </c>
      <c r="F255" t="s">
        <v>19</v>
      </c>
      <c r="G255" t="s">
        <v>96</v>
      </c>
      <c r="H255" t="s">
        <v>21</v>
      </c>
      <c r="I255" t="s">
        <v>22</v>
      </c>
      <c r="J255" t="s">
        <v>23</v>
      </c>
      <c r="K255">
        <v>437</v>
      </c>
      <c r="L255">
        <v>20.895731699999999</v>
      </c>
      <c r="M255">
        <v>79.209698058947666</v>
      </c>
      <c r="N255">
        <v>-0.33381621842364617</v>
      </c>
      <c r="O255" s="1" t="str">
        <f>HYPERLINK(".\sm_car_240930_0021\sm_car_Axle3_240930_0021_254_CaAxle3_000TrN_MaWOT_ode23t_1.png","figure")</f>
        <v>figure</v>
      </c>
      <c r="P255" t="s">
        <v>15</v>
      </c>
    </row>
    <row r="256" spans="1:16" x14ac:dyDescent="0.25">
      <c r="A256">
        <v>255</v>
      </c>
      <c r="B256" t="s">
        <v>99</v>
      </c>
      <c r="C256" t="s">
        <v>100</v>
      </c>
      <c r="D256" t="s">
        <v>35</v>
      </c>
      <c r="E256" t="s">
        <v>18</v>
      </c>
      <c r="F256" t="s">
        <v>19</v>
      </c>
      <c r="G256" t="s">
        <v>96</v>
      </c>
      <c r="H256" t="s">
        <v>21</v>
      </c>
      <c r="I256" t="s">
        <v>22</v>
      </c>
      <c r="J256" t="s">
        <v>23</v>
      </c>
      <c r="K256">
        <v>482</v>
      </c>
      <c r="L256">
        <v>21.1560804</v>
      </c>
      <c r="M256">
        <v>69.121832100874471</v>
      </c>
      <c r="N256">
        <v>8.3845944344458398E-2</v>
      </c>
      <c r="O256" s="1" t="str">
        <f>HYPERLINK(".\sm_car_240930_0021\sm_car_Axle3_240930_0021_255_CaAxle3_008TrN_MaWOT_ode23t_1.png","figure")</f>
        <v>figure</v>
      </c>
      <c r="P256" t="s">
        <v>15</v>
      </c>
    </row>
    <row r="257" spans="1:16" x14ac:dyDescent="0.25">
      <c r="A257">
        <v>256</v>
      </c>
      <c r="B257" t="s">
        <v>97</v>
      </c>
      <c r="C257" t="s">
        <v>95</v>
      </c>
      <c r="D257" t="s">
        <v>35</v>
      </c>
      <c r="E257" t="s">
        <v>49</v>
      </c>
      <c r="F257" t="s">
        <v>19</v>
      </c>
      <c r="G257" t="s">
        <v>98</v>
      </c>
      <c r="H257" t="s">
        <v>21</v>
      </c>
      <c r="I257" t="s">
        <v>22</v>
      </c>
      <c r="J257" t="s">
        <v>23</v>
      </c>
      <c r="K257">
        <v>426</v>
      </c>
      <c r="L257">
        <v>16.4801039</v>
      </c>
      <c r="M257">
        <v>79.24769441161969</v>
      </c>
      <c r="N257">
        <v>-0.31325677542900665</v>
      </c>
      <c r="O257" s="1" t="str">
        <f>HYPERLINK(".\sm_car_240930_0021\sm_car_Axle3_240930_0021_256_CaAxle3_003TrN_MaWOT_ode23t_1.png","figure")</f>
        <v>figure</v>
      </c>
      <c r="P257" t="s">
        <v>15</v>
      </c>
    </row>
    <row r="258" spans="1:16" x14ac:dyDescent="0.25">
      <c r="A258">
        <v>257</v>
      </c>
      <c r="B258" t="s">
        <v>115</v>
      </c>
      <c r="C258" t="s">
        <v>95</v>
      </c>
      <c r="D258" t="s">
        <v>35</v>
      </c>
      <c r="E258" t="s">
        <v>108</v>
      </c>
      <c r="F258" t="s">
        <v>19</v>
      </c>
      <c r="G258" t="s">
        <v>98</v>
      </c>
      <c r="H258" t="s">
        <v>21</v>
      </c>
      <c r="I258" t="s">
        <v>22</v>
      </c>
      <c r="J258" t="s">
        <v>23</v>
      </c>
      <c r="K258">
        <v>431</v>
      </c>
      <c r="L258">
        <v>2.9430822999999999</v>
      </c>
      <c r="M258">
        <v>80.105368727560347</v>
      </c>
      <c r="N258">
        <v>-0.31922436244434088</v>
      </c>
      <c r="O258" s="1" t="str">
        <f>HYPERLINK(".\sm_car_240930_0021\sm_car_Axle3_240930_0021_257_CaAxle3_017TrN_MaWOT_ode23t_1.png","figure")</f>
        <v>figure</v>
      </c>
      <c r="P258" t="s">
        <v>15</v>
      </c>
    </row>
    <row r="259" spans="1:16" x14ac:dyDescent="0.25">
      <c r="A259">
        <v>258</v>
      </c>
      <c r="B259" t="s">
        <v>101</v>
      </c>
      <c r="C259" t="s">
        <v>100</v>
      </c>
      <c r="D259" t="s">
        <v>35</v>
      </c>
      <c r="E259" t="s">
        <v>49</v>
      </c>
      <c r="F259" t="s">
        <v>19</v>
      </c>
      <c r="G259" t="s">
        <v>96</v>
      </c>
      <c r="H259" t="s">
        <v>102</v>
      </c>
      <c r="I259" t="s">
        <v>22</v>
      </c>
      <c r="J259" t="s">
        <v>23</v>
      </c>
      <c r="K259">
        <v>380</v>
      </c>
      <c r="L259">
        <v>39.465180500000002</v>
      </c>
      <c r="M259">
        <v>23.326412814074239</v>
      </c>
      <c r="N259">
        <v>2.4826211429549855E-3</v>
      </c>
      <c r="O259" s="1" t="str">
        <f>HYPERLINK(".\sm_car_240930_0021\sm_car_Axle3_240930_0021_258_CaAxle3_010TrK_MaWOT_ode23t_1.png","figure")</f>
        <v>figure</v>
      </c>
      <c r="P259" t="s">
        <v>15</v>
      </c>
    </row>
    <row r="260" spans="1:16" x14ac:dyDescent="0.25">
      <c r="A260">
        <v>259</v>
      </c>
      <c r="B260" t="s">
        <v>101</v>
      </c>
      <c r="C260" t="s">
        <v>100</v>
      </c>
      <c r="D260" t="s">
        <v>35</v>
      </c>
      <c r="E260" t="s">
        <v>49</v>
      </c>
      <c r="F260" t="s">
        <v>19</v>
      </c>
      <c r="G260" t="s">
        <v>96</v>
      </c>
      <c r="H260" t="s">
        <v>102</v>
      </c>
      <c r="I260" t="s">
        <v>22</v>
      </c>
      <c r="J260" t="s">
        <v>23</v>
      </c>
      <c r="K260">
        <v>402</v>
      </c>
      <c r="L260">
        <v>40.5606729</v>
      </c>
      <c r="M260">
        <v>23.441153101647831</v>
      </c>
      <c r="N260">
        <v>2.5318370679568297E-3</v>
      </c>
      <c r="O260" s="1" t="str">
        <f>HYPERLINK(".\sm_car_240930_0021\sm_car_Axle3_240930_0021_259_CaAxle3_010TrK_MaWOT_ode23t_1.png","figure")</f>
        <v>figure</v>
      </c>
      <c r="P260" t="s">
        <v>15</v>
      </c>
    </row>
    <row r="261" spans="1:16" x14ac:dyDescent="0.25">
      <c r="A261">
        <v>260</v>
      </c>
      <c r="B261" t="s">
        <v>116</v>
      </c>
      <c r="C261" t="s">
        <v>100</v>
      </c>
      <c r="D261" t="s">
        <v>35</v>
      </c>
      <c r="E261" t="s">
        <v>108</v>
      </c>
      <c r="F261" t="s">
        <v>19</v>
      </c>
      <c r="G261" t="s">
        <v>96</v>
      </c>
      <c r="H261" t="s">
        <v>102</v>
      </c>
      <c r="I261" t="s">
        <v>22</v>
      </c>
      <c r="J261" t="s">
        <v>23</v>
      </c>
      <c r="K261">
        <v>395</v>
      </c>
      <c r="L261">
        <v>3.3457810000000001</v>
      </c>
      <c r="M261">
        <v>26.919982883540509</v>
      </c>
      <c r="N261">
        <v>3.621376984547349E-3</v>
      </c>
      <c r="O261" s="1" t="str">
        <f>HYPERLINK(".\sm_car_240930_0021\sm_car_Axle3_240930_0021_260_CaAxle3_019TrK_MaWOT_ode23t_1.png","figure")</f>
        <v>figure</v>
      </c>
      <c r="P261" t="s">
        <v>15</v>
      </c>
    </row>
    <row r="262" spans="1:16" x14ac:dyDescent="0.25">
      <c r="A262">
        <v>261</v>
      </c>
      <c r="B262" t="s">
        <v>116</v>
      </c>
      <c r="C262" t="s">
        <v>100</v>
      </c>
      <c r="D262" t="s">
        <v>35</v>
      </c>
      <c r="E262" t="s">
        <v>108</v>
      </c>
      <c r="F262" t="s">
        <v>19</v>
      </c>
      <c r="G262" t="s">
        <v>96</v>
      </c>
      <c r="H262" t="s">
        <v>102</v>
      </c>
      <c r="I262" t="s">
        <v>22</v>
      </c>
      <c r="J262" t="s">
        <v>23</v>
      </c>
      <c r="K262">
        <v>396</v>
      </c>
      <c r="L262">
        <v>3.4427534</v>
      </c>
      <c r="M262">
        <v>26.903891641978319</v>
      </c>
      <c r="N262">
        <v>3.6113456748907632E-3</v>
      </c>
      <c r="O262" s="1" t="str">
        <f>HYPERLINK(".\sm_car_240930_0021\sm_car_Axle3_240930_0021_261_CaAxle3_019TrK_MaWOT_ode23t_1.png","figure")</f>
        <v>figure</v>
      </c>
      <c r="P262" t="s">
        <v>15</v>
      </c>
    </row>
    <row r="263" spans="1:16" x14ac:dyDescent="0.25">
      <c r="A263">
        <v>262</v>
      </c>
      <c r="B263" t="s">
        <v>103</v>
      </c>
      <c r="C263" t="s">
        <v>100</v>
      </c>
      <c r="D263" t="s">
        <v>35</v>
      </c>
      <c r="E263" t="s">
        <v>18</v>
      </c>
      <c r="F263" t="s">
        <v>19</v>
      </c>
      <c r="G263" t="s">
        <v>104</v>
      </c>
      <c r="H263" t="s">
        <v>102</v>
      </c>
      <c r="I263" t="s">
        <v>53</v>
      </c>
      <c r="J263" t="s">
        <v>23</v>
      </c>
      <c r="K263">
        <v>669</v>
      </c>
      <c r="L263">
        <v>27.775282399999998</v>
      </c>
      <c r="M263">
        <v>254.12622813731849</v>
      </c>
      <c r="N263">
        <v>-0.10075729292283153</v>
      </c>
      <c r="O263" s="1" t="str">
        <f>HYPERLINK(".\sm_car_240930_0021\sm_car_Axle3_240930_0021_262_CaAxle3_012TrK_MaDLC_ode23t_1.png","figure")</f>
        <v>figure</v>
      </c>
      <c r="P263" t="s">
        <v>15</v>
      </c>
    </row>
    <row r="264" spans="1:16" x14ac:dyDescent="0.25">
      <c r="A264">
        <v>263</v>
      </c>
      <c r="B264" t="s">
        <v>103</v>
      </c>
      <c r="C264" t="s">
        <v>100</v>
      </c>
      <c r="D264" t="s">
        <v>35</v>
      </c>
      <c r="E264" t="s">
        <v>18</v>
      </c>
      <c r="F264" t="s">
        <v>19</v>
      </c>
      <c r="G264" t="s">
        <v>104</v>
      </c>
      <c r="H264" t="s">
        <v>102</v>
      </c>
      <c r="I264" t="s">
        <v>53</v>
      </c>
      <c r="J264" t="s">
        <v>23</v>
      </c>
      <c r="K264">
        <v>757</v>
      </c>
      <c r="L264">
        <v>32.326037399999997</v>
      </c>
      <c r="M264">
        <v>253.59536869148906</v>
      </c>
      <c r="N264">
        <v>-9.6838232840401162E-2</v>
      </c>
      <c r="O264" s="1" t="str">
        <f>HYPERLINK(".\sm_car_240930_0021\sm_car_Axle3_240930_0021_263_CaAxle3_012TrK_MaDLC_ode23t_1.png","figure")</f>
        <v>figure</v>
      </c>
      <c r="P264" t="s">
        <v>15</v>
      </c>
    </row>
    <row r="265" spans="1:16" x14ac:dyDescent="0.25">
      <c r="A265">
        <v>264</v>
      </c>
      <c r="B265" t="s">
        <v>103</v>
      </c>
      <c r="C265" t="s">
        <v>100</v>
      </c>
      <c r="D265" t="s">
        <v>35</v>
      </c>
      <c r="E265" t="s">
        <v>18</v>
      </c>
      <c r="F265" t="s">
        <v>19</v>
      </c>
      <c r="G265" t="s">
        <v>104</v>
      </c>
      <c r="H265" t="s">
        <v>102</v>
      </c>
      <c r="I265" t="s">
        <v>53</v>
      </c>
      <c r="J265" t="s">
        <v>23</v>
      </c>
      <c r="K265">
        <v>667</v>
      </c>
      <c r="L265">
        <v>26.736871499999999</v>
      </c>
      <c r="M265">
        <v>254.05115065130525</v>
      </c>
      <c r="N265">
        <v>-9.9755260912805177E-2</v>
      </c>
      <c r="O265" s="1" t="str">
        <f>HYPERLINK(".\sm_car_240930_0021\sm_car_Axle3_240930_0021_264_CaAxle3_012TrK_MaDLC_ode23t_1.png","figure")</f>
        <v>figure</v>
      </c>
      <c r="P265" t="s">
        <v>15</v>
      </c>
    </row>
    <row r="266" spans="1:16" x14ac:dyDescent="0.25">
      <c r="A266">
        <v>265</v>
      </c>
      <c r="B266" t="s">
        <v>103</v>
      </c>
      <c r="C266" t="s">
        <v>100</v>
      </c>
      <c r="D266" t="s">
        <v>35</v>
      </c>
      <c r="E266" t="s">
        <v>18</v>
      </c>
      <c r="F266" t="s">
        <v>19</v>
      </c>
      <c r="G266" t="s">
        <v>104</v>
      </c>
      <c r="H266" t="s">
        <v>102</v>
      </c>
      <c r="I266" t="s">
        <v>53</v>
      </c>
      <c r="J266" t="s">
        <v>23</v>
      </c>
      <c r="K266">
        <v>939</v>
      </c>
      <c r="L266">
        <v>33.733877399999997</v>
      </c>
      <c r="M266">
        <v>253.19916713899931</v>
      </c>
      <c r="N266">
        <v>-8.8686096516202184E-2</v>
      </c>
      <c r="O266" s="1" t="str">
        <f>HYPERLINK(".\sm_car_240930_0021\sm_car_Axle3_240930_0021_265_CaAxle3_012TrK_MaDLC_ode23t_1.png","figure")</f>
        <v>figure</v>
      </c>
      <c r="P26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FC72-BEDD-4107-B334-7188A249A750}">
  <dimension ref="A1:W270"/>
  <sheetViews>
    <sheetView workbookViewId="0"/>
  </sheetViews>
  <sheetFormatPr defaultRowHeight="15" x14ac:dyDescent="0.25"/>
  <cols>
    <col min="1" max="1" width="4.42578125" bestFit="1" customWidth="1"/>
    <col min="2" max="2" width="10" bestFit="1" customWidth="1"/>
    <col min="3" max="3" width="14" bestFit="1" customWidth="1"/>
    <col min="4" max="4" width="12.42578125" bestFit="1" customWidth="1"/>
    <col min="5" max="5" width="11.85546875" bestFit="1" customWidth="1"/>
    <col min="6" max="6" width="8.85546875" bestFit="1" customWidth="1"/>
    <col min="7" max="7" width="16.85546875" bestFit="1" customWidth="1"/>
    <col min="8" max="8" width="8.5703125" bestFit="1" customWidth="1"/>
    <col min="9" max="9" width="27.140625" bestFit="1" customWidth="1"/>
    <col min="10" max="10" width="7.140625" bestFit="1" customWidth="1"/>
    <col min="11" max="11" width="7.28515625" bestFit="1" customWidth="1"/>
    <col min="12" max="12" width="7.5703125" bestFit="1" customWidth="1"/>
    <col min="13" max="13" width="8.5703125" bestFit="1" customWidth="1"/>
    <col min="14" max="14" width="9.28515625" bestFit="1" customWidth="1"/>
    <col min="15" max="15" width="6.5703125" bestFit="1" customWidth="1"/>
    <col min="16" max="16" width="4.85546875" bestFit="1" customWidth="1"/>
    <col min="18" max="18" width="30.7109375" bestFit="1" customWidth="1"/>
  </cols>
  <sheetData>
    <row r="1" spans="1:2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2" t="s">
        <v>127</v>
      </c>
      <c r="T1" t="s">
        <v>129</v>
      </c>
      <c r="U1" t="s">
        <v>130</v>
      </c>
      <c r="V1" t="s">
        <v>131</v>
      </c>
      <c r="W1" t="s">
        <v>130</v>
      </c>
    </row>
    <row r="2" spans="1:23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399</v>
      </c>
      <c r="L2" s="4">
        <v>7.2849215999999997</v>
      </c>
      <c r="M2" s="4">
        <v>233.9970977122648</v>
      </c>
      <c r="N2" s="4">
        <v>9.2486685866927567E-3</v>
      </c>
      <c r="O2" s="1" t="str">
        <f>HYPERLINK(".\sm_car_241122_0001\sm_car_241122_0001_001_Ca000TrN_MaWOT_ode23t.png","figure")</f>
        <v>figure</v>
      </c>
      <c r="P2" t="s">
        <v>15</v>
      </c>
      <c r="R2" s="2" t="s">
        <v>117</v>
      </c>
      <c r="S2" t="b">
        <f>B2='2024a_240930_0021'!B2</f>
        <v>1</v>
      </c>
      <c r="T2">
        <f>K2-'2024a_240930_0021'!K2</f>
        <v>9</v>
      </c>
      <c r="U2" s="5">
        <f>T2/'2024a_240930_0021'!K2</f>
        <v>2.3076923076923078E-2</v>
      </c>
      <c r="V2" s="4">
        <f>L2-'2024a_240930_0021'!L2</f>
        <v>-3.2359452000000006</v>
      </c>
      <c r="W2" s="5">
        <f>V2/'2024a_240930_0021'!L2</f>
        <v>-0.30757401091704728</v>
      </c>
    </row>
    <row r="3" spans="1:23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23</v>
      </c>
      <c r="K3">
        <v>517</v>
      </c>
      <c r="L3" s="4">
        <v>7.1898210000000002</v>
      </c>
      <c r="M3" s="4">
        <v>72.064497103750668</v>
      </c>
      <c r="N3" s="4">
        <v>-0.55161666465048165</v>
      </c>
      <c r="O3" s="1" t="str">
        <f>HYPERLINK(".\sm_car_241122_0001\sm_car_241122_0001_002_Ca000TrN_MaLSS_ode23t.png","figure")</f>
        <v>figure</v>
      </c>
      <c r="P3" t="s">
        <v>15</v>
      </c>
      <c r="R3" s="2" t="s">
        <v>119</v>
      </c>
      <c r="S3" t="b">
        <f>B3='2024a_240930_0021'!B3</f>
        <v>1</v>
      </c>
      <c r="T3">
        <f>K3-'2024a_240930_0021'!K3</f>
        <v>-9</v>
      </c>
      <c r="U3" s="5">
        <f>T3/'2024a_240930_0021'!K3</f>
        <v>-1.7110266159695818E-2</v>
      </c>
      <c r="V3" s="4">
        <f>L3-'2024a_240930_0021'!L3</f>
        <v>-5.7412689999999991</v>
      </c>
      <c r="W3" s="5">
        <f>V3/'2024a_240930_0021'!L3</f>
        <v>-0.4439895631381422</v>
      </c>
    </row>
    <row r="4" spans="1:23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23</v>
      </c>
      <c r="K4">
        <v>397</v>
      </c>
      <c r="L4" s="4">
        <v>9.7271157000000006</v>
      </c>
      <c r="M4" s="4">
        <v>232.98849201858263</v>
      </c>
      <c r="N4" s="4">
        <v>1.0250281057102472E-4</v>
      </c>
      <c r="O4" s="1" t="str">
        <f>HYPERLINK(".\sm_car_241122_0001\sm_car_241122_0001_003_Ca001TrN_MaWOT_ode23t.png","figure")</f>
        <v>figure</v>
      </c>
      <c r="P4" t="s">
        <v>15</v>
      </c>
      <c r="R4" s="2" t="s">
        <v>118</v>
      </c>
      <c r="S4" t="b">
        <f>B4='2024a_240930_0021'!B4</f>
        <v>1</v>
      </c>
      <c r="T4">
        <f>K4-'2024a_240930_0021'!K4</f>
        <v>11</v>
      </c>
      <c r="U4" s="5">
        <f>T4/'2024a_240930_0021'!K4</f>
        <v>2.8497409326424871E-2</v>
      </c>
      <c r="V4" s="4">
        <f>L4-'2024a_240930_0021'!L4</f>
        <v>-3.1325446999999986</v>
      </c>
      <c r="W4" s="5">
        <f>V4/'2024a_240930_0021'!L4</f>
        <v>-0.24359466755436238</v>
      </c>
    </row>
    <row r="5" spans="1:23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23</v>
      </c>
      <c r="K5">
        <v>529</v>
      </c>
      <c r="L5" s="4">
        <v>9.6972126999999997</v>
      </c>
      <c r="M5" s="4">
        <v>71.756904122630189</v>
      </c>
      <c r="N5" s="4">
        <v>-0.54764254440060223</v>
      </c>
      <c r="O5" s="1" t="str">
        <f>HYPERLINK(".\sm_car_241122_0001\sm_car_241122_0001_004_Ca001TrN_MaLSS_ode23t.png","figure")</f>
        <v>figure</v>
      </c>
      <c r="P5" t="s">
        <v>15</v>
      </c>
      <c r="R5" t="s">
        <v>128</v>
      </c>
      <c r="S5" t="b">
        <f>B5='2024a_240930_0021'!B5</f>
        <v>1</v>
      </c>
      <c r="T5">
        <f>K5-'2024a_240930_0021'!K5</f>
        <v>19</v>
      </c>
      <c r="U5" s="5">
        <f>T5/'2024a_240930_0021'!K5</f>
        <v>3.7254901960784313E-2</v>
      </c>
      <c r="V5" s="4">
        <f>L5-'2024a_240930_0021'!L5</f>
        <v>-4.5433113000000009</v>
      </c>
      <c r="W5" s="5">
        <f>V5/'2024a_240930_0021'!L5</f>
        <v>-0.31904101983887678</v>
      </c>
    </row>
    <row r="6" spans="1:23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23</v>
      </c>
      <c r="K6">
        <v>439</v>
      </c>
      <c r="L6" s="4">
        <v>12.4883451</v>
      </c>
      <c r="M6" s="4">
        <v>232.82486348508667</v>
      </c>
      <c r="N6" s="4">
        <v>8.0942759715637011E-2</v>
      </c>
      <c r="O6" s="1" t="str">
        <f>HYPERLINK(".\sm_car_241122_0001\sm_car_241122_0001_005_Ca002TrN_MaWOT_ode23t.png","figure")</f>
        <v>figure</v>
      </c>
      <c r="P6" t="s">
        <v>15</v>
      </c>
      <c r="S6" t="b">
        <f>B6='2024a_240930_0021'!B6</f>
        <v>1</v>
      </c>
      <c r="T6">
        <f>K6-'2024a_240930_0021'!K6</f>
        <v>28</v>
      </c>
      <c r="U6" s="5">
        <f>T6/'2024a_240930_0021'!K6</f>
        <v>6.8126520681265207E-2</v>
      </c>
      <c r="V6" s="4">
        <f>L6-'2024a_240930_0021'!L6</f>
        <v>-4.6080958999999986</v>
      </c>
      <c r="W6" s="5">
        <f>V6/'2024a_240930_0021'!L6</f>
        <v>-0.26953539043593921</v>
      </c>
    </row>
    <row r="7" spans="1:23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23</v>
      </c>
      <c r="K7">
        <v>523</v>
      </c>
      <c r="L7" s="4">
        <v>11.699917900000001</v>
      </c>
      <c r="M7" s="4">
        <v>71.757225295583453</v>
      </c>
      <c r="N7" s="4">
        <v>-0.54174723817153303</v>
      </c>
      <c r="O7" s="1" t="str">
        <f>HYPERLINK(".\sm_car_241122_0001\sm_car_241122_0001_006_Ca002TrN_MaLSS_ode23t.png","figure")</f>
        <v>figure</v>
      </c>
      <c r="P7" t="s">
        <v>15</v>
      </c>
      <c r="S7" t="b">
        <f>B7='2024a_240930_0021'!B7</f>
        <v>1</v>
      </c>
      <c r="T7">
        <f>K7-'2024a_240930_0021'!K7</f>
        <v>2</v>
      </c>
      <c r="U7" s="5">
        <f>T7/'2024a_240930_0021'!K7</f>
        <v>3.838771593090211E-3</v>
      </c>
      <c r="V7" s="4">
        <f>L7-'2024a_240930_0021'!L7</f>
        <v>-7.9249424000000008</v>
      </c>
      <c r="W7" s="5">
        <f>V7/'2024a_240930_0021'!L7</f>
        <v>-0.40382159561156217</v>
      </c>
    </row>
    <row r="8" spans="1:23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23</v>
      </c>
      <c r="K8">
        <v>485</v>
      </c>
      <c r="L8" s="4">
        <v>13.441491900000001</v>
      </c>
      <c r="M8" s="4">
        <v>232.46675564243233</v>
      </c>
      <c r="N8" s="4">
        <v>6.9028624425327922E-2</v>
      </c>
      <c r="O8" s="1" t="str">
        <f>HYPERLINK(".\sm_car_241122_0001\sm_car_241122_0001_007_Ca003TrN_MaWOT_ode23t.png","figure")</f>
        <v>figure</v>
      </c>
      <c r="P8" t="s">
        <v>15</v>
      </c>
      <c r="S8" t="b">
        <f>B8='2024a_240930_0021'!B8</f>
        <v>1</v>
      </c>
      <c r="T8">
        <f>K8-'2024a_240930_0021'!K8</f>
        <v>28</v>
      </c>
      <c r="U8" s="5">
        <f>T8/'2024a_240930_0021'!K8</f>
        <v>6.1269146608315096E-2</v>
      </c>
      <c r="V8" s="4">
        <f>L8-'2024a_240930_0021'!L8</f>
        <v>-4.891394</v>
      </c>
      <c r="W8" s="5">
        <f>V8/'2024a_240930_0021'!L8</f>
        <v>-0.26680982070586062</v>
      </c>
    </row>
    <row r="9" spans="1:23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23</v>
      </c>
      <c r="K9">
        <v>545</v>
      </c>
      <c r="L9" s="4">
        <v>12.344556600000001</v>
      </c>
      <c r="M9" s="4">
        <v>71.620310385539639</v>
      </c>
      <c r="N9" s="4">
        <v>-0.54209487999693062</v>
      </c>
      <c r="O9" s="1" t="str">
        <f>HYPERLINK(".\sm_car_241122_0001\sm_car_241122_0001_008_Ca003TrN_MaLSS_ode23t.png","figure")</f>
        <v>figure</v>
      </c>
      <c r="P9" t="s">
        <v>15</v>
      </c>
      <c r="S9" t="b">
        <f>B9='2024a_240930_0021'!B9</f>
        <v>1</v>
      </c>
      <c r="T9">
        <f>K9-'2024a_240930_0021'!K9</f>
        <v>5</v>
      </c>
      <c r="U9" s="5">
        <f>T9/'2024a_240930_0021'!K9</f>
        <v>9.2592592592592587E-3</v>
      </c>
      <c r="V9" s="4">
        <f>L9-'2024a_240930_0021'!L9</f>
        <v>-6.969961099999999</v>
      </c>
      <c r="W9" s="5">
        <f>V9/'2024a_240930_0021'!L9</f>
        <v>-0.36086643261094731</v>
      </c>
    </row>
    <row r="10" spans="1:23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23</v>
      </c>
      <c r="K10">
        <v>1080</v>
      </c>
      <c r="L10" s="4">
        <v>11.9102196</v>
      </c>
      <c r="M10" s="4">
        <v>234.02489390444728</v>
      </c>
      <c r="N10" s="4">
        <v>1.0159461228916455E-2</v>
      </c>
      <c r="O10" s="1" t="str">
        <f>HYPERLINK(".\sm_car_241122_0001\sm_car_241122_0001_009_Ca004TrN_MaWOT_ode23t.png","figure")</f>
        <v>figure</v>
      </c>
      <c r="P10" t="s">
        <v>15</v>
      </c>
      <c r="S10" t="b">
        <f>B10='2024a_240930_0021'!B10</f>
        <v>1</v>
      </c>
      <c r="T10">
        <f>K10-'2024a_240930_0021'!K10</f>
        <v>26</v>
      </c>
      <c r="U10" s="5">
        <f>T10/'2024a_240930_0021'!K10</f>
        <v>2.4667931688804556E-2</v>
      </c>
      <c r="V10" s="4">
        <f>L10-'2024a_240930_0021'!L10</f>
        <v>-6.1387176999999991</v>
      </c>
      <c r="W10" s="5">
        <f>V10/'2024a_240930_0021'!L10</f>
        <v>-0.34011518783435518</v>
      </c>
    </row>
    <row r="11" spans="1:23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23</v>
      </c>
      <c r="K11">
        <v>1199</v>
      </c>
      <c r="L11" s="4">
        <v>13.434504199999999</v>
      </c>
      <c r="M11" s="4">
        <v>72.063902762907716</v>
      </c>
      <c r="N11" s="4">
        <v>-0.55532448460534756</v>
      </c>
      <c r="O11" s="1" t="str">
        <f>HYPERLINK(".\sm_car_241122_0001\sm_car_241122_0001_010_Ca004TrN_MaLSS_ode23t.png","figure")</f>
        <v>figure</v>
      </c>
      <c r="P11" t="s">
        <v>15</v>
      </c>
      <c r="S11" t="b">
        <f>B11='2024a_240930_0021'!B11</f>
        <v>1</v>
      </c>
      <c r="T11">
        <f>K11-'2024a_240930_0021'!K11</f>
        <v>19</v>
      </c>
      <c r="U11" s="5">
        <f>T11/'2024a_240930_0021'!K11</f>
        <v>1.6101694915254237E-2</v>
      </c>
      <c r="V11" s="4">
        <f>L11-'2024a_240930_0021'!L11</f>
        <v>-7.1419935000000017</v>
      </c>
      <c r="W11" s="5">
        <f>V11/'2024a_240930_0021'!L11</f>
        <v>-0.3470947099029395</v>
      </c>
    </row>
    <row r="12" spans="1:23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23</v>
      </c>
      <c r="K12">
        <v>1124</v>
      </c>
      <c r="L12" s="4">
        <v>15.147280800000001</v>
      </c>
      <c r="M12" s="4">
        <v>233.07233739455131</v>
      </c>
      <c r="N12" s="4">
        <v>1.6130985191181199E-3</v>
      </c>
      <c r="O12" s="1" t="str">
        <f>HYPERLINK(".\sm_car_241122_0001\sm_car_241122_0001_011_Ca005TrN_MaWOT_ode23t.png","figure")</f>
        <v>figure</v>
      </c>
      <c r="P12" t="s">
        <v>15</v>
      </c>
      <c r="S12" t="b">
        <f>B12='2024a_240930_0021'!B12</f>
        <v>1</v>
      </c>
      <c r="T12">
        <f>K12-'2024a_240930_0021'!K12</f>
        <v>60</v>
      </c>
      <c r="U12" s="5">
        <f>T12/'2024a_240930_0021'!K12</f>
        <v>5.6390977443609019E-2</v>
      </c>
      <c r="V12" s="4">
        <f>L12-'2024a_240930_0021'!L12</f>
        <v>-4.7002395999999997</v>
      </c>
      <c r="W12" s="5">
        <f>V12/'2024a_240930_0021'!L12</f>
        <v>-0.23681747166764466</v>
      </c>
    </row>
    <row r="13" spans="1:23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23</v>
      </c>
      <c r="K13">
        <v>1264</v>
      </c>
      <c r="L13" s="4">
        <v>16.022994600000001</v>
      </c>
      <c r="M13" s="4">
        <v>71.763020396679366</v>
      </c>
      <c r="N13" s="4">
        <v>-0.55011248657598333</v>
      </c>
      <c r="O13" s="1" t="str">
        <f>HYPERLINK(".\sm_car_241122_0001\sm_car_241122_0001_012_Ca005TrN_MaLSS_ode23t.png","figure")</f>
        <v>figure</v>
      </c>
      <c r="P13" t="s">
        <v>15</v>
      </c>
      <c r="S13" t="b">
        <f>B13='2024a_240930_0021'!B13</f>
        <v>1</v>
      </c>
      <c r="T13">
        <f>K13-'2024a_240930_0021'!K13</f>
        <v>72</v>
      </c>
      <c r="U13" s="5">
        <f>T13/'2024a_240930_0021'!K13</f>
        <v>6.0402684563758392E-2</v>
      </c>
      <c r="V13" s="4">
        <f>L13-'2024a_240930_0021'!L13</f>
        <v>-7.4488093000000006</v>
      </c>
      <c r="W13" s="5">
        <f>V13/'2024a_240930_0021'!L13</f>
        <v>-0.31735137749681014</v>
      </c>
    </row>
    <row r="14" spans="1:23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23</v>
      </c>
      <c r="K14">
        <v>1204</v>
      </c>
      <c r="L14" s="4">
        <v>16.876573400000002</v>
      </c>
      <c r="M14" s="4">
        <v>232.97152952646229</v>
      </c>
      <c r="N14" s="4">
        <v>6.7558531541541636E-2</v>
      </c>
      <c r="O14" s="1" t="str">
        <f>HYPERLINK(".\sm_car_241122_0001\sm_car_241122_0001_013_Ca006TrN_MaWOT_ode23t.png","figure")</f>
        <v>figure</v>
      </c>
      <c r="P14" t="s">
        <v>15</v>
      </c>
      <c r="S14" t="b">
        <f>B14='2024a_240930_0021'!B14</f>
        <v>1</v>
      </c>
      <c r="T14">
        <f>K14-'2024a_240930_0021'!K14</f>
        <v>-17</v>
      </c>
      <c r="U14" s="5">
        <f>T14/'2024a_240930_0021'!K14</f>
        <v>-1.3923013923013924E-2</v>
      </c>
      <c r="V14" s="4">
        <f>L14-'2024a_240930_0021'!L14</f>
        <v>-11.275693799999999</v>
      </c>
      <c r="W14" s="5">
        <f>V14/'2024a_240930_0021'!L14</f>
        <v>-0.40052524792745642</v>
      </c>
    </row>
    <row r="15" spans="1:23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23</v>
      </c>
      <c r="K15">
        <v>1276</v>
      </c>
      <c r="L15" s="4">
        <v>16.404632599999999</v>
      </c>
      <c r="M15" s="4">
        <v>71.756558453021952</v>
      </c>
      <c r="N15" s="4">
        <v>-0.54328498117443513</v>
      </c>
      <c r="O15" s="1" t="str">
        <f>HYPERLINK(".\sm_car_241122_0001\sm_car_241122_0001_014_Ca006TrN_MaLSS_ode23t.png","figure")</f>
        <v>figure</v>
      </c>
      <c r="P15" t="s">
        <v>15</v>
      </c>
      <c r="S15" t="b">
        <f>B15='2024a_240930_0021'!B15</f>
        <v>1</v>
      </c>
      <c r="T15">
        <f>K15-'2024a_240930_0021'!K15</f>
        <v>4</v>
      </c>
      <c r="U15" s="5">
        <f>T15/'2024a_240930_0021'!K15</f>
        <v>3.1446540880503146E-3</v>
      </c>
      <c r="V15" s="4">
        <f>L15-'2024a_240930_0021'!L15</f>
        <v>-9.2801524000000022</v>
      </c>
      <c r="W15" s="5">
        <f>V15/'2024a_240930_0021'!L15</f>
        <v>-0.36130932768173851</v>
      </c>
    </row>
    <row r="16" spans="1:23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23</v>
      </c>
      <c r="K16">
        <v>1155</v>
      </c>
      <c r="L16" s="4">
        <v>15.997407600000001</v>
      </c>
      <c r="M16" s="4">
        <v>232.45565063963852</v>
      </c>
      <c r="N16" s="4">
        <v>6.8713458859700552E-2</v>
      </c>
      <c r="O16" s="1" t="str">
        <f>HYPERLINK(".\sm_car_241122_0001\sm_car_241122_0001_015_Ca007TrN_MaWOT_ode23t.png","figure")</f>
        <v>figure</v>
      </c>
      <c r="P16" t="s">
        <v>15</v>
      </c>
      <c r="S16" t="b">
        <f>B16='2024a_240930_0021'!B16</f>
        <v>1</v>
      </c>
      <c r="T16">
        <f>K16-'2024a_240930_0021'!K16</f>
        <v>-7</v>
      </c>
      <c r="U16" s="5">
        <f>T16/'2024a_240930_0021'!K16</f>
        <v>-6.024096385542169E-3</v>
      </c>
      <c r="V16" s="4">
        <f>L16-'2024a_240930_0021'!L16</f>
        <v>-9.7714410999999988</v>
      </c>
      <c r="W16" s="5">
        <f>V16/'2024a_240930_0021'!L16</f>
        <v>-0.37919587381488251</v>
      </c>
    </row>
    <row r="17" spans="1:23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23</v>
      </c>
      <c r="K17">
        <v>1258</v>
      </c>
      <c r="L17" s="4">
        <v>17.8561792</v>
      </c>
      <c r="M17" s="4">
        <v>71.634995855592408</v>
      </c>
      <c r="N17" s="4">
        <v>-0.54324119636468093</v>
      </c>
      <c r="O17" s="1" t="str">
        <f>HYPERLINK(".\sm_car_241122_0001\sm_car_241122_0001_016_Ca007TrN_MaLSS_ode23t.png","figure")</f>
        <v>figure</v>
      </c>
      <c r="P17" t="s">
        <v>15</v>
      </c>
      <c r="S17" t="b">
        <f>B17='2024a_240930_0021'!B17</f>
        <v>1</v>
      </c>
      <c r="T17">
        <f>K17-'2024a_240930_0021'!K17</f>
        <v>23</v>
      </c>
      <c r="U17" s="5">
        <f>T17/'2024a_240930_0021'!K17</f>
        <v>1.862348178137652E-2</v>
      </c>
      <c r="V17" s="4">
        <f>L17-'2024a_240930_0021'!L17</f>
        <v>-7.600760600000001</v>
      </c>
      <c r="W17" s="5">
        <f>V17/'2024a_240930_0021'!L17</f>
        <v>-0.29857322442189227</v>
      </c>
    </row>
    <row r="18" spans="1:23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>
        <v>398</v>
      </c>
      <c r="L18" s="4">
        <v>5.9951492000000002</v>
      </c>
      <c r="M18" s="4">
        <v>234.85527709561617</v>
      </c>
      <c r="N18" s="4">
        <v>-7.0551214671189494E-2</v>
      </c>
      <c r="O18" s="1" t="str">
        <f>HYPERLINK(".\sm_car_241122_0001\sm_car_241122_0001_017_Ca016TrN_MaWOT_ode23t.png","figure")</f>
        <v>figure</v>
      </c>
      <c r="P18" t="s">
        <v>15</v>
      </c>
      <c r="S18" t="b">
        <f>B18='2024a_240930_0021'!B18</f>
        <v>1</v>
      </c>
      <c r="T18">
        <f>K18-'2024a_240930_0021'!K18</f>
        <v>20</v>
      </c>
      <c r="U18" s="5">
        <f>T18/'2024a_240930_0021'!K18</f>
        <v>5.2910052910052907E-2</v>
      </c>
      <c r="V18" s="4">
        <f>L18-'2024a_240930_0021'!L18</f>
        <v>-2.7280821</v>
      </c>
      <c r="W18" s="5">
        <f>V18/'2024a_240930_0021'!L18</f>
        <v>-0.31273756320092072</v>
      </c>
    </row>
    <row r="19" spans="1:23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23</v>
      </c>
      <c r="K19">
        <v>490</v>
      </c>
      <c r="L19" s="4">
        <v>6.2325093999999996</v>
      </c>
      <c r="M19" s="4">
        <v>72.406471334253794</v>
      </c>
      <c r="N19" s="4">
        <v>-2.1446107441663437E-2</v>
      </c>
      <c r="O19" s="1" t="str">
        <f>HYPERLINK(".\sm_car_241122_0001\sm_car_241122_0001_018_Ca016TrN_MaLSS_ode23t.png","figure")</f>
        <v>figure</v>
      </c>
      <c r="P19" t="s">
        <v>15</v>
      </c>
      <c r="S19" t="b">
        <f>B19='2024a_240930_0021'!B19</f>
        <v>1</v>
      </c>
      <c r="T19">
        <f>K19-'2024a_240930_0021'!K19</f>
        <v>19</v>
      </c>
      <c r="U19" s="5">
        <f>T19/'2024a_240930_0021'!K19</f>
        <v>4.0339702760084924E-2</v>
      </c>
      <c r="V19" s="4">
        <f>L19-'2024a_240930_0021'!L19</f>
        <v>-3.1258563000000006</v>
      </c>
      <c r="W19" s="5">
        <f>V19/'2024a_240930_0021'!L19</f>
        <v>-0.33401732740578843</v>
      </c>
    </row>
    <row r="20" spans="1:23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>
        <v>415</v>
      </c>
      <c r="L20" s="4">
        <v>7.6853948000000001</v>
      </c>
      <c r="M20" s="4">
        <v>233.91274765035033</v>
      </c>
      <c r="N20" s="4">
        <v>1.9946446989349529E-2</v>
      </c>
      <c r="O20" s="1" t="str">
        <f>HYPERLINK(".\sm_car_241122_0001\sm_car_241122_0001_019_Ca032TrN_MaWOT_ode23t.png","figure")</f>
        <v>figure</v>
      </c>
      <c r="P20" t="s">
        <v>15</v>
      </c>
      <c r="S20" t="b">
        <f>B20='2024a_240930_0021'!B20</f>
        <v>1</v>
      </c>
      <c r="T20">
        <f>K20-'2024a_240930_0021'!K20</f>
        <v>15</v>
      </c>
      <c r="U20" s="5">
        <f>T20/'2024a_240930_0021'!K20</f>
        <v>3.7499999999999999E-2</v>
      </c>
      <c r="V20" s="4">
        <f>L20-'2024a_240930_0021'!L20</f>
        <v>-4.4204785000000006</v>
      </c>
      <c r="W20" s="5">
        <f>V20/'2024a_240930_0021'!L20</f>
        <v>-0.36515155829360946</v>
      </c>
    </row>
    <row r="21" spans="1:23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23</v>
      </c>
      <c r="K21">
        <v>528</v>
      </c>
      <c r="L21" s="4">
        <v>8.4205482000000007</v>
      </c>
      <c r="M21" s="4">
        <v>72.055743229555333</v>
      </c>
      <c r="N21" s="4">
        <v>-0.53470680317721853</v>
      </c>
      <c r="O21" s="1" t="str">
        <f>HYPERLINK(".\sm_car_241122_0001\sm_car_241122_0001_020_Ca032TrN_MaLSS_ode23t.png","figure")</f>
        <v>figure</v>
      </c>
      <c r="P21" t="s">
        <v>15</v>
      </c>
      <c r="S21" t="b">
        <f>B21='2024a_240930_0021'!B21</f>
        <v>1</v>
      </c>
      <c r="T21">
        <f>K21-'2024a_240930_0021'!K21</f>
        <v>11</v>
      </c>
      <c r="U21" s="5">
        <f>T21/'2024a_240930_0021'!K21</f>
        <v>2.1276595744680851E-2</v>
      </c>
      <c r="V21" s="4">
        <f>L21-'2024a_240930_0021'!L21</f>
        <v>-5.3027444999999993</v>
      </c>
      <c r="W21" s="5">
        <f>V21/'2024a_240930_0021'!L21</f>
        <v>-0.3864046782300285</v>
      </c>
    </row>
    <row r="22" spans="1:23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>
        <v>408</v>
      </c>
      <c r="L22" s="4">
        <v>8.5266088</v>
      </c>
      <c r="M22" s="4">
        <v>234.09911211171408</v>
      </c>
      <c r="N22" s="4">
        <v>-5.2261530547616734E-3</v>
      </c>
      <c r="O22" s="1" t="str">
        <f>HYPERLINK(".\sm_car_241122_0001\sm_car_241122_0001_021_Ca048TrN_MaWOT_ode23t.png","figure")</f>
        <v>figure</v>
      </c>
      <c r="P22" t="s">
        <v>15</v>
      </c>
      <c r="S22" t="b">
        <f>B22='2024a_240930_0021'!B22</f>
        <v>1</v>
      </c>
      <c r="T22">
        <f>K22-'2024a_240930_0021'!K22</f>
        <v>0</v>
      </c>
      <c r="U22" s="5">
        <f>T22/'2024a_240930_0021'!K22</f>
        <v>0</v>
      </c>
      <c r="V22" s="4">
        <f>L22-'2024a_240930_0021'!L22</f>
        <v>-5.0092321999999996</v>
      </c>
      <c r="W22" s="5">
        <f>V22/'2024a_240930_0021'!L22</f>
        <v>-0.37007173769254526</v>
      </c>
    </row>
    <row r="23" spans="1:23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23</v>
      </c>
      <c r="K23">
        <v>515</v>
      </c>
      <c r="L23" s="4">
        <v>8.9813180999999993</v>
      </c>
      <c r="M23" s="4">
        <v>72.054452019936065</v>
      </c>
      <c r="N23" s="4">
        <v>-0.54201659718164297</v>
      </c>
      <c r="O23" s="1" t="str">
        <f>HYPERLINK(".\sm_car_241122_0001\sm_car_241122_0001_022_Ca048TrN_MaLSS_ode23t.png","figure")</f>
        <v>figure</v>
      </c>
      <c r="P23" t="s">
        <v>15</v>
      </c>
      <c r="S23" t="b">
        <f>B23='2024a_240930_0021'!B23</f>
        <v>1</v>
      </c>
      <c r="T23">
        <f>K23-'2024a_240930_0021'!K23</f>
        <v>13</v>
      </c>
      <c r="U23" s="5">
        <f>T23/'2024a_240930_0021'!K23</f>
        <v>2.5896414342629483E-2</v>
      </c>
      <c r="V23" s="4">
        <f>L23-'2024a_240930_0021'!L23</f>
        <v>-5.1168575000000001</v>
      </c>
      <c r="W23" s="5">
        <f>V23/'2024a_240930_0021'!L23</f>
        <v>-0.36294465647030244</v>
      </c>
    </row>
    <row r="24" spans="1:23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>
        <v>419</v>
      </c>
      <c r="L24" s="4">
        <v>8.7647375000000007</v>
      </c>
      <c r="M24" s="4">
        <v>233.91241948849785</v>
      </c>
      <c r="N24" s="4">
        <v>2.0638938581955237E-2</v>
      </c>
      <c r="O24" s="1" t="str">
        <f>HYPERLINK(".\sm_car_241122_0001\sm_car_241122_0001_023_Ca064TrN_MaWOT_ode23t.png","figure")</f>
        <v>figure</v>
      </c>
      <c r="P24" t="s">
        <v>15</v>
      </c>
      <c r="S24" t="b">
        <f>B24='2024a_240930_0021'!B24</f>
        <v>1</v>
      </c>
      <c r="T24">
        <f>K24-'2024a_240930_0021'!K24</f>
        <v>29</v>
      </c>
      <c r="U24" s="5">
        <f>T24/'2024a_240930_0021'!K24</f>
        <v>7.4358974358974358E-2</v>
      </c>
      <c r="V24" s="4">
        <f>L24-'2024a_240930_0021'!L24</f>
        <v>-4.8063988999999996</v>
      </c>
      <c r="W24" s="5">
        <f>V24/'2024a_240930_0021'!L24</f>
        <v>-0.3541633329984068</v>
      </c>
    </row>
    <row r="25" spans="1:23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23</v>
      </c>
      <c r="K25">
        <v>522</v>
      </c>
      <c r="L25" s="4">
        <v>8.9240899999999996</v>
      </c>
      <c r="M25" s="4">
        <v>72.057070022895118</v>
      </c>
      <c r="N25" s="4">
        <v>-0.52881637486471467</v>
      </c>
      <c r="O25" s="1" t="str">
        <f>HYPERLINK(".\sm_car_241122_0001\sm_car_241122_0001_024_Ca064TrN_MaLSS_ode23t.png","figure")</f>
        <v>figure</v>
      </c>
      <c r="P25" t="s">
        <v>15</v>
      </c>
      <c r="S25" t="b">
        <f>B25='2024a_240930_0021'!B25</f>
        <v>1</v>
      </c>
      <c r="T25">
        <f>K25-'2024a_240930_0021'!K25</f>
        <v>8</v>
      </c>
      <c r="U25" s="5">
        <f>T25/'2024a_240930_0021'!K25</f>
        <v>1.556420233463035E-2</v>
      </c>
      <c r="V25" s="4">
        <f>L25-'2024a_240930_0021'!L25</f>
        <v>-6.3336924000000003</v>
      </c>
      <c r="W25" s="5">
        <f>V25/'2024a_240930_0021'!L25</f>
        <v>-0.41511225117484968</v>
      </c>
    </row>
    <row r="26" spans="1:23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>
        <v>404</v>
      </c>
      <c r="L26" s="4">
        <v>9.5385498000000002</v>
      </c>
      <c r="M26" s="4">
        <v>234.27208560602367</v>
      </c>
      <c r="N26" s="4">
        <v>-5.235901918606671E-3</v>
      </c>
      <c r="O26" s="1" t="str">
        <f>HYPERLINK(".\sm_car_241122_0001\sm_car_241122_0001_025_Ca080TrN_MaWOT_ode23t.png","figure")</f>
        <v>figure</v>
      </c>
      <c r="P26" t="s">
        <v>15</v>
      </c>
      <c r="S26" t="b">
        <f>B26='2024a_240930_0021'!B26</f>
        <v>1</v>
      </c>
      <c r="T26">
        <f>K26-'2024a_240930_0021'!K26</f>
        <v>19</v>
      </c>
      <c r="U26" s="5">
        <f>T26/'2024a_240930_0021'!K26</f>
        <v>4.9350649350649353E-2</v>
      </c>
      <c r="V26" s="4">
        <f>L26-'2024a_240930_0021'!L26</f>
        <v>-4.0058244999999992</v>
      </c>
      <c r="W26" s="5">
        <f>V26/'2024a_240930_0021'!L26</f>
        <v>-0.2957555964766862</v>
      </c>
    </row>
    <row r="27" spans="1:23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23</v>
      </c>
      <c r="K27">
        <v>511</v>
      </c>
      <c r="L27" s="4">
        <v>9.7546233999999998</v>
      </c>
      <c r="M27" s="4">
        <v>72.131279179363517</v>
      </c>
      <c r="N27" s="4">
        <v>-0.53491525684205243</v>
      </c>
      <c r="O27" s="1" t="str">
        <f>HYPERLINK(".\sm_car_241122_0001\sm_car_241122_0001_026_Ca080TrN_MaLSS_ode23t.png","figure")</f>
        <v>figure</v>
      </c>
      <c r="P27" t="s">
        <v>15</v>
      </c>
      <c r="S27" t="b">
        <f>B27='2024a_240930_0021'!B27</f>
        <v>1</v>
      </c>
      <c r="T27">
        <f>K27-'2024a_240930_0021'!K27</f>
        <v>17</v>
      </c>
      <c r="U27" s="5">
        <f>T27/'2024a_240930_0021'!K27</f>
        <v>3.4412955465587043E-2</v>
      </c>
      <c r="V27" s="4">
        <f>L27-'2024a_240930_0021'!L27</f>
        <v>-4.7242367000000005</v>
      </c>
      <c r="W27" s="5">
        <f>V27/'2024a_240930_0021'!L27</f>
        <v>-0.3262851265480492</v>
      </c>
    </row>
    <row r="28" spans="1:23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>
        <v>403</v>
      </c>
      <c r="L28" s="4">
        <v>6.2521433999999996</v>
      </c>
      <c r="M28" s="4">
        <v>236.08919464587953</v>
      </c>
      <c r="N28" s="4">
        <v>3.132384891789107E-2</v>
      </c>
      <c r="O28" s="1" t="str">
        <f>HYPERLINK(".\sm_car_241122_0001\sm_car_241122_0001_027_Ca096TrN_MaWOT_ode23t.png","figure")</f>
        <v>figure</v>
      </c>
      <c r="P28" t="s">
        <v>15</v>
      </c>
      <c r="S28" t="b">
        <f>B28='2024a_240930_0021'!B28</f>
        <v>1</v>
      </c>
      <c r="T28">
        <f>K28-'2024a_240930_0021'!K28</f>
        <v>17</v>
      </c>
      <c r="U28" s="5">
        <f>T28/'2024a_240930_0021'!K28</f>
        <v>4.4041450777202069E-2</v>
      </c>
      <c r="V28" s="4">
        <f>L28-'2024a_240930_0021'!L28</f>
        <v>-3.8475090000000005</v>
      </c>
      <c r="W28" s="5">
        <f>V28/'2024a_240930_0021'!L28</f>
        <v>-0.38095459602154236</v>
      </c>
    </row>
    <row r="29" spans="1:23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23</v>
      </c>
      <c r="K29">
        <v>525</v>
      </c>
      <c r="L29" s="4">
        <v>6.8763478999999998</v>
      </c>
      <c r="M29" s="4">
        <v>72.654039827012554</v>
      </c>
      <c r="N29" s="4">
        <v>-0.54258190664383876</v>
      </c>
      <c r="O29" s="1" t="str">
        <f>HYPERLINK(".\sm_car_241122_0001\sm_car_241122_0001_028_Ca096TrN_MaLSS_ode23t.png","figure")</f>
        <v>figure</v>
      </c>
      <c r="P29" t="s">
        <v>15</v>
      </c>
      <c r="S29" t="b">
        <f>B29='2024a_240930_0021'!B29</f>
        <v>1</v>
      </c>
      <c r="T29">
        <f>K29-'2024a_240930_0021'!K29</f>
        <v>11</v>
      </c>
      <c r="U29" s="5">
        <f>T29/'2024a_240930_0021'!K29</f>
        <v>2.1400778210116732E-2</v>
      </c>
      <c r="V29" s="4">
        <f>L29-'2024a_240930_0021'!L29</f>
        <v>-5.297900900000001</v>
      </c>
      <c r="W29" s="5">
        <f>V29/'2024a_240930_0021'!L29</f>
        <v>-0.43517271472224228</v>
      </c>
    </row>
    <row r="30" spans="1:23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>
        <v>380</v>
      </c>
      <c r="L30" s="4">
        <v>2.5771248</v>
      </c>
      <c r="M30" s="4">
        <v>242.6089250266231</v>
      </c>
      <c r="N30" s="4">
        <v>0.23450595985822392</v>
      </c>
      <c r="O30" s="1" t="str">
        <f>HYPERLINK(".\sm_car_241122_0001\sm_car_241122_0001_029_Ca112TrN_MaWOT_ode23t.png","figure")</f>
        <v>figure</v>
      </c>
      <c r="P30" t="s">
        <v>15</v>
      </c>
      <c r="S30" t="b">
        <f>B30='2024a_240930_0021'!B30</f>
        <v>1</v>
      </c>
      <c r="T30">
        <f>K30-'2024a_240930_0021'!K30</f>
        <v>-11</v>
      </c>
      <c r="U30" s="5">
        <f>T30/'2024a_240930_0021'!K30</f>
        <v>-2.8132992327365727E-2</v>
      </c>
      <c r="V30" s="4">
        <f>L30-'2024a_240930_0021'!L30</f>
        <v>-1.5470629999999996</v>
      </c>
      <c r="W30" s="5">
        <f>V30/'2024a_240930_0021'!L30</f>
        <v>-0.37511943563772721</v>
      </c>
    </row>
    <row r="31" spans="1:23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23</v>
      </c>
      <c r="K31">
        <v>472</v>
      </c>
      <c r="L31" s="4">
        <v>2.6434335</v>
      </c>
      <c r="M31" s="4">
        <v>74.659635890023381</v>
      </c>
      <c r="N31" s="4">
        <v>-0.33799621506860861</v>
      </c>
      <c r="O31" s="1" t="str">
        <f>HYPERLINK(".\sm_car_241122_0001\sm_car_241122_0001_030_Ca112TrN_MaLSS_ode23t.png","figure")</f>
        <v>figure</v>
      </c>
      <c r="P31" t="s">
        <v>15</v>
      </c>
      <c r="S31" t="b">
        <f>B31='2024a_240930_0021'!B31</f>
        <v>1</v>
      </c>
      <c r="T31">
        <f>K31-'2024a_240930_0021'!K31</f>
        <v>-33</v>
      </c>
      <c r="U31" s="5">
        <f>T31/'2024a_240930_0021'!K31</f>
        <v>-6.5346534653465349E-2</v>
      </c>
      <c r="V31" s="4">
        <f>L31-'2024a_240930_0021'!L31</f>
        <v>-1.9926469</v>
      </c>
      <c r="W31" s="5">
        <f>V31/'2024a_240930_0021'!L31</f>
        <v>-0.4298128436254039</v>
      </c>
    </row>
    <row r="32" spans="1:23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23</v>
      </c>
      <c r="K32">
        <v>365</v>
      </c>
      <c r="L32" s="4">
        <v>2.9415854000000001</v>
      </c>
      <c r="M32" s="4">
        <v>241.58095919907919</v>
      </c>
      <c r="N32" s="4">
        <v>0.23108069325636199</v>
      </c>
      <c r="O32" s="1" t="str">
        <f>HYPERLINK(".\sm_car_241122_0001\sm_car_241122_0001_031_Ca113TrN_MaWOT_ode23t.png","figure")</f>
        <v>figure</v>
      </c>
      <c r="P32" t="s">
        <v>15</v>
      </c>
      <c r="S32" t="b">
        <f>B32='2024a_240930_0021'!B32</f>
        <v>1</v>
      </c>
      <c r="T32">
        <f>K32-'2024a_240930_0021'!K32</f>
        <v>-1</v>
      </c>
      <c r="U32" s="5">
        <f>T32/'2024a_240930_0021'!K32</f>
        <v>-2.7322404371584699E-3</v>
      </c>
      <c r="V32" s="4">
        <f>L32-'2024a_240930_0021'!L32</f>
        <v>-1.6809250999999996</v>
      </c>
      <c r="W32" s="5">
        <f>V32/'2024a_240930_0021'!L32</f>
        <v>-0.36363900092817525</v>
      </c>
    </row>
    <row r="33" spans="1:23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23</v>
      </c>
      <c r="K33">
        <v>472</v>
      </c>
      <c r="L33" s="4">
        <v>2.8980201999999999</v>
      </c>
      <c r="M33" s="4">
        <v>74.347327706198811</v>
      </c>
      <c r="N33" s="4">
        <v>-0.33499338802632245</v>
      </c>
      <c r="O33" s="1" t="str">
        <f>HYPERLINK(".\sm_car_241122_0001\sm_car_241122_0001_032_Ca113TrN_MaLSS_ode23t.png","figure")</f>
        <v>figure</v>
      </c>
      <c r="P33" t="s">
        <v>15</v>
      </c>
      <c r="S33" t="b">
        <f>B33='2024a_240930_0021'!B33</f>
        <v>1</v>
      </c>
      <c r="T33">
        <f>K33-'2024a_240930_0021'!K33</f>
        <v>-17</v>
      </c>
      <c r="U33" s="5">
        <f>T33/'2024a_240930_0021'!K33</f>
        <v>-3.4764826175869123E-2</v>
      </c>
      <c r="V33" s="4">
        <f>L33-'2024a_240930_0021'!L33</f>
        <v>-2.4137080000000002</v>
      </c>
      <c r="W33" s="5">
        <f>V33/'2024a_240930_0021'!L33</f>
        <v>-0.45441105213177135</v>
      </c>
    </row>
    <row r="34" spans="1:23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23</v>
      </c>
      <c r="K34">
        <v>382</v>
      </c>
      <c r="L34" s="4">
        <v>3.0769894</v>
      </c>
      <c r="M34" s="4">
        <v>241.61378277209207</v>
      </c>
      <c r="N34" s="4">
        <v>0.23021245244501903</v>
      </c>
      <c r="O34" s="1" t="str">
        <f>HYPERLINK(".\sm_car_241122_0001\sm_car_241122_0001_033_Ca114TrN_MaWOT_ode23t.png","figure")</f>
        <v>figure</v>
      </c>
      <c r="P34" t="s">
        <v>15</v>
      </c>
      <c r="S34" t="b">
        <f>B34='2024a_240930_0021'!B34</f>
        <v>1</v>
      </c>
      <c r="T34">
        <f>K34-'2024a_240930_0021'!K34</f>
        <v>17</v>
      </c>
      <c r="U34" s="5">
        <f>T34/'2024a_240930_0021'!K34</f>
        <v>4.6575342465753428E-2</v>
      </c>
      <c r="V34" s="4">
        <f>L34-'2024a_240930_0021'!L34</f>
        <v>-2.0455742000000003</v>
      </c>
      <c r="W34" s="5">
        <f>V34/'2024a_240930_0021'!L34</f>
        <v>-0.39932626702770468</v>
      </c>
    </row>
    <row r="35" spans="1:23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23</v>
      </c>
      <c r="K35">
        <v>482</v>
      </c>
      <c r="L35" s="4">
        <v>3.2441561999999999</v>
      </c>
      <c r="M35" s="4">
        <v>74.351409358906011</v>
      </c>
      <c r="N35" s="4">
        <v>-0.33420060419010328</v>
      </c>
      <c r="O35" s="1" t="str">
        <f>HYPERLINK(".\sm_car_241122_0001\sm_car_241122_0001_034_Ca114TrN_MaLSS_ode23t.png","figure")</f>
        <v>figure</v>
      </c>
      <c r="P35" t="s">
        <v>15</v>
      </c>
      <c r="S35" t="b">
        <f>B35='2024a_240930_0021'!B35</f>
        <v>1</v>
      </c>
      <c r="T35">
        <f>K35-'2024a_240930_0021'!K35</f>
        <v>5</v>
      </c>
      <c r="U35" s="5">
        <f>T35/'2024a_240930_0021'!K35</f>
        <v>1.0482180293501049E-2</v>
      </c>
      <c r="V35" s="4">
        <f>L35-'2024a_240930_0021'!L35</f>
        <v>-1.9533186999999996</v>
      </c>
      <c r="W35" s="5">
        <f>V35/'2024a_240930_0021'!L35</f>
        <v>-0.37582070862910755</v>
      </c>
    </row>
    <row r="36" spans="1:23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23</v>
      </c>
      <c r="K36">
        <v>394</v>
      </c>
      <c r="L36" s="4">
        <v>3.2253086</v>
      </c>
      <c r="M36" s="4">
        <v>241.17294486789336</v>
      </c>
      <c r="N36" s="4">
        <v>0.22843004969485575</v>
      </c>
      <c r="O36" s="1" t="str">
        <f>HYPERLINK(".\sm_car_241122_0001\sm_car_241122_0001_035_Ca115TrN_MaWOT_ode23t.png","figure")</f>
        <v>figure</v>
      </c>
      <c r="P36" t="s">
        <v>15</v>
      </c>
      <c r="S36" t="b">
        <f>B36='2024a_240930_0021'!B36</f>
        <v>1</v>
      </c>
      <c r="T36">
        <f>K36-'2024a_240930_0021'!K36</f>
        <v>3</v>
      </c>
      <c r="U36" s="5">
        <f>T36/'2024a_240930_0021'!K36</f>
        <v>7.6726342710997444E-3</v>
      </c>
      <c r="V36" s="4">
        <f>L36-'2024a_240930_0021'!L36</f>
        <v>-2.0746735000000003</v>
      </c>
      <c r="W36" s="5">
        <f>V36/'2024a_240930_0021'!L36</f>
        <v>-0.39144915225279725</v>
      </c>
    </row>
    <row r="37" spans="1:23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23</v>
      </c>
      <c r="K37">
        <v>505</v>
      </c>
      <c r="L37" s="4">
        <v>3.3508490000000002</v>
      </c>
      <c r="M37" s="4">
        <v>74.209226032839169</v>
      </c>
      <c r="N37" s="4">
        <v>-0.3316804496625117</v>
      </c>
      <c r="O37" s="1" t="str">
        <f>HYPERLINK(".\sm_car_241122_0001\sm_car_241122_0001_036_Ca115TrN_MaLSS_ode23t.png","figure")</f>
        <v>figure</v>
      </c>
      <c r="P37" t="s">
        <v>15</v>
      </c>
      <c r="S37" t="b">
        <f>B37='2024a_240930_0021'!B37</f>
        <v>1</v>
      </c>
      <c r="T37">
        <f>K37-'2024a_240930_0021'!K37</f>
        <v>25</v>
      </c>
      <c r="U37" s="5">
        <f>T37/'2024a_240930_0021'!K37</f>
        <v>5.2083333333333336E-2</v>
      </c>
      <c r="V37" s="4">
        <f>L37-'2024a_240930_0021'!L37</f>
        <v>-2.0855499000000002</v>
      </c>
      <c r="W37" s="5">
        <f>V37/'2024a_240930_0021'!L37</f>
        <v>-0.38362709182359667</v>
      </c>
    </row>
    <row r="38" spans="1:23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23</v>
      </c>
      <c r="K38">
        <v>943</v>
      </c>
      <c r="L38" s="4">
        <v>4.4996784999999999</v>
      </c>
      <c r="M38" s="4">
        <v>242.63118630005806</v>
      </c>
      <c r="N38" s="4">
        <v>0.2327919371692862</v>
      </c>
      <c r="O38" s="1" t="str">
        <f>HYPERLINK(".\sm_car_241122_0001\sm_car_241122_0001_037_Ca116TrN_MaWOT_ode23t.png","figure")</f>
        <v>figure</v>
      </c>
      <c r="P38" t="s">
        <v>15</v>
      </c>
      <c r="S38" t="b">
        <f>B38='2024a_240930_0021'!B38</f>
        <v>1</v>
      </c>
      <c r="T38">
        <f>K38-'2024a_240930_0021'!K38</f>
        <v>13</v>
      </c>
      <c r="U38" s="5">
        <f>T38/'2024a_240930_0021'!K38</f>
        <v>1.3978494623655914E-2</v>
      </c>
      <c r="V38" s="4">
        <f>L38-'2024a_240930_0021'!L38</f>
        <v>-2.8220977999999999</v>
      </c>
      <c r="W38" s="5">
        <f>V38/'2024a_240930_0021'!L38</f>
        <v>-0.38543895420568913</v>
      </c>
    </row>
    <row r="39" spans="1:23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23</v>
      </c>
      <c r="K39">
        <v>1060</v>
      </c>
      <c r="L39" s="4">
        <v>4.9081840999999997</v>
      </c>
      <c r="M39" s="4">
        <v>74.660234080632137</v>
      </c>
      <c r="N39" s="4">
        <v>-0.34043153147504285</v>
      </c>
      <c r="O39" s="1" t="str">
        <f>HYPERLINK(".\sm_car_241122_0001\sm_car_241122_0001_038_Ca116TrN_MaLSS_ode23t.png","figure")</f>
        <v>figure</v>
      </c>
      <c r="P39" t="s">
        <v>15</v>
      </c>
      <c r="S39" t="b">
        <f>B39='2024a_240930_0021'!B39</f>
        <v>1</v>
      </c>
      <c r="T39">
        <f>K39-'2024a_240930_0021'!K39</f>
        <v>11</v>
      </c>
      <c r="U39" s="5">
        <f>T39/'2024a_240930_0021'!K39</f>
        <v>1.0486177311725452E-2</v>
      </c>
      <c r="V39" s="4">
        <f>L39-'2024a_240930_0021'!L39</f>
        <v>-2.9611187000000001</v>
      </c>
      <c r="W39" s="5">
        <f>V39/'2024a_240930_0021'!L39</f>
        <v>-0.37628729955594037</v>
      </c>
    </row>
    <row r="40" spans="1:23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23</v>
      </c>
      <c r="K40">
        <v>955</v>
      </c>
      <c r="L40" s="4">
        <v>5.2844626000000003</v>
      </c>
      <c r="M40" s="4">
        <v>241.25997355936263</v>
      </c>
      <c r="N40" s="4">
        <v>0.23003619284985113</v>
      </c>
      <c r="O40" s="1" t="str">
        <f>HYPERLINK(".\sm_car_241122_0001\sm_car_241122_0001_039_Ca117TrN_MaWOT_ode23t.png","figure")</f>
        <v>figure</v>
      </c>
      <c r="P40" t="s">
        <v>15</v>
      </c>
      <c r="S40" t="b">
        <f>B40='2024a_240930_0021'!B40</f>
        <v>1</v>
      </c>
      <c r="T40">
        <f>K40-'2024a_240930_0021'!K40</f>
        <v>11</v>
      </c>
      <c r="U40" s="5">
        <f>T40/'2024a_240930_0021'!K40</f>
        <v>1.1652542372881356E-2</v>
      </c>
      <c r="V40" s="4">
        <f>L40-'2024a_240930_0021'!L40</f>
        <v>-2.7267465999999994</v>
      </c>
      <c r="W40" s="5">
        <f>V40/'2024a_240930_0021'!L40</f>
        <v>-0.34036642058979055</v>
      </c>
    </row>
    <row r="41" spans="1:23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23</v>
      </c>
      <c r="K41">
        <v>1049</v>
      </c>
      <c r="L41" s="4">
        <v>5.3775950999999997</v>
      </c>
      <c r="M41" s="4">
        <v>74.351684862220708</v>
      </c>
      <c r="N41" s="4">
        <v>-0.33712441838713736</v>
      </c>
      <c r="O41" s="1" t="str">
        <f>HYPERLINK(".\sm_car_241122_0001\sm_car_241122_0001_040_Ca117TrN_MaLSS_ode23t.png","figure")</f>
        <v>figure</v>
      </c>
      <c r="P41" t="s">
        <v>15</v>
      </c>
      <c r="S41" t="b">
        <f>B41='2024a_240930_0021'!B41</f>
        <v>1</v>
      </c>
      <c r="T41">
        <f>K41-'2024a_240930_0021'!K41</f>
        <v>-27</v>
      </c>
      <c r="U41" s="5">
        <f>T41/'2024a_240930_0021'!K41</f>
        <v>-2.5092936802973979E-2</v>
      </c>
      <c r="V41" s="4">
        <f>L41-'2024a_240930_0021'!L41</f>
        <v>-3.8461322999999998</v>
      </c>
      <c r="W41" s="5">
        <f>V41/'2024a_240930_0021'!L41</f>
        <v>-0.41698243380436417</v>
      </c>
    </row>
    <row r="42" spans="1:23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23</v>
      </c>
      <c r="K42">
        <v>941</v>
      </c>
      <c r="L42" s="4">
        <v>5.1916332000000001</v>
      </c>
      <c r="M42" s="4">
        <v>241.36830230630156</v>
      </c>
      <c r="N42" s="4">
        <v>0.23049915345602534</v>
      </c>
      <c r="O42" s="1" t="str">
        <f>HYPERLINK(".\sm_car_241122_0001\sm_car_241122_0001_041_Ca118TrN_MaWOT_ode23t.png","figure")</f>
        <v>figure</v>
      </c>
      <c r="P42" t="s">
        <v>15</v>
      </c>
      <c r="S42" t="b">
        <f>B42='2024a_240930_0021'!B42</f>
        <v>1</v>
      </c>
      <c r="T42">
        <f>K42-'2024a_240930_0021'!K42</f>
        <v>-19</v>
      </c>
      <c r="U42" s="5">
        <f>T42/'2024a_240930_0021'!K42</f>
        <v>-1.9791666666666666E-2</v>
      </c>
      <c r="V42" s="4">
        <f>L42-'2024a_240930_0021'!L42</f>
        <v>-3.6872112000000001</v>
      </c>
      <c r="W42" s="5">
        <f>V42/'2024a_240930_0021'!L42</f>
        <v>-0.41528052907425655</v>
      </c>
    </row>
    <row r="43" spans="1:23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23</v>
      </c>
      <c r="K43">
        <v>1055</v>
      </c>
      <c r="L43" s="4">
        <v>5.9922129999999996</v>
      </c>
      <c r="M43" s="4">
        <v>74.35119559538083</v>
      </c>
      <c r="N43" s="4">
        <v>-0.33387549857144455</v>
      </c>
      <c r="O43" s="1" t="str">
        <f>HYPERLINK(".\sm_car_241122_0001\sm_car_241122_0001_042_Ca118TrN_MaLSS_ode23t.png","figure")</f>
        <v>figure</v>
      </c>
      <c r="P43" t="s">
        <v>15</v>
      </c>
      <c r="S43" t="b">
        <f>B43='2024a_240930_0021'!B43</f>
        <v>1</v>
      </c>
      <c r="T43">
        <f>K43-'2024a_240930_0021'!K43</f>
        <v>-14</v>
      </c>
      <c r="U43" s="5">
        <f>T43/'2024a_240930_0021'!K43</f>
        <v>-1.3096351730589336E-2</v>
      </c>
      <c r="V43" s="4">
        <f>L43-'2024a_240930_0021'!L43</f>
        <v>-3.1581287000000007</v>
      </c>
      <c r="W43" s="5">
        <f>V43/'2024a_240930_0021'!L43</f>
        <v>-0.34513778867952011</v>
      </c>
    </row>
    <row r="44" spans="1:23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23</v>
      </c>
      <c r="K44">
        <v>959</v>
      </c>
      <c r="L44" s="4">
        <v>5.4043466000000002</v>
      </c>
      <c r="M44" s="4">
        <v>241.09121609270599</v>
      </c>
      <c r="N44" s="4">
        <v>0.22835412613645201</v>
      </c>
      <c r="O44" s="1" t="str">
        <f>HYPERLINK(".\sm_car_241122_0001\sm_car_241122_0001_043_Ca119TrN_MaWOT_ode23t.png","figure")</f>
        <v>figure</v>
      </c>
      <c r="P44" t="s">
        <v>15</v>
      </c>
      <c r="S44" t="b">
        <f>B44='2024a_240930_0021'!B44</f>
        <v>1</v>
      </c>
      <c r="T44">
        <f>K44-'2024a_240930_0021'!K44</f>
        <v>-10</v>
      </c>
      <c r="U44" s="5">
        <f>T44/'2024a_240930_0021'!K44</f>
        <v>-1.0319917440660475E-2</v>
      </c>
      <c r="V44" s="4">
        <f>L44-'2024a_240930_0021'!L44</f>
        <v>-2.7118514999999999</v>
      </c>
      <c r="W44" s="5">
        <f>V44/'2024a_240930_0021'!L44</f>
        <v>-0.33412830325075477</v>
      </c>
    </row>
    <row r="45" spans="1:23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23</v>
      </c>
      <c r="K45">
        <v>1071</v>
      </c>
      <c r="L45" s="4">
        <v>5.6266353999999996</v>
      </c>
      <c r="M45" s="4">
        <v>74.199765655429701</v>
      </c>
      <c r="N45" s="4">
        <v>-0.33204493193556511</v>
      </c>
      <c r="O45" s="1" t="str">
        <f>HYPERLINK(".\sm_car_241122_0001\sm_car_241122_0001_044_Ca119TrN_MaLSS_ode23t.png","figure")</f>
        <v>figure</v>
      </c>
      <c r="P45" t="s">
        <v>15</v>
      </c>
      <c r="S45" t="b">
        <f>B45='2024a_240930_0021'!B45</f>
        <v>1</v>
      </c>
      <c r="T45">
        <f>K45-'2024a_240930_0021'!K45</f>
        <v>-34</v>
      </c>
      <c r="U45" s="5">
        <f>T45/'2024a_240930_0021'!K45</f>
        <v>-3.0769230769230771E-2</v>
      </c>
      <c r="V45" s="4">
        <f>L45-'2024a_240930_0021'!L45</f>
        <v>-3.4926217000000008</v>
      </c>
      <c r="W45" s="5">
        <f>V45/'2024a_240930_0021'!L45</f>
        <v>-0.38299410376312348</v>
      </c>
    </row>
    <row r="46" spans="1:23" x14ac:dyDescent="0.25">
      <c r="A46">
        <v>45</v>
      </c>
      <c r="B46">
        <v>128</v>
      </c>
      <c r="C46" t="s">
        <v>16</v>
      </c>
      <c r="D46" t="s">
        <v>17</v>
      </c>
      <c r="E46" t="s">
        <v>108</v>
      </c>
      <c r="F46" t="s">
        <v>19</v>
      </c>
      <c r="G46" t="s">
        <v>36</v>
      </c>
      <c r="H46" t="s">
        <v>21</v>
      </c>
      <c r="I46" t="s">
        <v>22</v>
      </c>
      <c r="J46" t="s">
        <v>23</v>
      </c>
      <c r="K46">
        <v>315</v>
      </c>
      <c r="L46" s="4">
        <v>5.8867563000000001</v>
      </c>
      <c r="M46" s="4">
        <v>100.62314595744543</v>
      </c>
      <c r="N46" s="4">
        <v>-1.4839350915896485E-2</v>
      </c>
      <c r="O46" s="1" t="str">
        <f>HYPERLINK(".\sm_car_241122_0001\sm_car_241122_0001_045_Ca128TrN_MaWOT_ode23t.png","figure")</f>
        <v>figure</v>
      </c>
      <c r="P46" t="s">
        <v>15</v>
      </c>
      <c r="S46" t="b">
        <f>B46='2024a_240930_0021'!B46</f>
        <v>1</v>
      </c>
      <c r="T46">
        <f>K46-'2024a_240930_0021'!K46</f>
        <v>-74</v>
      </c>
      <c r="U46" s="5">
        <f>T46/'2024a_240930_0021'!K46</f>
        <v>-0.19023136246786632</v>
      </c>
      <c r="V46" s="4">
        <f>L46-'2024a_240930_0021'!L46</f>
        <v>-15.135816400000001</v>
      </c>
      <c r="W46" s="5">
        <f>V46/'2024a_240930_0021'!L46</f>
        <v>-0.71997926305185289</v>
      </c>
    </row>
    <row r="47" spans="1:23" x14ac:dyDescent="0.25">
      <c r="A47">
        <v>46</v>
      </c>
      <c r="B47">
        <v>128</v>
      </c>
      <c r="C47" t="s">
        <v>16</v>
      </c>
      <c r="D47" t="s">
        <v>17</v>
      </c>
      <c r="E47" t="s">
        <v>108</v>
      </c>
      <c r="F47" t="s">
        <v>19</v>
      </c>
      <c r="G47" t="s">
        <v>36</v>
      </c>
      <c r="H47" t="s">
        <v>21</v>
      </c>
      <c r="I47" t="s">
        <v>24</v>
      </c>
      <c r="J47" t="s">
        <v>23</v>
      </c>
      <c r="K47">
        <v>439</v>
      </c>
      <c r="L47" s="4">
        <v>6.7907573000000001</v>
      </c>
      <c r="M47" s="4">
        <v>37.271420076964276</v>
      </c>
      <c r="N47" s="4">
        <v>-0.13442986964239978</v>
      </c>
      <c r="O47" s="1" t="str">
        <f>HYPERLINK(".\sm_car_241122_0001\sm_car_241122_0001_046_Ca128TrN_MaLSS_ode23t.png","figure")</f>
        <v>figure</v>
      </c>
      <c r="P47" t="s">
        <v>15</v>
      </c>
      <c r="S47" t="b">
        <f>B47='2024a_240930_0021'!B47</f>
        <v>1</v>
      </c>
      <c r="T47">
        <f>K47-'2024a_240930_0021'!K47</f>
        <v>-53</v>
      </c>
      <c r="U47" s="5">
        <f>T47/'2024a_240930_0021'!K47</f>
        <v>-0.10772357723577236</v>
      </c>
      <c r="V47" s="4">
        <f>L47-'2024a_240930_0021'!L47</f>
        <v>-13.6111331</v>
      </c>
      <c r="W47" s="5">
        <f>V47/'2024a_240930_0021'!L47</f>
        <v>-0.66715058424193874</v>
      </c>
    </row>
    <row r="48" spans="1:23" x14ac:dyDescent="0.25">
      <c r="A48">
        <v>47</v>
      </c>
      <c r="B48">
        <v>129</v>
      </c>
      <c r="C48" t="s">
        <v>16</v>
      </c>
      <c r="D48" t="s">
        <v>17</v>
      </c>
      <c r="E48" t="s">
        <v>108</v>
      </c>
      <c r="F48" t="s">
        <v>19</v>
      </c>
      <c r="G48" t="s">
        <v>37</v>
      </c>
      <c r="H48" t="s">
        <v>21</v>
      </c>
      <c r="I48" t="s">
        <v>22</v>
      </c>
      <c r="J48" t="s">
        <v>23</v>
      </c>
      <c r="K48">
        <v>333</v>
      </c>
      <c r="L48" s="4">
        <v>5.9890932000000001</v>
      </c>
      <c r="M48" s="4">
        <v>232.07154518002199</v>
      </c>
      <c r="N48" s="4">
        <v>7.1232131844738533E-2</v>
      </c>
      <c r="O48" s="1" t="str">
        <f>HYPERLINK(".\sm_car_241122_0001\sm_car_241122_0001_047_Ca129TrN_MaWOT_ode23t.png","figure")</f>
        <v>figure</v>
      </c>
      <c r="P48" t="s">
        <v>15</v>
      </c>
      <c r="S48" t="b">
        <f>B48='2024a_240930_0021'!B48</f>
        <v>1</v>
      </c>
      <c r="T48">
        <f>K48-'2024a_240930_0021'!K48</f>
        <v>-71</v>
      </c>
      <c r="U48" s="5">
        <f>T48/'2024a_240930_0021'!K48</f>
        <v>-0.17574257425742573</v>
      </c>
      <c r="V48" s="4">
        <f>L48-'2024a_240930_0021'!L48</f>
        <v>-12.4283736</v>
      </c>
      <c r="W48" s="5">
        <f>V48/'2024a_240930_0021'!L48</f>
        <v>-0.67481449729014853</v>
      </c>
    </row>
    <row r="49" spans="1:23" x14ac:dyDescent="0.25">
      <c r="A49">
        <v>48</v>
      </c>
      <c r="B49">
        <v>129</v>
      </c>
      <c r="C49" t="s">
        <v>16</v>
      </c>
      <c r="D49" t="s">
        <v>17</v>
      </c>
      <c r="E49" t="s">
        <v>108</v>
      </c>
      <c r="F49" t="s">
        <v>19</v>
      </c>
      <c r="G49" t="s">
        <v>37</v>
      </c>
      <c r="H49" t="s">
        <v>21</v>
      </c>
      <c r="I49" t="s">
        <v>24</v>
      </c>
      <c r="J49" t="s">
        <v>23</v>
      </c>
      <c r="K49">
        <v>476</v>
      </c>
      <c r="L49" s="4">
        <v>8.2973215000000007</v>
      </c>
      <c r="M49" s="4">
        <v>71.509993547203436</v>
      </c>
      <c r="N49" s="4">
        <v>-0.54008200043818611</v>
      </c>
      <c r="O49" s="1" t="str">
        <f>HYPERLINK(".\sm_car_241122_0001\sm_car_241122_0001_048_Ca129TrN_MaLSS_ode23t.png","figure")</f>
        <v>figure</v>
      </c>
      <c r="P49" t="s">
        <v>15</v>
      </c>
      <c r="S49" t="b">
        <f>B49='2024a_240930_0021'!B49</f>
        <v>1</v>
      </c>
      <c r="T49">
        <f>K49-'2024a_240930_0021'!K49</f>
        <v>-21</v>
      </c>
      <c r="U49" s="5">
        <f>T49/'2024a_240930_0021'!K49</f>
        <v>-4.2253521126760563E-2</v>
      </c>
      <c r="V49" s="4">
        <f>L49-'2024a_240930_0021'!L49</f>
        <v>-12.127784399999998</v>
      </c>
      <c r="W49" s="5">
        <f>V49/'2024a_240930_0021'!L49</f>
        <v>-0.59376849546713972</v>
      </c>
    </row>
    <row r="50" spans="1:23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23</v>
      </c>
      <c r="K50">
        <v>792</v>
      </c>
      <c r="L50" s="4">
        <v>22.547637399999999</v>
      </c>
      <c r="M50" s="4">
        <v>220.39033784297064</v>
      </c>
      <c r="N50" s="4">
        <v>-1.4644154141817465</v>
      </c>
      <c r="O50" s="1" t="str">
        <f>HYPERLINK(".\sm_car_241122_0001\sm_car_241122_0001_049_Ca130TrN_MaWOT_ode23t.png","figure")</f>
        <v>figure</v>
      </c>
      <c r="P50" t="s">
        <v>15</v>
      </c>
      <c r="S50" t="b">
        <f>B50='2024a_240930_0021'!B50</f>
        <v>1</v>
      </c>
      <c r="T50">
        <f>K50-'2024a_240930_0021'!K50</f>
        <v>14</v>
      </c>
      <c r="U50" s="5">
        <f>T50/'2024a_240930_0021'!K50</f>
        <v>1.7994858611825194E-2</v>
      </c>
      <c r="V50" s="4">
        <f>L50-'2024a_240930_0021'!L50</f>
        <v>-12.517821099999999</v>
      </c>
      <c r="W50" s="5">
        <f>V50/'2024a_240930_0021'!L50</f>
        <v>-0.35698438393440657</v>
      </c>
    </row>
    <row r="51" spans="1:23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23</v>
      </c>
      <c r="K51">
        <v>797</v>
      </c>
      <c r="L51" s="4">
        <v>20.563711900000001</v>
      </c>
      <c r="M51" s="4">
        <v>69.575667229636721</v>
      </c>
      <c r="N51" s="4">
        <v>-0.5528304257809985</v>
      </c>
      <c r="O51" s="1" t="str">
        <f>HYPERLINK(".\sm_car_241122_0001\sm_car_241122_0001_050_Ca130TrN_MaLSS_ode23t.png","figure")</f>
        <v>figure</v>
      </c>
      <c r="P51" t="s">
        <v>15</v>
      </c>
      <c r="S51" t="b">
        <f>B51='2024a_240930_0021'!B51</f>
        <v>1</v>
      </c>
      <c r="T51">
        <f>K51-'2024a_240930_0021'!K51</f>
        <v>26</v>
      </c>
      <c r="U51" s="5">
        <f>T51/'2024a_240930_0021'!K51</f>
        <v>3.372243839169909E-2</v>
      </c>
      <c r="V51" s="4">
        <f>L51-'2024a_240930_0021'!L51</f>
        <v>-12.840600299999998</v>
      </c>
      <c r="W51" s="5">
        <f>V51/'2024a_240930_0021'!L51</f>
        <v>-0.3843994818130097</v>
      </c>
    </row>
    <row r="52" spans="1:23" x14ac:dyDescent="0.25">
      <c r="A52">
        <v>51</v>
      </c>
      <c r="B52">
        <v>131</v>
      </c>
      <c r="C52" t="s">
        <v>16</v>
      </c>
      <c r="D52" t="s">
        <v>17</v>
      </c>
      <c r="E52" t="s">
        <v>108</v>
      </c>
      <c r="F52" t="s">
        <v>19</v>
      </c>
      <c r="G52" t="s">
        <v>39</v>
      </c>
      <c r="H52" t="s">
        <v>21</v>
      </c>
      <c r="I52" t="s">
        <v>22</v>
      </c>
      <c r="J52" t="s">
        <v>23</v>
      </c>
      <c r="K52">
        <v>359</v>
      </c>
      <c r="L52" s="4">
        <v>4.4275364000000001</v>
      </c>
      <c r="M52" s="4">
        <v>232.99014032698378</v>
      </c>
      <c r="N52" s="4">
        <v>-2.9043647048922084E-2</v>
      </c>
      <c r="O52" s="1" t="str">
        <f>HYPERLINK(".\sm_car_241122_0001\sm_car_241122_0001_051_Ca131TrN_MaWOT_ode23t.png","figure")</f>
        <v>figure</v>
      </c>
      <c r="P52" t="s">
        <v>15</v>
      </c>
      <c r="S52" t="b">
        <f>B52='2024a_240930_0021'!B52</f>
        <v>1</v>
      </c>
      <c r="T52">
        <f>K52-'2024a_240930_0021'!K52</f>
        <v>-272</v>
      </c>
      <c r="U52" s="5">
        <f>T52/'2024a_240930_0021'!K52</f>
        <v>-0.43106180665610144</v>
      </c>
      <c r="V52" s="4">
        <f>L52-'2024a_240930_0021'!L52</f>
        <v>-19.2697377</v>
      </c>
      <c r="W52" s="5">
        <f>V52/'2024a_240930_0021'!L52</f>
        <v>-0.8131626286923862</v>
      </c>
    </row>
    <row r="53" spans="1:23" x14ac:dyDescent="0.25">
      <c r="A53">
        <v>52</v>
      </c>
      <c r="B53">
        <v>131</v>
      </c>
      <c r="C53" t="s">
        <v>16</v>
      </c>
      <c r="D53" t="s">
        <v>17</v>
      </c>
      <c r="E53" t="s">
        <v>108</v>
      </c>
      <c r="F53" t="s">
        <v>19</v>
      </c>
      <c r="G53" t="s">
        <v>39</v>
      </c>
      <c r="H53" t="s">
        <v>21</v>
      </c>
      <c r="I53" t="s">
        <v>24</v>
      </c>
      <c r="J53" t="s">
        <v>23</v>
      </c>
      <c r="K53">
        <v>492</v>
      </c>
      <c r="L53" s="4">
        <v>5.4497293999999998</v>
      </c>
      <c r="M53" s="4">
        <v>71.768522352028796</v>
      </c>
      <c r="N53" s="4">
        <v>-0.54893425019353415</v>
      </c>
      <c r="O53" s="1" t="str">
        <f>HYPERLINK(".\sm_car_241122_0001\sm_car_241122_0001_052_Ca131TrN_MaLSS_ode23t.png","figure")</f>
        <v>figure</v>
      </c>
      <c r="P53" t="s">
        <v>15</v>
      </c>
      <c r="S53" t="b">
        <f>B53='2024a_240930_0021'!B53</f>
        <v>1</v>
      </c>
      <c r="T53">
        <f>K53-'2024a_240930_0021'!K53</f>
        <v>-14</v>
      </c>
      <c r="U53" s="5">
        <f>T53/'2024a_240930_0021'!K53</f>
        <v>-2.766798418972332E-2</v>
      </c>
      <c r="V53" s="4">
        <f>L53-'2024a_240930_0021'!L53</f>
        <v>-13.055503300000002</v>
      </c>
      <c r="W53" s="5">
        <f>V53/'2024a_240930_0021'!L53</f>
        <v>-0.7055033304174555</v>
      </c>
    </row>
    <row r="54" spans="1:23" x14ac:dyDescent="0.25">
      <c r="A54">
        <v>53</v>
      </c>
      <c r="B54">
        <v>132</v>
      </c>
      <c r="C54" t="s">
        <v>16</v>
      </c>
      <c r="D54" t="s">
        <v>17</v>
      </c>
      <c r="E54" t="s">
        <v>108</v>
      </c>
      <c r="F54" t="s">
        <v>19</v>
      </c>
      <c r="G54" t="s">
        <v>40</v>
      </c>
      <c r="H54" t="s">
        <v>21</v>
      </c>
      <c r="I54" t="s">
        <v>22</v>
      </c>
      <c r="J54" t="s">
        <v>23</v>
      </c>
      <c r="K54">
        <v>357</v>
      </c>
      <c r="L54" s="4">
        <v>4.622522</v>
      </c>
      <c r="M54" s="4">
        <v>232.91144558425756</v>
      </c>
      <c r="N54" s="4">
        <v>6.2364139544907387E-3</v>
      </c>
      <c r="O54" s="1" t="str">
        <f>HYPERLINK(".\sm_car_241122_0001\sm_car_241122_0001_053_Ca132TrN_MaWOT_ode23t.png","figure")</f>
        <v>figure</v>
      </c>
      <c r="P54" t="s">
        <v>15</v>
      </c>
      <c r="S54" t="b">
        <f>B54='2024a_240930_0021'!B54</f>
        <v>1</v>
      </c>
      <c r="T54">
        <f>K54-'2024a_240930_0021'!K54</f>
        <v>-14</v>
      </c>
      <c r="U54" s="5">
        <f>T54/'2024a_240930_0021'!K54</f>
        <v>-3.7735849056603772E-2</v>
      </c>
      <c r="V54" s="4">
        <f>L54-'2024a_240930_0021'!L54</f>
        <v>-8.5252075000000005</v>
      </c>
      <c r="W54" s="5">
        <f>V54/'2024a_240930_0021'!L54</f>
        <v>-0.64841670951627051</v>
      </c>
    </row>
    <row r="55" spans="1:23" x14ac:dyDescent="0.25">
      <c r="A55">
        <v>54</v>
      </c>
      <c r="B55">
        <v>132</v>
      </c>
      <c r="C55" t="s">
        <v>16</v>
      </c>
      <c r="D55" t="s">
        <v>17</v>
      </c>
      <c r="E55" t="s">
        <v>108</v>
      </c>
      <c r="F55" t="s">
        <v>19</v>
      </c>
      <c r="G55" t="s">
        <v>40</v>
      </c>
      <c r="H55" t="s">
        <v>21</v>
      </c>
      <c r="I55" t="s">
        <v>24</v>
      </c>
      <c r="J55" t="s">
        <v>23</v>
      </c>
      <c r="K55">
        <v>519</v>
      </c>
      <c r="L55" s="4">
        <v>5.7722278999999999</v>
      </c>
      <c r="M55" s="4">
        <v>71.757662904988436</v>
      </c>
      <c r="N55" s="4">
        <v>-0.5489415351987359</v>
      </c>
      <c r="O55" s="1" t="str">
        <f>HYPERLINK(".\sm_car_241122_0001\sm_car_241122_0001_054_Ca132TrN_MaLSS_ode23t.png","figure")</f>
        <v>figure</v>
      </c>
      <c r="P55" t="s">
        <v>15</v>
      </c>
      <c r="S55" t="b">
        <f>B55='2024a_240930_0021'!B55</f>
        <v>1</v>
      </c>
      <c r="T55">
        <f>K55-'2024a_240930_0021'!K55</f>
        <v>17</v>
      </c>
      <c r="U55" s="5">
        <f>T55/'2024a_240930_0021'!K55</f>
        <v>3.386454183266932E-2</v>
      </c>
      <c r="V55" s="4">
        <f>L55-'2024a_240930_0021'!L55</f>
        <v>-9.0630865000000007</v>
      </c>
      <c r="W55" s="5">
        <f>V55/'2024a_240930_0021'!L55</f>
        <v>-0.6109130049849163</v>
      </c>
    </row>
    <row r="56" spans="1:23" x14ac:dyDescent="0.25">
      <c r="A56">
        <v>55</v>
      </c>
      <c r="B56">
        <v>133</v>
      </c>
      <c r="C56" t="s">
        <v>16</v>
      </c>
      <c r="D56" t="s">
        <v>17</v>
      </c>
      <c r="E56" t="s">
        <v>108</v>
      </c>
      <c r="F56" t="s">
        <v>19</v>
      </c>
      <c r="G56" t="s">
        <v>41</v>
      </c>
      <c r="H56" t="s">
        <v>21</v>
      </c>
      <c r="I56" t="s">
        <v>22</v>
      </c>
      <c r="J56" t="s">
        <v>23</v>
      </c>
      <c r="K56">
        <v>352</v>
      </c>
      <c r="L56" s="4">
        <v>4.4472287000000001</v>
      </c>
      <c r="M56" s="4">
        <v>232.74720050678448</v>
      </c>
      <c r="N56" s="4">
        <v>1.188435000343621E-3</v>
      </c>
      <c r="O56" s="1" t="str">
        <f>HYPERLINK(".\sm_car_241122_0001\sm_car_241122_0001_055_Ca133TrN_MaWOT_ode23t.png","figure")</f>
        <v>figure</v>
      </c>
      <c r="P56" t="s">
        <v>15</v>
      </c>
      <c r="S56" t="b">
        <f>B56='2024a_240930_0021'!B56</f>
        <v>1</v>
      </c>
      <c r="T56">
        <f>K56-'2024a_240930_0021'!K56</f>
        <v>-34</v>
      </c>
      <c r="U56" s="5">
        <f>T56/'2024a_240930_0021'!K56</f>
        <v>-8.8082901554404139E-2</v>
      </c>
      <c r="V56" s="4">
        <f>L56-'2024a_240930_0021'!L56</f>
        <v>-8.4998293999999994</v>
      </c>
      <c r="W56" s="5">
        <f>V56/'2024a_240930_0021'!L56</f>
        <v>-0.65650662369391855</v>
      </c>
    </row>
    <row r="57" spans="1:23" x14ac:dyDescent="0.25">
      <c r="A57">
        <v>56</v>
      </c>
      <c r="B57">
        <v>133</v>
      </c>
      <c r="C57" t="s">
        <v>16</v>
      </c>
      <c r="D57" t="s">
        <v>17</v>
      </c>
      <c r="E57" t="s">
        <v>108</v>
      </c>
      <c r="F57" t="s">
        <v>19</v>
      </c>
      <c r="G57" t="s">
        <v>41</v>
      </c>
      <c r="H57" t="s">
        <v>21</v>
      </c>
      <c r="I57" t="s">
        <v>24</v>
      </c>
      <c r="J57" t="s">
        <v>23</v>
      </c>
      <c r="K57">
        <v>494</v>
      </c>
      <c r="L57" s="4">
        <v>5.4263325</v>
      </c>
      <c r="M57" s="4">
        <v>71.784802961180432</v>
      </c>
      <c r="N57" s="4">
        <v>-0.54526557784393603</v>
      </c>
      <c r="O57" s="1" t="str">
        <f>HYPERLINK(".\sm_car_241122_0001\sm_car_241122_0001_056_Ca133TrN_MaLSS_ode23t.png","figure")</f>
        <v>figure</v>
      </c>
      <c r="P57" t="s">
        <v>15</v>
      </c>
      <c r="S57" t="b">
        <f>B57='2024a_240930_0021'!B57</f>
        <v>1</v>
      </c>
      <c r="T57">
        <f>K57-'2024a_240930_0021'!K57</f>
        <v>-16</v>
      </c>
      <c r="U57" s="5">
        <f>T57/'2024a_240930_0021'!K57</f>
        <v>-3.1372549019607843E-2</v>
      </c>
      <c r="V57" s="4">
        <f>L57-'2024a_240930_0021'!L57</f>
        <v>-8.9147856999999995</v>
      </c>
      <c r="W57" s="5">
        <f>V57/'2024a_240930_0021'!L57</f>
        <v>-0.62162417014316218</v>
      </c>
    </row>
    <row r="58" spans="1:23" x14ac:dyDescent="0.25">
      <c r="A58">
        <v>57</v>
      </c>
      <c r="B58">
        <v>134</v>
      </c>
      <c r="C58" t="s">
        <v>16</v>
      </c>
      <c r="D58" t="s">
        <v>17</v>
      </c>
      <c r="E58" t="s">
        <v>108</v>
      </c>
      <c r="F58" t="s">
        <v>19</v>
      </c>
      <c r="G58" t="s">
        <v>42</v>
      </c>
      <c r="H58" t="s">
        <v>21</v>
      </c>
      <c r="I58" t="s">
        <v>22</v>
      </c>
      <c r="J58" t="s">
        <v>23</v>
      </c>
      <c r="K58">
        <v>346</v>
      </c>
      <c r="L58" s="4">
        <v>4.4621836000000004</v>
      </c>
      <c r="M58" s="4">
        <v>233.11917627176095</v>
      </c>
      <c r="N58" s="4">
        <v>2.1970893788691259E-3</v>
      </c>
      <c r="O58" s="1" t="str">
        <f>HYPERLINK(".\sm_car_241122_0001\sm_car_241122_0001_057_Ca134TrN_MaWOT_ode23t.png","figure")</f>
        <v>figure</v>
      </c>
      <c r="P58" t="s">
        <v>15</v>
      </c>
      <c r="S58" t="b">
        <f>B58='2024a_240930_0021'!B58</f>
        <v>1</v>
      </c>
      <c r="T58">
        <f>K58-'2024a_240930_0021'!K58</f>
        <v>-43</v>
      </c>
      <c r="U58" s="5">
        <f>T58/'2024a_240930_0021'!K58</f>
        <v>-0.11053984575835475</v>
      </c>
      <c r="V58" s="4">
        <f>L58-'2024a_240930_0021'!L58</f>
        <v>-8.4707685999999995</v>
      </c>
      <c r="W58" s="5">
        <f>V58/'2024a_240930_0021'!L58</f>
        <v>-0.6549756365758469</v>
      </c>
    </row>
    <row r="59" spans="1:23" x14ac:dyDescent="0.25">
      <c r="A59">
        <v>58</v>
      </c>
      <c r="B59">
        <v>134</v>
      </c>
      <c r="C59" t="s">
        <v>16</v>
      </c>
      <c r="D59" t="s">
        <v>17</v>
      </c>
      <c r="E59" t="s">
        <v>108</v>
      </c>
      <c r="F59" t="s">
        <v>19</v>
      </c>
      <c r="G59" t="s">
        <v>42</v>
      </c>
      <c r="H59" t="s">
        <v>21</v>
      </c>
      <c r="I59" t="s">
        <v>24</v>
      </c>
      <c r="J59" t="s">
        <v>23</v>
      </c>
      <c r="K59">
        <v>502</v>
      </c>
      <c r="L59" s="4">
        <v>5.5395538999999996</v>
      </c>
      <c r="M59" s="4">
        <v>71.780497923699613</v>
      </c>
      <c r="N59" s="4">
        <v>-0.54666302058424632</v>
      </c>
      <c r="O59" s="1" t="str">
        <f>HYPERLINK(".\sm_car_241122_0001\sm_car_241122_0001_058_Ca134TrN_MaLSS_ode23t.png","figure")</f>
        <v>figure</v>
      </c>
      <c r="P59" t="s">
        <v>15</v>
      </c>
      <c r="S59" t="b">
        <f>B59='2024a_240930_0021'!B59</f>
        <v>1</v>
      </c>
      <c r="T59">
        <f>K59-'2024a_240930_0021'!K59</f>
        <v>6</v>
      </c>
      <c r="U59" s="5">
        <f>T59/'2024a_240930_0021'!K59</f>
        <v>1.2096774193548387E-2</v>
      </c>
      <c r="V59" s="4">
        <f>L59-'2024a_240930_0021'!L59</f>
        <v>-8.5551524000000008</v>
      </c>
      <c r="W59" s="5">
        <f>V59/'2024a_240930_0021'!L59</f>
        <v>-0.60697628016555416</v>
      </c>
    </row>
    <row r="60" spans="1:23" x14ac:dyDescent="0.25">
      <c r="A60">
        <v>59</v>
      </c>
      <c r="B60">
        <v>135</v>
      </c>
      <c r="C60" t="s">
        <v>16</v>
      </c>
      <c r="D60" t="s">
        <v>17</v>
      </c>
      <c r="E60" t="s">
        <v>108</v>
      </c>
      <c r="F60" t="s">
        <v>19</v>
      </c>
      <c r="G60" t="s">
        <v>43</v>
      </c>
      <c r="H60" t="s">
        <v>21</v>
      </c>
      <c r="I60" t="s">
        <v>22</v>
      </c>
      <c r="J60" t="s">
        <v>23</v>
      </c>
      <c r="K60">
        <v>356</v>
      </c>
      <c r="L60" s="4">
        <v>4.3309274000000002</v>
      </c>
      <c r="M60" s="4">
        <v>233.07426090256692</v>
      </c>
      <c r="N60" s="4">
        <v>3.3955769334487219E-3</v>
      </c>
      <c r="O60" s="1" t="str">
        <f>HYPERLINK(".\sm_car_241122_0001\sm_car_241122_0001_059_Ca135TrN_MaWOT_ode23t.png","figure")</f>
        <v>figure</v>
      </c>
      <c r="P60" t="s">
        <v>15</v>
      </c>
      <c r="S60" t="b">
        <f>B60='2024a_240930_0021'!B60</f>
        <v>1</v>
      </c>
      <c r="T60">
        <f>K60-'2024a_240930_0021'!K60</f>
        <v>-10</v>
      </c>
      <c r="U60" s="5">
        <f>T60/'2024a_240930_0021'!K60</f>
        <v>-2.7322404371584699E-2</v>
      </c>
      <c r="V60" s="4">
        <f>L60-'2024a_240930_0021'!L60</f>
        <v>-7.520261399999999</v>
      </c>
      <c r="W60" s="5">
        <f>V60/'2024a_240930_0021'!L60</f>
        <v>-0.63455755594746743</v>
      </c>
    </row>
    <row r="61" spans="1:23" x14ac:dyDescent="0.25">
      <c r="A61">
        <v>60</v>
      </c>
      <c r="B61">
        <v>135</v>
      </c>
      <c r="C61" t="s">
        <v>16</v>
      </c>
      <c r="D61" t="s">
        <v>17</v>
      </c>
      <c r="E61" t="s">
        <v>108</v>
      </c>
      <c r="F61" t="s">
        <v>19</v>
      </c>
      <c r="G61" t="s">
        <v>43</v>
      </c>
      <c r="H61" t="s">
        <v>21</v>
      </c>
      <c r="I61" t="s">
        <v>24</v>
      </c>
      <c r="J61" t="s">
        <v>23</v>
      </c>
      <c r="K61">
        <v>500</v>
      </c>
      <c r="L61" s="4">
        <v>5.3176664000000002</v>
      </c>
      <c r="M61" s="4">
        <v>71.775550072485643</v>
      </c>
      <c r="N61" s="4">
        <v>-0.54714108618272872</v>
      </c>
      <c r="O61" s="1" t="str">
        <f>HYPERLINK(".\sm_car_241122_0001\sm_car_241122_0001_060_Ca135TrN_MaLSS_ode23t.png","figure")</f>
        <v>figure</v>
      </c>
      <c r="P61" t="s">
        <v>15</v>
      </c>
      <c r="S61" t="b">
        <f>B61='2024a_240930_0021'!B61</f>
        <v>1</v>
      </c>
      <c r="T61">
        <f>K61-'2024a_240930_0021'!K61</f>
        <v>-12</v>
      </c>
      <c r="U61" s="5">
        <f>T61/'2024a_240930_0021'!K61</f>
        <v>-2.34375E-2</v>
      </c>
      <c r="V61" s="4">
        <f>L61-'2024a_240930_0021'!L61</f>
        <v>-8.1082689999999999</v>
      </c>
      <c r="W61" s="5">
        <f>V61/'2024a_240930_0021'!L61</f>
        <v>-0.60392581659524447</v>
      </c>
    </row>
    <row r="62" spans="1:23" x14ac:dyDescent="0.25">
      <c r="A62">
        <v>61</v>
      </c>
      <c r="B62">
        <v>136</v>
      </c>
      <c r="C62" t="s">
        <v>16</v>
      </c>
      <c r="D62" t="s">
        <v>17</v>
      </c>
      <c r="E62" t="s">
        <v>108</v>
      </c>
      <c r="F62" t="s">
        <v>19</v>
      </c>
      <c r="G62" t="s">
        <v>44</v>
      </c>
      <c r="H62" t="s">
        <v>21</v>
      </c>
      <c r="I62" t="s">
        <v>22</v>
      </c>
      <c r="J62" t="s">
        <v>23</v>
      </c>
      <c r="K62">
        <v>370</v>
      </c>
      <c r="L62" s="4">
        <v>5.3191354000000004</v>
      </c>
      <c r="M62" s="4">
        <v>233.11979459658909</v>
      </c>
      <c r="N62" s="4">
        <v>6.6876238955395378E-2</v>
      </c>
      <c r="O62" s="1" t="str">
        <f>HYPERLINK(".\sm_car_241122_0001\sm_car_241122_0001_061_Ca136TrN_MaWOT_ode23t.png","figure")</f>
        <v>figure</v>
      </c>
      <c r="P62" t="s">
        <v>15</v>
      </c>
      <c r="S62" t="b">
        <f>B62='2024a_240930_0021'!B62</f>
        <v>1</v>
      </c>
      <c r="T62">
        <f>K62-'2024a_240930_0021'!K62</f>
        <v>-80</v>
      </c>
      <c r="U62" s="5">
        <f>T62/'2024a_240930_0021'!K62</f>
        <v>-0.17777777777777778</v>
      </c>
      <c r="V62" s="4">
        <f>L62-'2024a_240930_0021'!L62</f>
        <v>-14.8841228</v>
      </c>
      <c r="W62" s="5">
        <f>V62/'2024a_240930_0021'!L62</f>
        <v>-0.73671893180081216</v>
      </c>
    </row>
    <row r="63" spans="1:23" x14ac:dyDescent="0.25">
      <c r="A63">
        <v>62</v>
      </c>
      <c r="B63">
        <v>136</v>
      </c>
      <c r="C63" t="s">
        <v>16</v>
      </c>
      <c r="D63" t="s">
        <v>17</v>
      </c>
      <c r="E63" t="s">
        <v>108</v>
      </c>
      <c r="F63" t="s">
        <v>19</v>
      </c>
      <c r="G63" t="s">
        <v>44</v>
      </c>
      <c r="H63" t="s">
        <v>21</v>
      </c>
      <c r="I63" t="s">
        <v>24</v>
      </c>
      <c r="J63" t="s">
        <v>23</v>
      </c>
      <c r="K63">
        <v>485</v>
      </c>
      <c r="L63" s="4">
        <v>6.5430817000000001</v>
      </c>
      <c r="M63" s="4">
        <v>71.776865974521655</v>
      </c>
      <c r="N63" s="4">
        <v>-0.54192883062601416</v>
      </c>
      <c r="O63" s="1" t="str">
        <f>HYPERLINK(".\sm_car_241122_0001\sm_car_241122_0001_062_Ca136TrN_MaLSS_ode23t.png","figure")</f>
        <v>figure</v>
      </c>
      <c r="P63" t="s">
        <v>15</v>
      </c>
      <c r="S63" t="b">
        <f>B63='2024a_240930_0021'!B63</f>
        <v>1</v>
      </c>
      <c r="T63">
        <f>K63-'2024a_240930_0021'!K63</f>
        <v>-32</v>
      </c>
      <c r="U63" s="5">
        <f>T63/'2024a_240930_0021'!K63</f>
        <v>-6.1895551257253385E-2</v>
      </c>
      <c r="V63" s="4">
        <f>L63-'2024a_240930_0021'!L63</f>
        <v>-12.344977299999998</v>
      </c>
      <c r="W63" s="5">
        <f>V63/'2024a_240930_0021'!L63</f>
        <v>-0.65358633727266524</v>
      </c>
    </row>
    <row r="64" spans="1:23" x14ac:dyDescent="0.25">
      <c r="A64">
        <v>63</v>
      </c>
      <c r="B64">
        <v>137</v>
      </c>
      <c r="C64" t="s">
        <v>16</v>
      </c>
      <c r="D64" t="s">
        <v>17</v>
      </c>
      <c r="E64" t="s">
        <v>108</v>
      </c>
      <c r="F64" t="s">
        <v>19</v>
      </c>
      <c r="G64" t="s">
        <v>20</v>
      </c>
      <c r="H64" t="s">
        <v>21</v>
      </c>
      <c r="I64" t="s">
        <v>22</v>
      </c>
      <c r="J64" t="s">
        <v>23</v>
      </c>
      <c r="K64">
        <v>329</v>
      </c>
      <c r="L64" s="4">
        <v>3.9404674000000002</v>
      </c>
      <c r="M64" s="4">
        <v>233.92239874701161</v>
      </c>
      <c r="N64" s="4">
        <v>0.14929495855257138</v>
      </c>
      <c r="O64" s="1" t="str">
        <f>HYPERLINK(".\sm_car_241122_0001\sm_car_241122_0001_063_Ca137TrN_MaWOT_ode23t.png","figure")</f>
        <v>figure</v>
      </c>
      <c r="P64" t="s">
        <v>15</v>
      </c>
      <c r="S64" t="b">
        <f>B64='2024a_240930_0021'!B64</f>
        <v>1</v>
      </c>
      <c r="T64">
        <f>K64-'2024a_240930_0021'!K64</f>
        <v>3</v>
      </c>
      <c r="U64" s="5">
        <f>T64/'2024a_240930_0021'!K64</f>
        <v>9.202453987730062E-3</v>
      </c>
      <c r="V64" s="4">
        <f>L64-'2024a_240930_0021'!L64</f>
        <v>-6.6347543</v>
      </c>
      <c r="W64" s="5">
        <f>V64/'2024a_240930_0021'!L64</f>
        <v>-0.62738678093150524</v>
      </c>
    </row>
    <row r="65" spans="1:23" x14ac:dyDescent="0.25">
      <c r="A65">
        <v>64</v>
      </c>
      <c r="B65">
        <v>137</v>
      </c>
      <c r="C65" t="s">
        <v>16</v>
      </c>
      <c r="D65" t="s">
        <v>17</v>
      </c>
      <c r="E65" t="s">
        <v>108</v>
      </c>
      <c r="F65" t="s">
        <v>19</v>
      </c>
      <c r="G65" t="s">
        <v>20</v>
      </c>
      <c r="H65" t="s">
        <v>21</v>
      </c>
      <c r="I65" t="s">
        <v>24</v>
      </c>
      <c r="J65" t="s">
        <v>23</v>
      </c>
      <c r="K65">
        <v>457</v>
      </c>
      <c r="L65" s="4">
        <v>4.505198</v>
      </c>
      <c r="M65" s="4">
        <v>72.046448639951876</v>
      </c>
      <c r="N65" s="4">
        <v>-0.52797958120590127</v>
      </c>
      <c r="O65" s="1" t="str">
        <f>HYPERLINK(".\sm_car_241122_0001\sm_car_241122_0001_064_Ca137TrN_MaLSS_ode23t.png","figure")</f>
        <v>figure</v>
      </c>
      <c r="P65" t="s">
        <v>15</v>
      </c>
      <c r="S65" t="b">
        <f>B65='2024a_240930_0021'!B65</f>
        <v>1</v>
      </c>
      <c r="T65">
        <f>K65-'2024a_240930_0021'!K65</f>
        <v>-18</v>
      </c>
      <c r="U65" s="5">
        <f>T65/'2024a_240930_0021'!K65</f>
        <v>-3.7894736842105266E-2</v>
      </c>
      <c r="V65" s="4">
        <f>L65-'2024a_240930_0021'!L65</f>
        <v>-7.1947878999999997</v>
      </c>
      <c r="W65" s="5">
        <f>V65/'2024a_240930_0021'!L65</f>
        <v>-0.61493987783352799</v>
      </c>
    </row>
    <row r="66" spans="1:23" x14ac:dyDescent="0.25">
      <c r="A66">
        <v>65</v>
      </c>
      <c r="B66">
        <v>138</v>
      </c>
      <c r="C66" t="s">
        <v>16</v>
      </c>
      <c r="D66" t="s">
        <v>17</v>
      </c>
      <c r="E66" t="s">
        <v>108</v>
      </c>
      <c r="F66" t="s">
        <v>19</v>
      </c>
      <c r="G66" t="s">
        <v>20</v>
      </c>
      <c r="H66" t="s">
        <v>21</v>
      </c>
      <c r="I66" t="s">
        <v>22</v>
      </c>
      <c r="J66" t="s">
        <v>23</v>
      </c>
      <c r="K66">
        <v>331</v>
      </c>
      <c r="L66" s="4">
        <v>5.6613220999999996</v>
      </c>
      <c r="M66" s="4">
        <v>233.82314117803128</v>
      </c>
      <c r="N66" s="4">
        <v>0.15772958332939355</v>
      </c>
      <c r="O66" s="1" t="str">
        <f>HYPERLINK(".\sm_car_241122_0001\sm_car_241122_0001_065_Ca138TrN_MaWOT_ode23t.png","figure")</f>
        <v>figure</v>
      </c>
      <c r="P66" t="s">
        <v>15</v>
      </c>
      <c r="S66" t="b">
        <f>B66='2024a_240930_0021'!B66</f>
        <v>1</v>
      </c>
      <c r="T66">
        <f>K66-'2024a_240930_0021'!K66</f>
        <v>9</v>
      </c>
      <c r="U66" s="5">
        <f>T66/'2024a_240930_0021'!K66</f>
        <v>2.7950310559006212E-2</v>
      </c>
      <c r="V66" s="4">
        <f>L66-'2024a_240930_0021'!L66</f>
        <v>-8.3184213000000007</v>
      </c>
      <c r="W66" s="5">
        <f>V66/'2024a_240930_0021'!L66</f>
        <v>-0.59503390455650285</v>
      </c>
    </row>
    <row r="67" spans="1:23" x14ac:dyDescent="0.25">
      <c r="A67">
        <v>66</v>
      </c>
      <c r="B67">
        <v>138</v>
      </c>
      <c r="C67" t="s">
        <v>16</v>
      </c>
      <c r="D67" t="s">
        <v>17</v>
      </c>
      <c r="E67" t="s">
        <v>108</v>
      </c>
      <c r="F67" t="s">
        <v>19</v>
      </c>
      <c r="G67" t="s">
        <v>20</v>
      </c>
      <c r="H67" t="s">
        <v>21</v>
      </c>
      <c r="I67" t="s">
        <v>24</v>
      </c>
      <c r="J67" t="s">
        <v>23</v>
      </c>
      <c r="K67">
        <v>492</v>
      </c>
      <c r="L67" s="4">
        <v>6.7180495999999996</v>
      </c>
      <c r="M67" s="4">
        <v>71.94091442026</v>
      </c>
      <c r="N67" s="4">
        <v>-0.84174861654661248</v>
      </c>
      <c r="O67" s="1" t="str">
        <f>HYPERLINK(".\sm_car_241122_0001\sm_car_241122_0001_066_Ca138TrN_MaLSS_ode23t.png","figure")</f>
        <v>figure</v>
      </c>
      <c r="P67" t="s">
        <v>15</v>
      </c>
      <c r="S67" t="b">
        <f>B67='2024a_240930_0021'!B67</f>
        <v>1</v>
      </c>
      <c r="T67">
        <f>K67-'2024a_240930_0021'!K67</f>
        <v>-6</v>
      </c>
      <c r="U67" s="5">
        <f>T67/'2024a_240930_0021'!K67</f>
        <v>-1.2048192771084338E-2</v>
      </c>
      <c r="V67" s="4">
        <f>L67-'2024a_240930_0021'!L67</f>
        <v>-8.5147306</v>
      </c>
      <c r="W67" s="5">
        <f>V67/'2024a_240930_0021'!L67</f>
        <v>-0.55897416546455514</v>
      </c>
    </row>
    <row r="68" spans="1:23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23</v>
      </c>
      <c r="K68">
        <v>640</v>
      </c>
      <c r="L68" s="4">
        <v>25.3205855</v>
      </c>
      <c r="M68" s="4">
        <v>411.69533286994164</v>
      </c>
      <c r="N68" s="4">
        <v>1.5289210170117919</v>
      </c>
      <c r="O68" s="1" t="str">
        <f>HYPERLINK(".\sm_car_241122_0001\sm_car_241122_0001_067_Ca139TrN_MaWOT_ode23t.png","figure")</f>
        <v>figure</v>
      </c>
      <c r="P68" t="s">
        <v>15</v>
      </c>
      <c r="S68" t="b">
        <f>B68='2024a_240930_0021'!B68</f>
        <v>1</v>
      </c>
      <c r="T68">
        <f>K68-'2024a_240930_0021'!K68</f>
        <v>198</v>
      </c>
      <c r="U68" s="5">
        <f>T68/'2024a_240930_0021'!K68</f>
        <v>0.44796380090497739</v>
      </c>
      <c r="V68" s="4">
        <f>L68-'2024a_240930_0021'!L68</f>
        <v>4.5212985000000003</v>
      </c>
      <c r="W68" s="5">
        <f>V68/'2024a_240930_0021'!L68</f>
        <v>0.21737757164464341</v>
      </c>
    </row>
    <row r="69" spans="1:23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23</v>
      </c>
      <c r="K69">
        <v>612</v>
      </c>
      <c r="L69" s="4">
        <v>15.6544165</v>
      </c>
      <c r="M69" s="4">
        <v>157.24381574734912</v>
      </c>
      <c r="N69" s="4">
        <v>-0.55927414465426328</v>
      </c>
      <c r="O69" s="1" t="str">
        <f>HYPERLINK(".\sm_car_241122_0001\sm_car_241122_0001_068_Ca139TrN_MaLSS_ode23t.png","figure")</f>
        <v>figure</v>
      </c>
      <c r="P69" t="s">
        <v>15</v>
      </c>
      <c r="S69" t="b">
        <f>B69='2024a_240930_0021'!B69</f>
        <v>1</v>
      </c>
      <c r="T69">
        <f>K69-'2024a_240930_0021'!K69</f>
        <v>85</v>
      </c>
      <c r="U69" s="5">
        <f>T69/'2024a_240930_0021'!K69</f>
        <v>0.16129032258064516</v>
      </c>
      <c r="V69" s="4">
        <f>L69-'2024a_240930_0021'!L69</f>
        <v>1.3725378999999993</v>
      </c>
      <c r="W69" s="5">
        <f>V69/'2024a_240930_0021'!L69</f>
        <v>9.6103456585886343E-2</v>
      </c>
    </row>
    <row r="70" spans="1:23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23</v>
      </c>
      <c r="K70">
        <v>1867</v>
      </c>
      <c r="L70" s="4">
        <v>32.170041699999999</v>
      </c>
      <c r="M70" s="4">
        <v>411.80774050147778</v>
      </c>
      <c r="N70" s="4">
        <v>1.5837907802073568</v>
      </c>
      <c r="O70" s="1" t="str">
        <f>HYPERLINK(".\sm_car_241122_0001\sm_car_241122_0001_069_Ca141TrN_MaWOT_ode23t.png","figure")</f>
        <v>figure</v>
      </c>
      <c r="P70" t="s">
        <v>15</v>
      </c>
      <c r="S70" t="b">
        <f>B70='2024a_240930_0021'!B70</f>
        <v>1</v>
      </c>
      <c r="T70">
        <f>K70-'2024a_240930_0021'!K70</f>
        <v>179</v>
      </c>
      <c r="U70" s="5">
        <f>T70/'2024a_240930_0021'!K70</f>
        <v>0.10604265402843602</v>
      </c>
      <c r="V70" s="4">
        <f>L70-'2024a_240930_0021'!L70</f>
        <v>-1.8377546000000038</v>
      </c>
      <c r="W70" s="5">
        <f>V70/'2024a_240930_0021'!L70</f>
        <v>-5.4039214531522106E-2</v>
      </c>
    </row>
    <row r="71" spans="1:23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23</v>
      </c>
      <c r="K71">
        <v>1832</v>
      </c>
      <c r="L71" s="4">
        <v>26.0716912</v>
      </c>
      <c r="M71" s="4">
        <v>157.30846887829645</v>
      </c>
      <c r="N71" s="4">
        <v>-0.56733859519858354</v>
      </c>
      <c r="O71" s="1" t="str">
        <f>HYPERLINK(".\sm_car_241122_0001\sm_car_241122_0001_070_Ca141TrN_MaLSS_ode23t.png","figure")</f>
        <v>figure</v>
      </c>
      <c r="P71" t="s">
        <v>15</v>
      </c>
      <c r="S71" t="b">
        <f>B71='2024a_240930_0021'!B71</f>
        <v>1</v>
      </c>
      <c r="T71">
        <f>K71-'2024a_240930_0021'!K71</f>
        <v>144</v>
      </c>
      <c r="U71" s="5">
        <f>T71/'2024a_240930_0021'!K71</f>
        <v>8.5308056872037921E-2</v>
      </c>
      <c r="V71" s="4">
        <f>L71-'2024a_240930_0021'!L71</f>
        <v>-0.23448820000000126</v>
      </c>
      <c r="W71" s="5">
        <f>V71/'2024a_240930_0021'!L71</f>
        <v>-8.9138067689145777E-3</v>
      </c>
    </row>
    <row r="72" spans="1:23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23</v>
      </c>
      <c r="K72">
        <v>366</v>
      </c>
      <c r="L72" s="4">
        <v>15.3444638</v>
      </c>
      <c r="M72" s="4">
        <v>96.694540349035094</v>
      </c>
      <c r="N72" s="4">
        <v>-3.9998924199996753E-2</v>
      </c>
      <c r="O72" s="1" t="str">
        <f>HYPERLINK(".\sm_car_241122_0001\sm_car_241122_0001_071_Ca143TrN_MaWOT_ode23t.png","figure")</f>
        <v>figure</v>
      </c>
      <c r="P72" t="s">
        <v>15</v>
      </c>
      <c r="S72" t="b">
        <f>B72='2024a_240930_0021'!B72</f>
        <v>1</v>
      </c>
      <c r="T72">
        <f>K72-'2024a_240930_0021'!K72</f>
        <v>34</v>
      </c>
      <c r="U72" s="5">
        <f>T72/'2024a_240930_0021'!K72</f>
        <v>0.10240963855421686</v>
      </c>
      <c r="V72" s="4">
        <f>L72-'2024a_240930_0021'!L72</f>
        <v>-5.9862918000000001</v>
      </c>
      <c r="W72" s="5">
        <f>V72/'2024a_240930_0021'!L72</f>
        <v>-0.2806413383687168</v>
      </c>
    </row>
    <row r="73" spans="1:23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23</v>
      </c>
      <c r="K73">
        <v>454</v>
      </c>
      <c r="L73" s="4">
        <v>16.277008800000001</v>
      </c>
      <c r="M73" s="4">
        <v>25.170960057814508</v>
      </c>
      <c r="N73" s="4">
        <v>-5.4354512975459283E-2</v>
      </c>
      <c r="O73" s="1" t="str">
        <f>HYPERLINK(".\sm_car_241122_0001\sm_car_241122_0001_072_Ca143TrN_MaLSS_ode23t.png","figure")</f>
        <v>figure</v>
      </c>
      <c r="P73" t="s">
        <v>15</v>
      </c>
      <c r="S73" t="b">
        <f>B73='2024a_240930_0021'!B73</f>
        <v>1</v>
      </c>
      <c r="T73">
        <f>K73-'2024a_240930_0021'!K73</f>
        <v>10</v>
      </c>
      <c r="U73" s="5">
        <f>T73/'2024a_240930_0021'!K73</f>
        <v>2.2522522522522521E-2</v>
      </c>
      <c r="V73" s="4">
        <f>L73-'2024a_240930_0021'!L73</f>
        <v>-9.6390408999999977</v>
      </c>
      <c r="W73" s="5">
        <f>V73/'2024a_240930_0021'!L73</f>
        <v>-0.3719332618813429</v>
      </c>
    </row>
    <row r="74" spans="1:23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23</v>
      </c>
      <c r="K74">
        <v>349</v>
      </c>
      <c r="L74" s="4">
        <v>10.3055995</v>
      </c>
      <c r="M74" s="4">
        <v>115.11299554902259</v>
      </c>
      <c r="N74" s="4">
        <v>0.53411950316754153</v>
      </c>
      <c r="O74" s="1" t="str">
        <f>HYPERLINK(".\sm_car_241122_0001\sm_car_241122_0001_073_Ca144TrN_MaWOT_ode23t.png","figure")</f>
        <v>figure</v>
      </c>
      <c r="P74" t="s">
        <v>15</v>
      </c>
      <c r="S74" t="b">
        <f>B74='2024a_240930_0021'!B74</f>
        <v>1</v>
      </c>
      <c r="T74">
        <f>K74-'2024a_240930_0021'!K74</f>
        <v>21</v>
      </c>
      <c r="U74" s="5">
        <f>T74/'2024a_240930_0021'!K74</f>
        <v>6.402439024390244E-2</v>
      </c>
      <c r="V74" s="4">
        <f>L74-'2024a_240930_0021'!L74</f>
        <v>-6.4934276000000004</v>
      </c>
      <c r="W74" s="5">
        <f>V74/'2024a_240930_0021'!L74</f>
        <v>-0.38653593219097793</v>
      </c>
    </row>
    <row r="75" spans="1:23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23</v>
      </c>
      <c r="K75">
        <v>466</v>
      </c>
      <c r="L75" s="4">
        <v>12.6610984</v>
      </c>
      <c r="M75" s="4">
        <v>35.868674067867367</v>
      </c>
      <c r="N75" s="4">
        <v>-3.4654614974328687E-2</v>
      </c>
      <c r="O75" s="1" t="str">
        <f>HYPERLINK(".\sm_car_241122_0001\sm_car_241122_0001_074_Ca144TrN_MaLSS_ode23t.png","figure")</f>
        <v>figure</v>
      </c>
      <c r="P75" t="s">
        <v>15</v>
      </c>
      <c r="S75" t="b">
        <f>B75='2024a_240930_0021'!B75</f>
        <v>1</v>
      </c>
      <c r="T75">
        <f>K75-'2024a_240930_0021'!K75</f>
        <v>20</v>
      </c>
      <c r="U75" s="5">
        <f>T75/'2024a_240930_0021'!K75</f>
        <v>4.4843049327354258E-2</v>
      </c>
      <c r="V75" s="4">
        <f>L75-'2024a_240930_0021'!L75</f>
        <v>-5.7705841999999983</v>
      </c>
      <c r="W75" s="5">
        <f>V75/'2024a_240930_0021'!L75</f>
        <v>-0.31307962084807162</v>
      </c>
    </row>
    <row r="76" spans="1:23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23</v>
      </c>
      <c r="K76">
        <v>2643</v>
      </c>
      <c r="L76" s="4">
        <v>27.0562471</v>
      </c>
      <c r="M76" s="4">
        <v>401.53701325925164</v>
      </c>
      <c r="N76" s="4">
        <v>-64.695098571770032</v>
      </c>
      <c r="O76" s="1" t="str">
        <f>HYPERLINK(".\sm_car_241122_0001\sm_car_241122_0001_075_Ca147TrN_MaWOT_ode23t.png","figure")</f>
        <v>figure</v>
      </c>
      <c r="P76" t="s">
        <v>15</v>
      </c>
      <c r="S76" t="b">
        <f>B76='2024a_240930_0021'!B76</f>
        <v>1</v>
      </c>
      <c r="T76">
        <f>K76-'2024a_240930_0021'!K76</f>
        <v>387</v>
      </c>
      <c r="U76" s="5">
        <f>T76/'2024a_240930_0021'!K76</f>
        <v>0.17154255319148937</v>
      </c>
      <c r="V76" s="4">
        <f>L76-'2024a_240930_0021'!L76</f>
        <v>-4.8184037000000011</v>
      </c>
      <c r="W76" s="5">
        <f>V76/'2024a_240930_0021'!L76</f>
        <v>-0.15116726235632991</v>
      </c>
    </row>
    <row r="77" spans="1:23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23</v>
      </c>
      <c r="K77">
        <v>1356</v>
      </c>
      <c r="L77" s="4">
        <v>16.989411</v>
      </c>
      <c r="M77" s="4">
        <v>155.45192581684955</v>
      </c>
      <c r="N77" s="4">
        <v>-2.7812341351440963</v>
      </c>
      <c r="O77" s="1" t="str">
        <f>HYPERLINK(".\sm_car_241122_0001\sm_car_241122_0001_076_Ca147TrN_MaLSS_ode23t.png","figure")</f>
        <v>figure</v>
      </c>
      <c r="P77" t="s">
        <v>15</v>
      </c>
      <c r="S77" t="b">
        <f>B77='2024a_240930_0021'!B77</f>
        <v>1</v>
      </c>
      <c r="T77">
        <f>K77-'2024a_240930_0021'!K77</f>
        <v>81</v>
      </c>
      <c r="U77" s="5">
        <f>T77/'2024a_240930_0021'!K77</f>
        <v>6.3529411764705876E-2</v>
      </c>
      <c r="V77" s="4">
        <f>L77-'2024a_240930_0021'!L77</f>
        <v>-6.4670044000000004</v>
      </c>
      <c r="W77" s="5">
        <f>V77/'2024a_240930_0021'!L77</f>
        <v>-0.27570301300172234</v>
      </c>
    </row>
    <row r="78" spans="1:23" x14ac:dyDescent="0.25">
      <c r="A78">
        <v>77</v>
      </c>
      <c r="B78">
        <v>183</v>
      </c>
      <c r="C78" t="s">
        <v>105</v>
      </c>
      <c r="D78" t="s">
        <v>125</v>
      </c>
      <c r="E78" t="s">
        <v>18</v>
      </c>
      <c r="F78" t="s">
        <v>19</v>
      </c>
      <c r="G78" t="s">
        <v>20</v>
      </c>
      <c r="H78" t="s">
        <v>21</v>
      </c>
      <c r="I78" t="s">
        <v>22</v>
      </c>
      <c r="J78" t="s">
        <v>23</v>
      </c>
      <c r="K78">
        <v>613</v>
      </c>
      <c r="L78" s="4">
        <v>17.571633899999998</v>
      </c>
      <c r="M78" s="4">
        <v>184.62763772127917</v>
      </c>
      <c r="N78" s="4">
        <v>1.1208368203853939E-2</v>
      </c>
      <c r="O78" s="1" t="str">
        <f>HYPERLINK(".\sm_car_241122_0001\sm_car_241122_0001_077_Ca183TrN_MaWOT_ode23t.png","figure")</f>
        <v>figure</v>
      </c>
      <c r="P78" t="s">
        <v>15</v>
      </c>
      <c r="S78" t="b">
        <f>B78='2024a_240930_0021'!B78</f>
        <v>1</v>
      </c>
      <c r="T78">
        <f>K78-'2024a_240930_0021'!K78</f>
        <v>101</v>
      </c>
      <c r="U78" s="5">
        <f>T78/'2024a_240930_0021'!K78</f>
        <v>0.197265625</v>
      </c>
      <c r="V78" s="4">
        <f>L78-'2024a_240930_0021'!L78</f>
        <v>-14.6603697</v>
      </c>
      <c r="W78" s="5">
        <f>V78/'2024a_240930_0021'!L78</f>
        <v>-0.45483891978716462</v>
      </c>
    </row>
    <row r="79" spans="1:23" x14ac:dyDescent="0.25">
      <c r="A79">
        <v>78</v>
      </c>
      <c r="B79">
        <v>183</v>
      </c>
      <c r="C79" t="s">
        <v>105</v>
      </c>
      <c r="D79" t="s">
        <v>125</v>
      </c>
      <c r="E79" t="s">
        <v>18</v>
      </c>
      <c r="F79" t="s">
        <v>19</v>
      </c>
      <c r="G79" t="s">
        <v>20</v>
      </c>
      <c r="H79" t="s">
        <v>21</v>
      </c>
      <c r="I79" t="s">
        <v>24</v>
      </c>
      <c r="J79" t="s">
        <v>23</v>
      </c>
      <c r="K79">
        <v>891</v>
      </c>
      <c r="L79" s="4">
        <v>21.112864200000001</v>
      </c>
      <c r="M79" s="4">
        <v>57.694487740477165</v>
      </c>
      <c r="N79" s="4">
        <v>9.369442335555643E-2</v>
      </c>
      <c r="O79" s="1" t="str">
        <f>HYPERLINK(".\sm_car_241122_0001\sm_car_241122_0001_078_Ca183TrN_MaLSS_ode23t.png","figure")</f>
        <v>figure</v>
      </c>
      <c r="P79" t="s">
        <v>15</v>
      </c>
      <c r="S79" t="b">
        <f>B79='2024a_240930_0021'!B79</f>
        <v>1</v>
      </c>
      <c r="T79">
        <f>K79-'2024a_240930_0021'!K79</f>
        <v>58</v>
      </c>
      <c r="U79" s="5">
        <f>T79/'2024a_240930_0021'!K79</f>
        <v>6.9627851140456179E-2</v>
      </c>
      <c r="V79" s="4">
        <f>L79-'2024a_240930_0021'!L79</f>
        <v>-17.149184199999997</v>
      </c>
      <c r="W79" s="5">
        <f>V79/'2024a_240930_0021'!L79</f>
        <v>-0.44820350496446493</v>
      </c>
    </row>
    <row r="80" spans="1:23" x14ac:dyDescent="0.25">
      <c r="A80">
        <v>79</v>
      </c>
      <c r="B80">
        <v>8</v>
      </c>
      <c r="C80" t="s">
        <v>16</v>
      </c>
      <c r="D80" t="s">
        <v>17</v>
      </c>
      <c r="E80" t="s">
        <v>49</v>
      </c>
      <c r="F80" t="s">
        <v>19</v>
      </c>
      <c r="G80" t="s">
        <v>20</v>
      </c>
      <c r="H80" t="s">
        <v>21</v>
      </c>
      <c r="I80" t="s">
        <v>22</v>
      </c>
      <c r="J80" t="s">
        <v>23</v>
      </c>
      <c r="K80">
        <v>389</v>
      </c>
      <c r="L80" s="4">
        <v>9.9912272000000009</v>
      </c>
      <c r="M80" s="4">
        <v>234.09186096184166</v>
      </c>
      <c r="N80" s="4">
        <v>9.3247384669264115E-3</v>
      </c>
      <c r="O80" s="1" t="str">
        <f>HYPERLINK(".\sm_car_241122_0001\sm_car_241122_0001_079_Ca008TrN_MaWOT_ode23t_1.png","figure")</f>
        <v>figure</v>
      </c>
      <c r="P80" t="s">
        <v>15</v>
      </c>
      <c r="S80" t="b">
        <f>B80='2024a_240930_0021'!B80</f>
        <v>1</v>
      </c>
      <c r="T80">
        <f>K80-'2024a_240930_0021'!K80</f>
        <v>4</v>
      </c>
      <c r="U80" s="5">
        <f>T80/'2024a_240930_0021'!K80</f>
        <v>1.038961038961039E-2</v>
      </c>
      <c r="V80" s="4">
        <f>L80-'2024a_240930_0021'!L80</f>
        <v>-6.0094814999999997</v>
      </c>
      <c r="W80" s="5">
        <f>V80/'2024a_240930_0021'!L80</f>
        <v>-0.37557595808240668</v>
      </c>
    </row>
    <row r="81" spans="1:23" x14ac:dyDescent="0.25">
      <c r="A81">
        <v>80</v>
      </c>
      <c r="B81">
        <v>8</v>
      </c>
      <c r="C81" t="s">
        <v>16</v>
      </c>
      <c r="D81" t="s">
        <v>17</v>
      </c>
      <c r="E81" t="s">
        <v>49</v>
      </c>
      <c r="F81" t="s">
        <v>19</v>
      </c>
      <c r="G81" t="s">
        <v>20</v>
      </c>
      <c r="H81" t="s">
        <v>21</v>
      </c>
      <c r="I81" t="s">
        <v>24</v>
      </c>
      <c r="J81" t="s">
        <v>23</v>
      </c>
      <c r="K81">
        <v>555</v>
      </c>
      <c r="L81" s="4">
        <v>11.9858536</v>
      </c>
      <c r="M81" s="4">
        <v>72.069588775713797</v>
      </c>
      <c r="N81" s="4">
        <v>-0.55355012580273077</v>
      </c>
      <c r="O81" s="1" t="str">
        <f>HYPERLINK(".\sm_car_241122_0001\sm_car_241122_0001_080_Ca008TrN_MaLSS_ode23t_1.png","figure")</f>
        <v>figure</v>
      </c>
      <c r="P81" t="s">
        <v>15</v>
      </c>
      <c r="S81" t="b">
        <f>B81='2024a_240930_0021'!B81</f>
        <v>1</v>
      </c>
      <c r="T81">
        <f>K81-'2024a_240930_0021'!K81</f>
        <v>4</v>
      </c>
      <c r="U81" s="5">
        <f>T81/'2024a_240930_0021'!K81</f>
        <v>7.2595281306715061E-3</v>
      </c>
      <c r="V81" s="4">
        <f>L81-'2024a_240930_0021'!L81</f>
        <v>-7.5353083999999999</v>
      </c>
      <c r="W81" s="5">
        <f>V81/'2024a_240930_0021'!L81</f>
        <v>-0.38600716494233284</v>
      </c>
    </row>
    <row r="82" spans="1:23" x14ac:dyDescent="0.25">
      <c r="A82">
        <v>81</v>
      </c>
      <c r="B82">
        <v>9</v>
      </c>
      <c r="C82" t="s">
        <v>16</v>
      </c>
      <c r="D82" t="s">
        <v>17</v>
      </c>
      <c r="E82" t="s">
        <v>49</v>
      </c>
      <c r="F82" t="s">
        <v>19</v>
      </c>
      <c r="G82" t="s">
        <v>25</v>
      </c>
      <c r="H82" t="s">
        <v>21</v>
      </c>
      <c r="I82" t="s">
        <v>22</v>
      </c>
      <c r="J82" t="s">
        <v>23</v>
      </c>
      <c r="K82">
        <v>378</v>
      </c>
      <c r="L82" s="4">
        <v>10.8665947</v>
      </c>
      <c r="M82" s="4">
        <v>232.96046399071483</v>
      </c>
      <c r="N82" s="4">
        <v>6.9792691313850196E-4</v>
      </c>
      <c r="O82" s="1" t="str">
        <f>HYPERLINK(".\sm_car_241122_0001\sm_car_241122_0001_081_Ca009TrN_MaWOT_ode23t_1.png","figure")</f>
        <v>figure</v>
      </c>
      <c r="P82" t="s">
        <v>15</v>
      </c>
      <c r="S82" t="b">
        <f>B82='2024a_240930_0021'!B82</f>
        <v>1</v>
      </c>
      <c r="T82">
        <f>K82-'2024a_240930_0021'!K82</f>
        <v>4</v>
      </c>
      <c r="U82" s="5">
        <f>T82/'2024a_240930_0021'!K82</f>
        <v>1.06951871657754E-2</v>
      </c>
      <c r="V82" s="4">
        <f>L82-'2024a_240930_0021'!L82</f>
        <v>-7.3273957000000003</v>
      </c>
      <c r="W82" s="5">
        <f>V82/'2024a_240930_0021'!L82</f>
        <v>-0.40273714225989699</v>
      </c>
    </row>
    <row r="83" spans="1:23" x14ac:dyDescent="0.25">
      <c r="A83">
        <v>82</v>
      </c>
      <c r="B83">
        <v>9</v>
      </c>
      <c r="C83" t="s">
        <v>16</v>
      </c>
      <c r="D83" t="s">
        <v>17</v>
      </c>
      <c r="E83" t="s">
        <v>49</v>
      </c>
      <c r="F83" t="s">
        <v>19</v>
      </c>
      <c r="G83" t="s">
        <v>25</v>
      </c>
      <c r="H83" t="s">
        <v>21</v>
      </c>
      <c r="I83" t="s">
        <v>24</v>
      </c>
      <c r="J83" t="s">
        <v>23</v>
      </c>
      <c r="K83">
        <v>552</v>
      </c>
      <c r="L83" s="4">
        <v>13.5373199</v>
      </c>
      <c r="M83" s="4">
        <v>71.780267357653329</v>
      </c>
      <c r="N83" s="4">
        <v>-0.54678685612967159</v>
      </c>
      <c r="O83" s="1" t="str">
        <f>HYPERLINK(".\sm_car_241122_0001\sm_car_241122_0001_082_Ca009TrN_MaLSS_ode23t_1.png","figure")</f>
        <v>figure</v>
      </c>
      <c r="P83" t="s">
        <v>15</v>
      </c>
      <c r="S83" t="b">
        <f>B83='2024a_240930_0021'!B83</f>
        <v>1</v>
      </c>
      <c r="T83">
        <f>K83-'2024a_240930_0021'!K83</f>
        <v>21</v>
      </c>
      <c r="U83" s="5">
        <f>T83/'2024a_240930_0021'!K83</f>
        <v>3.954802259887006E-2</v>
      </c>
      <c r="V83" s="4">
        <f>L83-'2024a_240930_0021'!L83</f>
        <v>-8.1006359000000003</v>
      </c>
      <c r="W83" s="5">
        <f>V83/'2024a_240930_0021'!L83</f>
        <v>-0.37437158920529823</v>
      </c>
    </row>
    <row r="84" spans="1:23" x14ac:dyDescent="0.25">
      <c r="A84">
        <v>83</v>
      </c>
      <c r="B84">
        <v>10</v>
      </c>
      <c r="C84" t="s">
        <v>16</v>
      </c>
      <c r="D84" t="s">
        <v>17</v>
      </c>
      <c r="E84" t="s">
        <v>49</v>
      </c>
      <c r="F84" t="s">
        <v>19</v>
      </c>
      <c r="G84" t="s">
        <v>26</v>
      </c>
      <c r="H84" t="s">
        <v>21</v>
      </c>
      <c r="I84" t="s">
        <v>22</v>
      </c>
      <c r="J84" t="s">
        <v>23</v>
      </c>
      <c r="K84">
        <v>404</v>
      </c>
      <c r="L84" s="4">
        <v>11.9703508</v>
      </c>
      <c r="M84" s="4">
        <v>233.09112144912572</v>
      </c>
      <c r="N84" s="4">
        <v>6.5732711442156852E-2</v>
      </c>
      <c r="O84" s="1" t="str">
        <f>HYPERLINK(".\sm_car_241122_0001\sm_car_241122_0001_083_Ca010TrN_MaWOT_ode23t_1.png","figure")</f>
        <v>figure</v>
      </c>
      <c r="P84" t="s">
        <v>15</v>
      </c>
      <c r="S84" t="b">
        <f>B84='2024a_240930_0021'!B84</f>
        <v>1</v>
      </c>
      <c r="T84">
        <f>K84-'2024a_240930_0021'!K84</f>
        <v>19</v>
      </c>
      <c r="U84" s="5">
        <f>T84/'2024a_240930_0021'!K84</f>
        <v>4.9350649350649353E-2</v>
      </c>
      <c r="V84" s="4">
        <f>L84-'2024a_240930_0021'!L84</f>
        <v>-7.6026000000000007</v>
      </c>
      <c r="W84" s="5">
        <f>V84/'2024a_240930_0021'!L84</f>
        <v>-0.38842380373224056</v>
      </c>
    </row>
    <row r="85" spans="1:23" x14ac:dyDescent="0.25">
      <c r="A85">
        <v>84</v>
      </c>
      <c r="B85">
        <v>10</v>
      </c>
      <c r="C85" t="s">
        <v>16</v>
      </c>
      <c r="D85" t="s">
        <v>17</v>
      </c>
      <c r="E85" t="s">
        <v>49</v>
      </c>
      <c r="F85" t="s">
        <v>19</v>
      </c>
      <c r="G85" t="s">
        <v>26</v>
      </c>
      <c r="H85" t="s">
        <v>21</v>
      </c>
      <c r="I85" t="s">
        <v>24</v>
      </c>
      <c r="J85" t="s">
        <v>23</v>
      </c>
      <c r="K85">
        <v>549</v>
      </c>
      <c r="L85" s="4">
        <v>16.0092757</v>
      </c>
      <c r="M85" s="4">
        <v>71.777669339921161</v>
      </c>
      <c r="N85" s="4">
        <v>-0.54296235735760545</v>
      </c>
      <c r="O85" s="1" t="str">
        <f>HYPERLINK(".\sm_car_241122_0001\sm_car_241122_0001_084_Ca010TrN_MaLSS_ode23t_1.png","figure")</f>
        <v>figure</v>
      </c>
      <c r="P85" t="s">
        <v>15</v>
      </c>
      <c r="S85" t="b">
        <f>B85='2024a_240930_0021'!B85</f>
        <v>1</v>
      </c>
      <c r="T85">
        <f>K85-'2024a_240930_0021'!K85</f>
        <v>1</v>
      </c>
      <c r="U85" s="5">
        <f>T85/'2024a_240930_0021'!K85</f>
        <v>1.8248175182481751E-3</v>
      </c>
      <c r="V85" s="4">
        <f>L85-'2024a_240930_0021'!L85</f>
        <v>-10.6150457</v>
      </c>
      <c r="W85" s="5">
        <f>V85/'2024a_240930_0021'!L85</f>
        <v>-0.39869732416917114</v>
      </c>
    </row>
    <row r="86" spans="1:23" x14ac:dyDescent="0.25">
      <c r="A86">
        <v>85</v>
      </c>
      <c r="B86">
        <v>11</v>
      </c>
      <c r="C86" t="s">
        <v>16</v>
      </c>
      <c r="D86" t="s">
        <v>17</v>
      </c>
      <c r="E86" t="s">
        <v>49</v>
      </c>
      <c r="F86" t="s">
        <v>19</v>
      </c>
      <c r="G86" t="s">
        <v>27</v>
      </c>
      <c r="H86" t="s">
        <v>21</v>
      </c>
      <c r="I86" t="s">
        <v>22</v>
      </c>
      <c r="J86" t="s">
        <v>23</v>
      </c>
      <c r="K86">
        <v>436</v>
      </c>
      <c r="L86" s="4">
        <v>12.387116900000001</v>
      </c>
      <c r="M86" s="4">
        <v>232.5431462044759</v>
      </c>
      <c r="N86" s="4">
        <v>6.8335194633001153E-2</v>
      </c>
      <c r="O86" s="1" t="str">
        <f>HYPERLINK(".\sm_car_241122_0001\sm_car_241122_0001_085_Ca011TrN_MaWOT_ode23t_1.png","figure")</f>
        <v>figure</v>
      </c>
      <c r="P86" t="s">
        <v>15</v>
      </c>
      <c r="S86" t="b">
        <f>B86='2024a_240930_0021'!B86</f>
        <v>1</v>
      </c>
      <c r="T86">
        <f>K86-'2024a_240930_0021'!K86</f>
        <v>11</v>
      </c>
      <c r="U86" s="5">
        <f>T86/'2024a_240930_0021'!K86</f>
        <v>2.5882352941176471E-2</v>
      </c>
      <c r="V86" s="4">
        <f>L86-'2024a_240930_0021'!L86</f>
        <v>-8.4608027000000003</v>
      </c>
      <c r="W86" s="5">
        <f>V86/'2024a_240930_0021'!L86</f>
        <v>-0.40583438838664748</v>
      </c>
    </row>
    <row r="87" spans="1:23" x14ac:dyDescent="0.25">
      <c r="A87">
        <v>86</v>
      </c>
      <c r="B87">
        <v>11</v>
      </c>
      <c r="C87" t="s">
        <v>16</v>
      </c>
      <c r="D87" t="s">
        <v>17</v>
      </c>
      <c r="E87" t="s">
        <v>49</v>
      </c>
      <c r="F87" t="s">
        <v>19</v>
      </c>
      <c r="G87" t="s">
        <v>27</v>
      </c>
      <c r="H87" t="s">
        <v>21</v>
      </c>
      <c r="I87" t="s">
        <v>24</v>
      </c>
      <c r="J87" t="s">
        <v>23</v>
      </c>
      <c r="K87">
        <v>571</v>
      </c>
      <c r="L87" s="4">
        <v>16.287702899999999</v>
      </c>
      <c r="M87" s="4">
        <v>71.637198877654555</v>
      </c>
      <c r="N87" s="4">
        <v>-0.54086224256693738</v>
      </c>
      <c r="O87" s="1" t="str">
        <f>HYPERLINK(".\sm_car_241122_0001\sm_car_241122_0001_086_Ca011TrN_MaLSS_ode23t_1.png","figure")</f>
        <v>figure</v>
      </c>
      <c r="P87" t="s">
        <v>15</v>
      </c>
      <c r="S87" t="b">
        <f>B87='2024a_240930_0021'!B87</f>
        <v>1</v>
      </c>
      <c r="T87">
        <f>K87-'2024a_240930_0021'!K87</f>
        <v>-16</v>
      </c>
      <c r="U87" s="5">
        <f>T87/'2024a_240930_0021'!K87</f>
        <v>-2.7257240204429302E-2</v>
      </c>
      <c r="V87" s="4">
        <f>L87-'2024a_240930_0021'!L87</f>
        <v>-10.844339300000001</v>
      </c>
      <c r="W87" s="5">
        <f>V87/'2024a_240930_0021'!L87</f>
        <v>-0.39968754360849407</v>
      </c>
    </row>
    <row r="88" spans="1:23" x14ac:dyDescent="0.25">
      <c r="A88">
        <v>87</v>
      </c>
      <c r="B88">
        <v>12</v>
      </c>
      <c r="C88" t="s">
        <v>16</v>
      </c>
      <c r="D88" t="s">
        <v>17</v>
      </c>
      <c r="E88" t="s">
        <v>49</v>
      </c>
      <c r="F88" t="s">
        <v>28</v>
      </c>
      <c r="G88" t="s">
        <v>20</v>
      </c>
      <c r="H88" t="s">
        <v>21</v>
      </c>
      <c r="I88" t="s">
        <v>22</v>
      </c>
      <c r="J88" t="s">
        <v>23</v>
      </c>
      <c r="K88">
        <v>840</v>
      </c>
      <c r="L88" s="4">
        <v>10.8119224</v>
      </c>
      <c r="M88" s="4">
        <v>234.05033183786031</v>
      </c>
      <c r="N88" s="4">
        <v>9.8919564517493501E-3</v>
      </c>
      <c r="O88" s="1" t="str">
        <f>HYPERLINK(".\sm_car_241122_0001\sm_car_241122_0001_087_Ca012TrN_MaWOT_ode23t_1.png","figure")</f>
        <v>figure</v>
      </c>
      <c r="P88" t="s">
        <v>15</v>
      </c>
      <c r="S88" t="b">
        <f>B88='2024a_240930_0021'!B88</f>
        <v>1</v>
      </c>
      <c r="T88">
        <f>K88-'2024a_240930_0021'!K88</f>
        <v>2</v>
      </c>
      <c r="U88" s="5">
        <f>T88/'2024a_240930_0021'!K88</f>
        <v>2.3866348448687352E-3</v>
      </c>
      <c r="V88" s="4">
        <f>L88-'2024a_240930_0021'!L88</f>
        <v>-8.1899854999999988</v>
      </c>
      <c r="W88" s="5">
        <f>V88/'2024a_240930_0021'!L88</f>
        <v>-0.43100858835338313</v>
      </c>
    </row>
    <row r="89" spans="1:23" x14ac:dyDescent="0.25">
      <c r="A89">
        <v>88</v>
      </c>
      <c r="B89">
        <v>12</v>
      </c>
      <c r="C89" t="s">
        <v>16</v>
      </c>
      <c r="D89" t="s">
        <v>17</v>
      </c>
      <c r="E89" t="s">
        <v>49</v>
      </c>
      <c r="F89" t="s">
        <v>28</v>
      </c>
      <c r="G89" t="s">
        <v>20</v>
      </c>
      <c r="H89" t="s">
        <v>21</v>
      </c>
      <c r="I89" t="s">
        <v>24</v>
      </c>
      <c r="J89" t="s">
        <v>23</v>
      </c>
      <c r="K89">
        <v>1007</v>
      </c>
      <c r="L89" s="4">
        <v>13.068209599999999</v>
      </c>
      <c r="M89" s="4">
        <v>72.053621558586585</v>
      </c>
      <c r="N89" s="4">
        <v>-0.55808909994181943</v>
      </c>
      <c r="O89" s="1" t="str">
        <f>HYPERLINK(".\sm_car_241122_0001\sm_car_241122_0001_088_Ca012TrN_MaLSS_ode23t_1.png","figure")</f>
        <v>figure</v>
      </c>
      <c r="P89" t="s">
        <v>15</v>
      </c>
      <c r="S89" t="b">
        <f>B89='2024a_240930_0021'!B89</f>
        <v>1</v>
      </c>
      <c r="T89">
        <f>K89-'2024a_240930_0021'!K89</f>
        <v>37</v>
      </c>
      <c r="U89" s="5">
        <f>T89/'2024a_240930_0021'!K89</f>
        <v>3.814432989690722E-2</v>
      </c>
      <c r="V89" s="4">
        <f>L89-'2024a_240930_0021'!L89</f>
        <v>-7.7291086</v>
      </c>
      <c r="W89" s="5">
        <f>V89/'2024a_240930_0021'!L89</f>
        <v>-0.37163967611939508</v>
      </c>
    </row>
    <row r="90" spans="1:23" x14ac:dyDescent="0.25">
      <c r="A90">
        <v>89</v>
      </c>
      <c r="B90">
        <v>13</v>
      </c>
      <c r="C90" t="s">
        <v>16</v>
      </c>
      <c r="D90" t="s">
        <v>17</v>
      </c>
      <c r="E90" t="s">
        <v>49</v>
      </c>
      <c r="F90" t="s">
        <v>28</v>
      </c>
      <c r="G90" t="s">
        <v>25</v>
      </c>
      <c r="H90" t="s">
        <v>21</v>
      </c>
      <c r="I90" t="s">
        <v>22</v>
      </c>
      <c r="J90" t="s">
        <v>23</v>
      </c>
      <c r="K90">
        <v>831</v>
      </c>
      <c r="L90" s="4">
        <v>11.8616537</v>
      </c>
      <c r="M90" s="4">
        <v>232.98103409696455</v>
      </c>
      <c r="N90" s="4">
        <v>1.1927354191243009E-3</v>
      </c>
      <c r="O90" s="1" t="str">
        <f>HYPERLINK(".\sm_car_241122_0001\sm_car_241122_0001_089_Ca013TrN_MaWOT_ode23t_1.png","figure")</f>
        <v>figure</v>
      </c>
      <c r="P90" t="s">
        <v>15</v>
      </c>
      <c r="S90" t="b">
        <f>B90='2024a_240930_0021'!B90</f>
        <v>1</v>
      </c>
      <c r="T90">
        <f>K90-'2024a_240930_0021'!K90</f>
        <v>-1</v>
      </c>
      <c r="U90" s="5">
        <f>T90/'2024a_240930_0021'!K90</f>
        <v>-1.201923076923077E-3</v>
      </c>
      <c r="V90" s="4">
        <f>L90-'2024a_240930_0021'!L90</f>
        <v>-8.7493871000000016</v>
      </c>
      <c r="W90" s="5">
        <f>V90/'2024a_240930_0021'!L90</f>
        <v>-0.42450001360435913</v>
      </c>
    </row>
    <row r="91" spans="1:23" x14ac:dyDescent="0.25">
      <c r="A91">
        <v>90</v>
      </c>
      <c r="B91">
        <v>13</v>
      </c>
      <c r="C91" t="s">
        <v>16</v>
      </c>
      <c r="D91" t="s">
        <v>17</v>
      </c>
      <c r="E91" t="s">
        <v>49</v>
      </c>
      <c r="F91" t="s">
        <v>28</v>
      </c>
      <c r="G91" t="s">
        <v>25</v>
      </c>
      <c r="H91" t="s">
        <v>21</v>
      </c>
      <c r="I91" t="s">
        <v>24</v>
      </c>
      <c r="J91" t="s">
        <v>23</v>
      </c>
      <c r="K91">
        <v>987</v>
      </c>
      <c r="L91" s="4">
        <v>15.0574014</v>
      </c>
      <c r="M91" s="4">
        <v>71.770230690037152</v>
      </c>
      <c r="N91" s="4">
        <v>-0.55183086674956194</v>
      </c>
      <c r="O91" s="1" t="str">
        <f>HYPERLINK(".\sm_car_241122_0001\sm_car_241122_0001_090_Ca013TrN_MaLSS_ode23t_1.png","figure")</f>
        <v>figure</v>
      </c>
      <c r="P91" t="s">
        <v>15</v>
      </c>
      <c r="S91" t="b">
        <f>B91='2024a_240930_0021'!B91</f>
        <v>1</v>
      </c>
      <c r="T91">
        <f>K91-'2024a_240930_0021'!K91</f>
        <v>29</v>
      </c>
      <c r="U91" s="5">
        <f>T91/'2024a_240930_0021'!K91</f>
        <v>3.0271398747390398E-2</v>
      </c>
      <c r="V91" s="4">
        <f>L91-'2024a_240930_0021'!L91</f>
        <v>-9.1992916999999998</v>
      </c>
      <c r="W91" s="5">
        <f>V91/'2024a_240930_0021'!L91</f>
        <v>-0.37924756116075853</v>
      </c>
    </row>
    <row r="92" spans="1:23" x14ac:dyDescent="0.25">
      <c r="A92">
        <v>91</v>
      </c>
      <c r="B92">
        <v>14</v>
      </c>
      <c r="C92" t="s">
        <v>16</v>
      </c>
      <c r="D92" t="s">
        <v>17</v>
      </c>
      <c r="E92" t="s">
        <v>49</v>
      </c>
      <c r="F92" t="s">
        <v>28</v>
      </c>
      <c r="G92" t="s">
        <v>26</v>
      </c>
      <c r="H92" t="s">
        <v>21</v>
      </c>
      <c r="I92" t="s">
        <v>22</v>
      </c>
      <c r="J92" t="s">
        <v>23</v>
      </c>
      <c r="K92">
        <v>889</v>
      </c>
      <c r="L92" s="4">
        <v>12.165210200000001</v>
      </c>
      <c r="M92" s="4">
        <v>233.06502046408539</v>
      </c>
      <c r="N92" s="4">
        <v>6.8305087928794708E-2</v>
      </c>
      <c r="O92" s="1" t="str">
        <f>HYPERLINK(".\sm_car_241122_0001\sm_car_241122_0001_091_Ca014TrN_MaWOT_ode23t_1.png","figure")</f>
        <v>figure</v>
      </c>
      <c r="P92" t="s">
        <v>15</v>
      </c>
      <c r="S92" t="b">
        <f>B92='2024a_240930_0021'!B92</f>
        <v>1</v>
      </c>
      <c r="T92">
        <f>K92-'2024a_240930_0021'!K92</f>
        <v>30</v>
      </c>
      <c r="U92" s="5">
        <f>T92/'2024a_240930_0021'!K92</f>
        <v>3.4924330616996506E-2</v>
      </c>
      <c r="V92" s="4">
        <f>L92-'2024a_240930_0021'!L92</f>
        <v>-7.0342520999999998</v>
      </c>
      <c r="W92" s="5">
        <f>V92/'2024a_240930_0021'!L92</f>
        <v>-0.36637755735482236</v>
      </c>
    </row>
    <row r="93" spans="1:23" x14ac:dyDescent="0.25">
      <c r="A93">
        <v>92</v>
      </c>
      <c r="B93">
        <v>14</v>
      </c>
      <c r="C93" t="s">
        <v>16</v>
      </c>
      <c r="D93" t="s">
        <v>17</v>
      </c>
      <c r="E93" t="s">
        <v>49</v>
      </c>
      <c r="F93" t="s">
        <v>28</v>
      </c>
      <c r="G93" t="s">
        <v>26</v>
      </c>
      <c r="H93" t="s">
        <v>21</v>
      </c>
      <c r="I93" t="s">
        <v>24</v>
      </c>
      <c r="J93" t="s">
        <v>23</v>
      </c>
      <c r="K93">
        <v>1008</v>
      </c>
      <c r="L93" s="4">
        <v>13.8653271</v>
      </c>
      <c r="M93" s="4">
        <v>71.766590704356673</v>
      </c>
      <c r="N93" s="4">
        <v>-0.54529496807011657</v>
      </c>
      <c r="O93" s="1" t="str">
        <f>HYPERLINK(".\sm_car_241122_0001\sm_car_241122_0001_092_Ca014TrN_MaLSS_ode23t_1.png","figure")</f>
        <v>figure</v>
      </c>
      <c r="P93" t="s">
        <v>15</v>
      </c>
      <c r="S93" t="b">
        <f>B93='2024a_240930_0021'!B93</f>
        <v>1</v>
      </c>
      <c r="T93">
        <f>K93-'2024a_240930_0021'!K93</f>
        <v>-5</v>
      </c>
      <c r="U93" s="5">
        <f>T93/'2024a_240930_0021'!K93</f>
        <v>-4.9358341559723592E-3</v>
      </c>
      <c r="V93" s="4">
        <f>L93-'2024a_240930_0021'!L93</f>
        <v>-12.653021699999998</v>
      </c>
      <c r="W93" s="5">
        <f>V93/'2024a_240930_0021'!L93</f>
        <v>-0.47714214016221096</v>
      </c>
    </row>
    <row r="94" spans="1:23" x14ac:dyDescent="0.25">
      <c r="A94">
        <v>93</v>
      </c>
      <c r="B94">
        <v>15</v>
      </c>
      <c r="C94" t="s">
        <v>16</v>
      </c>
      <c r="D94" t="s">
        <v>17</v>
      </c>
      <c r="E94" t="s">
        <v>49</v>
      </c>
      <c r="F94" t="s">
        <v>28</v>
      </c>
      <c r="G94" t="s">
        <v>27</v>
      </c>
      <c r="H94" t="s">
        <v>21</v>
      </c>
      <c r="I94" t="s">
        <v>22</v>
      </c>
      <c r="J94" t="s">
        <v>23</v>
      </c>
      <c r="K94">
        <v>888</v>
      </c>
      <c r="L94" s="4">
        <v>12.645334</v>
      </c>
      <c r="M94" s="4">
        <v>232.63898939510287</v>
      </c>
      <c r="N94" s="4">
        <v>6.6665116953880083E-2</v>
      </c>
      <c r="O94" s="1" t="str">
        <f>HYPERLINK(".\sm_car_241122_0001\sm_car_241122_0001_093_Ca015TrN_MaWOT_ode23t_1.png","figure")</f>
        <v>figure</v>
      </c>
      <c r="P94" t="s">
        <v>15</v>
      </c>
      <c r="S94" t="b">
        <f>B94='2024a_240930_0021'!B94</f>
        <v>1</v>
      </c>
      <c r="T94">
        <f>K94-'2024a_240930_0021'!K94</f>
        <v>5</v>
      </c>
      <c r="U94" s="5">
        <f>T94/'2024a_240930_0021'!K94</f>
        <v>5.6625141562853904E-3</v>
      </c>
      <c r="V94" s="4">
        <f>L94-'2024a_240930_0021'!L94</f>
        <v>-9.7528853999999985</v>
      </c>
      <c r="W94" s="5">
        <f>V94/'2024a_240930_0021'!L94</f>
        <v>-0.43543128254203989</v>
      </c>
    </row>
    <row r="95" spans="1:23" x14ac:dyDescent="0.25">
      <c r="A95">
        <v>94</v>
      </c>
      <c r="B95">
        <v>15</v>
      </c>
      <c r="C95" t="s">
        <v>16</v>
      </c>
      <c r="D95" t="s">
        <v>17</v>
      </c>
      <c r="E95" t="s">
        <v>49</v>
      </c>
      <c r="F95" t="s">
        <v>28</v>
      </c>
      <c r="G95" t="s">
        <v>27</v>
      </c>
      <c r="H95" t="s">
        <v>21</v>
      </c>
      <c r="I95" t="s">
        <v>24</v>
      </c>
      <c r="J95" t="s">
        <v>23</v>
      </c>
      <c r="K95">
        <v>1038</v>
      </c>
      <c r="L95" s="4">
        <v>16.232739899999999</v>
      </c>
      <c r="M95" s="4">
        <v>71.640252509020783</v>
      </c>
      <c r="N95" s="4">
        <v>-0.5460241005344002</v>
      </c>
      <c r="O95" s="1" t="str">
        <f>HYPERLINK(".\sm_car_241122_0001\sm_car_241122_0001_094_Ca015TrN_MaLSS_ode23t_1.png","figure")</f>
        <v>figure</v>
      </c>
      <c r="P95" t="s">
        <v>15</v>
      </c>
      <c r="S95" t="b">
        <f>B95='2024a_240930_0021'!B95</f>
        <v>1</v>
      </c>
      <c r="T95">
        <f>K95-'2024a_240930_0021'!K95</f>
        <v>29</v>
      </c>
      <c r="U95" s="5">
        <f>T95/'2024a_240930_0021'!K95</f>
        <v>2.8741328047571853E-2</v>
      </c>
      <c r="V95" s="4">
        <f>L95-'2024a_240930_0021'!L95</f>
        <v>-8.4780320000000025</v>
      </c>
      <c r="W95" s="5">
        <f>V95/'2024a_240930_0021'!L95</f>
        <v>-0.34309053696537917</v>
      </c>
    </row>
    <row r="96" spans="1:23" x14ac:dyDescent="0.25">
      <c r="A96">
        <v>95</v>
      </c>
      <c r="B96">
        <v>120</v>
      </c>
      <c r="C96" t="s">
        <v>16</v>
      </c>
      <c r="D96" t="s">
        <v>35</v>
      </c>
      <c r="E96" t="s">
        <v>49</v>
      </c>
      <c r="F96" t="s">
        <v>19</v>
      </c>
      <c r="G96" t="s">
        <v>20</v>
      </c>
      <c r="H96" t="s">
        <v>21</v>
      </c>
      <c r="I96" t="s">
        <v>22</v>
      </c>
      <c r="J96" t="s">
        <v>23</v>
      </c>
      <c r="K96">
        <v>400</v>
      </c>
      <c r="L96" s="4">
        <v>2.9848417999999999</v>
      </c>
      <c r="M96" s="4">
        <v>242.58934839007273</v>
      </c>
      <c r="N96" s="4">
        <v>0.23204803080071817</v>
      </c>
      <c r="O96" s="1" t="str">
        <f>HYPERLINK(".\sm_car_241122_0001\sm_car_241122_0001_095_Ca120TrN_MaWOT_ode23t_1.png","figure")</f>
        <v>figure</v>
      </c>
      <c r="P96" t="s">
        <v>15</v>
      </c>
      <c r="S96" t="b">
        <f>B96='2024a_240930_0021'!B96</f>
        <v>1</v>
      </c>
      <c r="T96">
        <f>K96-'2024a_240930_0021'!K96</f>
        <v>1</v>
      </c>
      <c r="U96" s="5">
        <f>T96/'2024a_240930_0021'!K96</f>
        <v>2.5062656641604009E-3</v>
      </c>
      <c r="V96" s="4">
        <f>L96-'2024a_240930_0021'!L96</f>
        <v>-2.5575916999999997</v>
      </c>
      <c r="W96" s="5">
        <f>V96/'2024a_240930_0021'!L96</f>
        <v>-0.46145645229663107</v>
      </c>
    </row>
    <row r="97" spans="1:23" x14ac:dyDescent="0.25">
      <c r="A97">
        <v>96</v>
      </c>
      <c r="B97">
        <v>120</v>
      </c>
      <c r="C97" t="s">
        <v>16</v>
      </c>
      <c r="D97" t="s">
        <v>35</v>
      </c>
      <c r="E97" t="s">
        <v>49</v>
      </c>
      <c r="F97" t="s">
        <v>19</v>
      </c>
      <c r="G97" t="s">
        <v>20</v>
      </c>
      <c r="H97" t="s">
        <v>21</v>
      </c>
      <c r="I97" t="s">
        <v>24</v>
      </c>
      <c r="J97" t="s">
        <v>23</v>
      </c>
      <c r="K97">
        <v>523</v>
      </c>
      <c r="L97" s="4">
        <v>3.5374848999999999</v>
      </c>
      <c r="M97" s="4">
        <v>74.668427791621369</v>
      </c>
      <c r="N97" s="4">
        <v>-0.33829315441325269</v>
      </c>
      <c r="O97" s="1" t="str">
        <f>HYPERLINK(".\sm_car_241122_0001\sm_car_241122_0001_096_Ca120TrN_MaLSS_ode23t_1.png","figure")</f>
        <v>figure</v>
      </c>
      <c r="P97" t="s">
        <v>15</v>
      </c>
      <c r="S97" t="b">
        <f>B97='2024a_240930_0021'!B97</f>
        <v>1</v>
      </c>
      <c r="T97">
        <f>K97-'2024a_240930_0021'!K97</f>
        <v>29</v>
      </c>
      <c r="U97" s="5">
        <f>T97/'2024a_240930_0021'!K97</f>
        <v>5.8704453441295545E-2</v>
      </c>
      <c r="V97" s="4">
        <f>L97-'2024a_240930_0021'!L97</f>
        <v>-2.3699938000000005</v>
      </c>
      <c r="W97" s="5">
        <f>V97/'2024a_240930_0021'!L97</f>
        <v>-0.40118533140034857</v>
      </c>
    </row>
    <row r="98" spans="1:23" x14ac:dyDescent="0.25">
      <c r="A98">
        <v>97</v>
      </c>
      <c r="B98">
        <v>121</v>
      </c>
      <c r="C98" t="s">
        <v>16</v>
      </c>
      <c r="D98" t="s">
        <v>35</v>
      </c>
      <c r="E98" t="s">
        <v>49</v>
      </c>
      <c r="F98" t="s">
        <v>19</v>
      </c>
      <c r="G98" t="s">
        <v>25</v>
      </c>
      <c r="H98" t="s">
        <v>21</v>
      </c>
      <c r="I98" t="s">
        <v>22</v>
      </c>
      <c r="J98" t="s">
        <v>23</v>
      </c>
      <c r="K98">
        <v>417</v>
      </c>
      <c r="L98" s="4">
        <v>3.6538811999999998</v>
      </c>
      <c r="M98" s="4">
        <v>241.60741085969988</v>
      </c>
      <c r="N98" s="4">
        <v>0.22878587363230826</v>
      </c>
      <c r="O98" s="1" t="str">
        <f>HYPERLINK(".\sm_car_241122_0001\sm_car_241122_0001_097_Ca121TrN_MaWOT_ode23t_1.png","figure")</f>
        <v>figure</v>
      </c>
      <c r="P98" t="s">
        <v>15</v>
      </c>
      <c r="S98" t="b">
        <f>B98='2024a_240930_0021'!B98</f>
        <v>1</v>
      </c>
      <c r="T98">
        <f>K98-'2024a_240930_0021'!K98</f>
        <v>23</v>
      </c>
      <c r="U98" s="5">
        <f>T98/'2024a_240930_0021'!K98</f>
        <v>5.8375634517766499E-2</v>
      </c>
      <c r="V98" s="4">
        <f>L98-'2024a_240930_0021'!L98</f>
        <v>-2.7615406</v>
      </c>
      <c r="W98" s="5">
        <f>V98/'2024a_240930_0021'!L98</f>
        <v>-0.4304534738464118</v>
      </c>
    </row>
    <row r="99" spans="1:23" x14ac:dyDescent="0.25">
      <c r="A99">
        <v>98</v>
      </c>
      <c r="B99">
        <v>121</v>
      </c>
      <c r="C99" t="s">
        <v>16</v>
      </c>
      <c r="D99" t="s">
        <v>35</v>
      </c>
      <c r="E99" t="s">
        <v>49</v>
      </c>
      <c r="F99" t="s">
        <v>19</v>
      </c>
      <c r="G99" t="s">
        <v>25</v>
      </c>
      <c r="H99" t="s">
        <v>21</v>
      </c>
      <c r="I99" t="s">
        <v>24</v>
      </c>
      <c r="J99" t="s">
        <v>23</v>
      </c>
      <c r="K99">
        <v>523</v>
      </c>
      <c r="L99" s="4">
        <v>4.1225111999999999</v>
      </c>
      <c r="M99" s="4">
        <v>74.353921825258993</v>
      </c>
      <c r="N99" s="4">
        <v>-0.33070304458677108</v>
      </c>
      <c r="O99" s="1" t="str">
        <f>HYPERLINK(".\sm_car_241122_0001\sm_car_241122_0001_098_Ca121TrN_MaLSS_ode23t_1.png","figure")</f>
        <v>figure</v>
      </c>
      <c r="P99" t="s">
        <v>15</v>
      </c>
      <c r="S99" t="b">
        <f>B99='2024a_240930_0021'!B99</f>
        <v>1</v>
      </c>
      <c r="T99">
        <f>K99-'2024a_240930_0021'!K99</f>
        <v>2</v>
      </c>
      <c r="U99" s="5">
        <f>T99/'2024a_240930_0021'!K99</f>
        <v>3.838771593090211E-3</v>
      </c>
      <c r="V99" s="4">
        <f>L99-'2024a_240930_0021'!L99</f>
        <v>-3.0557064</v>
      </c>
      <c r="W99" s="5">
        <f>V99/'2024a_240930_0021'!L99</f>
        <v>-0.42569152542826233</v>
      </c>
    </row>
    <row r="100" spans="1:23" x14ac:dyDescent="0.25">
      <c r="A100">
        <v>99</v>
      </c>
      <c r="B100">
        <v>122</v>
      </c>
      <c r="C100" t="s">
        <v>16</v>
      </c>
      <c r="D100" t="s">
        <v>35</v>
      </c>
      <c r="E100" t="s">
        <v>49</v>
      </c>
      <c r="F100" t="s">
        <v>19</v>
      </c>
      <c r="G100" t="s">
        <v>26</v>
      </c>
      <c r="H100" t="s">
        <v>21</v>
      </c>
      <c r="I100" t="s">
        <v>22</v>
      </c>
      <c r="J100" t="s">
        <v>23</v>
      </c>
      <c r="K100">
        <v>410</v>
      </c>
      <c r="L100" s="4">
        <v>3.9817445</v>
      </c>
      <c r="M100" s="4">
        <v>241.76119282571437</v>
      </c>
      <c r="N100" s="4">
        <v>0.22874437654766658</v>
      </c>
      <c r="O100" s="1" t="str">
        <f>HYPERLINK(".\sm_car_241122_0001\sm_car_241122_0001_099_Ca122TrN_MaWOT_ode23t_1.png","figure")</f>
        <v>figure</v>
      </c>
      <c r="P100" t="s">
        <v>15</v>
      </c>
      <c r="S100" t="b">
        <f>B100='2024a_240930_0021'!B100</f>
        <v>1</v>
      </c>
      <c r="T100">
        <f>K100-'2024a_240930_0021'!K100</f>
        <v>7</v>
      </c>
      <c r="U100" s="5">
        <f>T100/'2024a_240930_0021'!K100</f>
        <v>1.7369727047146403E-2</v>
      </c>
      <c r="V100" s="4">
        <f>L100-'2024a_240930_0021'!L100</f>
        <v>-3.0662512999999998</v>
      </c>
      <c r="W100" s="5">
        <f>V100/'2024a_240930_0021'!L100</f>
        <v>-0.43505294086582741</v>
      </c>
    </row>
    <row r="101" spans="1:23" x14ac:dyDescent="0.25">
      <c r="A101">
        <v>100</v>
      </c>
      <c r="B101">
        <v>122</v>
      </c>
      <c r="C101" t="s">
        <v>16</v>
      </c>
      <c r="D101" t="s">
        <v>35</v>
      </c>
      <c r="E101" t="s">
        <v>49</v>
      </c>
      <c r="F101" t="s">
        <v>19</v>
      </c>
      <c r="G101" t="s">
        <v>26</v>
      </c>
      <c r="H101" t="s">
        <v>21</v>
      </c>
      <c r="I101" t="s">
        <v>24</v>
      </c>
      <c r="J101" t="s">
        <v>23</v>
      </c>
      <c r="K101">
        <v>521</v>
      </c>
      <c r="L101" s="4">
        <v>4.3732481999999999</v>
      </c>
      <c r="M101" s="4">
        <v>74.381253522717486</v>
      </c>
      <c r="N101" s="4">
        <v>-0.33361693210839788</v>
      </c>
      <c r="O101" s="1" t="str">
        <f>HYPERLINK(".\sm_car_241122_0001\sm_car_241122_0001_100_Ca122TrN_MaLSS_ode23t_1.png","figure")</f>
        <v>figure</v>
      </c>
      <c r="P101" t="s">
        <v>15</v>
      </c>
      <c r="S101" t="b">
        <f>B101='2024a_240930_0021'!B101</f>
        <v>1</v>
      </c>
      <c r="T101">
        <f>K101-'2024a_240930_0021'!K101</f>
        <v>11</v>
      </c>
      <c r="U101" s="5">
        <f>T101/'2024a_240930_0021'!K101</f>
        <v>2.1568627450980392E-2</v>
      </c>
      <c r="V101" s="4">
        <f>L101-'2024a_240930_0021'!L101</f>
        <v>-3.5546728999999999</v>
      </c>
      <c r="W101" s="5">
        <f>V101/'2024a_240930_0021'!L101</f>
        <v>-0.44837389968474839</v>
      </c>
    </row>
    <row r="102" spans="1:23" x14ac:dyDescent="0.25">
      <c r="A102">
        <v>101</v>
      </c>
      <c r="B102">
        <v>123</v>
      </c>
      <c r="C102" t="s">
        <v>16</v>
      </c>
      <c r="D102" t="s">
        <v>35</v>
      </c>
      <c r="E102" t="s">
        <v>49</v>
      </c>
      <c r="F102" t="s">
        <v>19</v>
      </c>
      <c r="G102" t="s">
        <v>27</v>
      </c>
      <c r="H102" t="s">
        <v>21</v>
      </c>
      <c r="I102" t="s">
        <v>22</v>
      </c>
      <c r="J102" t="s">
        <v>23</v>
      </c>
      <c r="K102">
        <v>428</v>
      </c>
      <c r="L102" s="4">
        <v>4.0968732000000001</v>
      </c>
      <c r="M102" s="4">
        <v>241.15340980374413</v>
      </c>
      <c r="N102" s="4">
        <v>0.22483007290421073</v>
      </c>
      <c r="O102" s="1" t="str">
        <f>HYPERLINK(".\sm_car_241122_0001\sm_car_241122_0001_101_Ca123TrN_MaWOT_ode23t_1.png","figure")</f>
        <v>figure</v>
      </c>
      <c r="P102" t="s">
        <v>15</v>
      </c>
      <c r="S102" t="b">
        <f>B102='2024a_240930_0021'!B102</f>
        <v>1</v>
      </c>
      <c r="T102">
        <f>K102-'2024a_240930_0021'!K102</f>
        <v>3</v>
      </c>
      <c r="U102" s="5">
        <f>T102/'2024a_240930_0021'!K102</f>
        <v>7.058823529411765E-3</v>
      </c>
      <c r="V102" s="4">
        <f>L102-'2024a_240930_0021'!L102</f>
        <v>-3.1144977000000003</v>
      </c>
      <c r="W102" s="5">
        <f>V102/'2024a_240930_0021'!L102</f>
        <v>-0.43188704938196981</v>
      </c>
    </row>
    <row r="103" spans="1:23" x14ac:dyDescent="0.25">
      <c r="A103">
        <v>102</v>
      </c>
      <c r="B103">
        <v>123</v>
      </c>
      <c r="C103" t="s">
        <v>16</v>
      </c>
      <c r="D103" t="s">
        <v>35</v>
      </c>
      <c r="E103" t="s">
        <v>49</v>
      </c>
      <c r="F103" t="s">
        <v>19</v>
      </c>
      <c r="G103" t="s">
        <v>27</v>
      </c>
      <c r="H103" t="s">
        <v>21</v>
      </c>
      <c r="I103" t="s">
        <v>24</v>
      </c>
      <c r="J103" t="s">
        <v>23</v>
      </c>
      <c r="K103">
        <v>533</v>
      </c>
      <c r="L103" s="4">
        <v>4.5379892999999996</v>
      </c>
      <c r="M103" s="4">
        <v>74.215257223191742</v>
      </c>
      <c r="N103" s="4">
        <v>-0.32552407651183457</v>
      </c>
      <c r="O103" s="1" t="str">
        <f>HYPERLINK(".\sm_car_241122_0001\sm_car_241122_0001_102_Ca123TrN_MaLSS_ode23t_1.png","figure")</f>
        <v>figure</v>
      </c>
      <c r="P103" t="s">
        <v>15</v>
      </c>
      <c r="S103" t="b">
        <f>B103='2024a_240930_0021'!B103</f>
        <v>1</v>
      </c>
      <c r="T103">
        <f>K103-'2024a_240930_0021'!K103</f>
        <v>-5</v>
      </c>
      <c r="U103" s="5">
        <f>T103/'2024a_240930_0021'!K103</f>
        <v>-9.2936802973977699E-3</v>
      </c>
      <c r="V103" s="4">
        <f>L103-'2024a_240930_0021'!L103</f>
        <v>-3.2882127000000008</v>
      </c>
      <c r="W103" s="5">
        <f>V103/'2024a_240930_0021'!L103</f>
        <v>-0.4201543353979364</v>
      </c>
    </row>
    <row r="104" spans="1:23" x14ac:dyDescent="0.25">
      <c r="A104">
        <v>103</v>
      </c>
      <c r="B104">
        <v>124</v>
      </c>
      <c r="C104" t="s">
        <v>16</v>
      </c>
      <c r="D104" t="s">
        <v>35</v>
      </c>
      <c r="E104" t="s">
        <v>49</v>
      </c>
      <c r="F104" t="s">
        <v>28</v>
      </c>
      <c r="G104" t="s">
        <v>20</v>
      </c>
      <c r="H104" t="s">
        <v>21</v>
      </c>
      <c r="I104" t="s">
        <v>22</v>
      </c>
      <c r="J104" t="s">
        <v>23</v>
      </c>
      <c r="K104">
        <v>1016</v>
      </c>
      <c r="L104" s="4">
        <v>4.1091850000000001</v>
      </c>
      <c r="M104" s="4">
        <v>242.55761999146026</v>
      </c>
      <c r="N104" s="4">
        <v>0.23285190627792315</v>
      </c>
      <c r="O104" s="1" t="str">
        <f>HYPERLINK(".\sm_car_241122_0001\sm_car_241122_0001_103_Ca124TrN_MaWOT_ode23t_1.png","figure")</f>
        <v>figure</v>
      </c>
      <c r="P104" t="s">
        <v>15</v>
      </c>
      <c r="S104" t="b">
        <f>B104='2024a_240930_0021'!B104</f>
        <v>1</v>
      </c>
      <c r="T104">
        <f>K104-'2024a_240930_0021'!K104</f>
        <v>5</v>
      </c>
      <c r="U104" s="5">
        <f>T104/'2024a_240930_0021'!K104</f>
        <v>4.945598417408506E-3</v>
      </c>
      <c r="V104" s="4">
        <f>L104-'2024a_240930_0021'!L104</f>
        <v>-3.1475488</v>
      </c>
      <c r="W104" s="5">
        <f>V104/'2024a_240930_0021'!L104</f>
        <v>-0.4337418026826339</v>
      </c>
    </row>
    <row r="105" spans="1:23" x14ac:dyDescent="0.25">
      <c r="A105">
        <v>104</v>
      </c>
      <c r="B105">
        <v>124</v>
      </c>
      <c r="C105" t="s">
        <v>16</v>
      </c>
      <c r="D105" t="s">
        <v>35</v>
      </c>
      <c r="E105" t="s">
        <v>49</v>
      </c>
      <c r="F105" t="s">
        <v>28</v>
      </c>
      <c r="G105" t="s">
        <v>20</v>
      </c>
      <c r="H105" t="s">
        <v>21</v>
      </c>
      <c r="I105" t="s">
        <v>24</v>
      </c>
      <c r="J105" t="s">
        <v>23</v>
      </c>
      <c r="K105">
        <v>1125</v>
      </c>
      <c r="L105" s="4">
        <v>4.8488737000000004</v>
      </c>
      <c r="M105" s="4">
        <v>74.660884556819781</v>
      </c>
      <c r="N105" s="4">
        <v>-0.3413585153688285</v>
      </c>
      <c r="O105" s="1" t="str">
        <f>HYPERLINK(".\sm_car_241122_0001\sm_car_241122_0001_104_Ca124TrN_MaLSS_ode23t_1.png","figure")</f>
        <v>figure</v>
      </c>
      <c r="P105" t="s">
        <v>15</v>
      </c>
      <c r="S105" t="b">
        <f>B105='2024a_240930_0021'!B105</f>
        <v>1</v>
      </c>
      <c r="T105">
        <f>K105-'2024a_240930_0021'!K105</f>
        <v>0</v>
      </c>
      <c r="U105" s="5">
        <f>T105/'2024a_240930_0021'!K105</f>
        <v>0</v>
      </c>
      <c r="V105" s="4">
        <f>L105-'2024a_240930_0021'!L105</f>
        <v>-2.8593384999999998</v>
      </c>
      <c r="W105" s="5">
        <f>V105/'2024a_240930_0021'!L105</f>
        <v>-0.37094704009316193</v>
      </c>
    </row>
    <row r="106" spans="1:23" x14ac:dyDescent="0.25">
      <c r="A106">
        <v>105</v>
      </c>
      <c r="B106">
        <v>125</v>
      </c>
      <c r="C106" t="s">
        <v>16</v>
      </c>
      <c r="D106" t="s">
        <v>35</v>
      </c>
      <c r="E106" t="s">
        <v>49</v>
      </c>
      <c r="F106" t="s">
        <v>28</v>
      </c>
      <c r="G106" t="s">
        <v>25</v>
      </c>
      <c r="H106" t="s">
        <v>21</v>
      </c>
      <c r="I106" t="s">
        <v>22</v>
      </c>
      <c r="J106" t="s">
        <v>23</v>
      </c>
      <c r="K106">
        <v>1009</v>
      </c>
      <c r="L106" s="4">
        <v>4.6389946999999996</v>
      </c>
      <c r="M106" s="4">
        <v>241.53723269481665</v>
      </c>
      <c r="N106" s="4">
        <v>0.22946462818848451</v>
      </c>
      <c r="O106" s="1" t="str">
        <f>HYPERLINK(".\sm_car_241122_0001\sm_car_241122_0001_105_Ca125TrN_MaWOT_ode23t_1.png","figure")</f>
        <v>figure</v>
      </c>
      <c r="P106" t="s">
        <v>15</v>
      </c>
      <c r="S106" t="b">
        <f>B106='2024a_240930_0021'!B106</f>
        <v>1</v>
      </c>
      <c r="T106">
        <f>K106-'2024a_240930_0021'!K106</f>
        <v>3</v>
      </c>
      <c r="U106" s="5">
        <f>T106/'2024a_240930_0021'!K106</f>
        <v>2.982107355864811E-3</v>
      </c>
      <c r="V106" s="4">
        <f>L106-'2024a_240930_0021'!L106</f>
        <v>-3.3394322000000001</v>
      </c>
      <c r="W106" s="5">
        <f>V106/'2024a_240930_0021'!L106</f>
        <v>-0.41855772345297798</v>
      </c>
    </row>
    <row r="107" spans="1:23" x14ac:dyDescent="0.25">
      <c r="A107">
        <v>106</v>
      </c>
      <c r="B107">
        <v>125</v>
      </c>
      <c r="C107" t="s">
        <v>16</v>
      </c>
      <c r="D107" t="s">
        <v>35</v>
      </c>
      <c r="E107" t="s">
        <v>49</v>
      </c>
      <c r="F107" t="s">
        <v>28</v>
      </c>
      <c r="G107" t="s">
        <v>25</v>
      </c>
      <c r="H107" t="s">
        <v>21</v>
      </c>
      <c r="I107" t="s">
        <v>24</v>
      </c>
      <c r="J107" t="s">
        <v>23</v>
      </c>
      <c r="K107">
        <v>1151</v>
      </c>
      <c r="L107" s="4">
        <v>5.3611868999999999</v>
      </c>
      <c r="M107" s="4">
        <v>74.345039840245605</v>
      </c>
      <c r="N107" s="4">
        <v>-0.33680972214980004</v>
      </c>
      <c r="O107" s="1" t="str">
        <f>HYPERLINK(".\sm_car_241122_0001\sm_car_241122_0001_106_Ca125TrN_MaLSS_ode23t_1.png","figure")</f>
        <v>figure</v>
      </c>
      <c r="P107" t="s">
        <v>15</v>
      </c>
      <c r="S107" t="b">
        <f>B107='2024a_240930_0021'!B107</f>
        <v>1</v>
      </c>
      <c r="T107">
        <f>K107-'2024a_240930_0021'!K107</f>
        <v>25</v>
      </c>
      <c r="U107" s="5">
        <f>T107/'2024a_240930_0021'!K107</f>
        <v>2.2202486678507993E-2</v>
      </c>
      <c r="V107" s="4">
        <f>L107-'2024a_240930_0021'!L107</f>
        <v>-3.7214516999999994</v>
      </c>
      <c r="W107" s="5">
        <f>V107/'2024a_240930_0021'!L107</f>
        <v>-0.40973244272870218</v>
      </c>
    </row>
    <row r="108" spans="1:23" x14ac:dyDescent="0.25">
      <c r="A108">
        <v>107</v>
      </c>
      <c r="B108">
        <v>126</v>
      </c>
      <c r="C108" t="s">
        <v>16</v>
      </c>
      <c r="D108" t="s">
        <v>35</v>
      </c>
      <c r="E108" t="s">
        <v>49</v>
      </c>
      <c r="F108" t="s">
        <v>28</v>
      </c>
      <c r="G108" t="s">
        <v>26</v>
      </c>
      <c r="H108" t="s">
        <v>21</v>
      </c>
      <c r="I108" t="s">
        <v>22</v>
      </c>
      <c r="J108" t="s">
        <v>23</v>
      </c>
      <c r="K108">
        <v>1024</v>
      </c>
      <c r="L108" s="4">
        <v>4.9768752000000003</v>
      </c>
      <c r="M108" s="4">
        <v>241.64247262584826</v>
      </c>
      <c r="N108" s="4">
        <v>0.22964968965908028</v>
      </c>
      <c r="O108" s="1" t="str">
        <f>HYPERLINK(".\sm_car_241122_0001\sm_car_241122_0001_107_Ca126TrN_MaWOT_ode23t_1.png","figure")</f>
        <v>figure</v>
      </c>
      <c r="P108" t="s">
        <v>15</v>
      </c>
      <c r="S108" t="b">
        <f>B108='2024a_240930_0021'!B108</f>
        <v>1</v>
      </c>
      <c r="T108">
        <f>K108-'2024a_240930_0021'!K108</f>
        <v>-10</v>
      </c>
      <c r="U108" s="5">
        <f>T108/'2024a_240930_0021'!K108</f>
        <v>-9.6711798839458421E-3</v>
      </c>
      <c r="V108" s="4">
        <f>L108-'2024a_240930_0021'!L108</f>
        <v>-3.6527320999999997</v>
      </c>
      <c r="W108" s="5">
        <f>V108/'2024a_240930_0021'!L108</f>
        <v>-0.42327906392681386</v>
      </c>
    </row>
    <row r="109" spans="1:23" x14ac:dyDescent="0.25">
      <c r="A109">
        <v>108</v>
      </c>
      <c r="B109">
        <v>126</v>
      </c>
      <c r="C109" t="s">
        <v>16</v>
      </c>
      <c r="D109" t="s">
        <v>35</v>
      </c>
      <c r="E109" t="s">
        <v>49</v>
      </c>
      <c r="F109" t="s">
        <v>28</v>
      </c>
      <c r="G109" t="s">
        <v>26</v>
      </c>
      <c r="H109" t="s">
        <v>21</v>
      </c>
      <c r="I109" t="s">
        <v>24</v>
      </c>
      <c r="J109" t="s">
        <v>23</v>
      </c>
      <c r="K109">
        <v>1159</v>
      </c>
      <c r="L109" s="4">
        <v>5.7655155999999996</v>
      </c>
      <c r="M109" s="4">
        <v>74.346368196446249</v>
      </c>
      <c r="N109" s="4">
        <v>-0.33727695669845154</v>
      </c>
      <c r="O109" s="1" t="str">
        <f>HYPERLINK(".\sm_car_241122_0001\sm_car_241122_0001_108_Ca126TrN_MaLSS_ode23t_1.png","figure")</f>
        <v>figure</v>
      </c>
      <c r="P109" t="s">
        <v>15</v>
      </c>
      <c r="S109" t="b">
        <f>B109='2024a_240930_0021'!B109</f>
        <v>1</v>
      </c>
      <c r="T109">
        <f>K109-'2024a_240930_0021'!K109</f>
        <v>21</v>
      </c>
      <c r="U109" s="5">
        <f>T109/'2024a_240930_0021'!K109</f>
        <v>1.8453427065026361E-2</v>
      </c>
      <c r="V109" s="4">
        <f>L109-'2024a_240930_0021'!L109</f>
        <v>-3.9270360000000002</v>
      </c>
      <c r="W109" s="5">
        <f>V109/'2024a_240930_0021'!L109</f>
        <v>-0.40516018506416829</v>
      </c>
    </row>
    <row r="110" spans="1:23" x14ac:dyDescent="0.25">
      <c r="A110">
        <v>109</v>
      </c>
      <c r="B110">
        <v>127</v>
      </c>
      <c r="C110" t="s">
        <v>16</v>
      </c>
      <c r="D110" t="s">
        <v>35</v>
      </c>
      <c r="E110" t="s">
        <v>49</v>
      </c>
      <c r="F110" t="s">
        <v>28</v>
      </c>
      <c r="G110" t="s">
        <v>27</v>
      </c>
      <c r="H110" t="s">
        <v>21</v>
      </c>
      <c r="I110" t="s">
        <v>22</v>
      </c>
      <c r="J110" t="s">
        <v>23</v>
      </c>
      <c r="K110">
        <v>1047</v>
      </c>
      <c r="L110" s="4">
        <v>5.2266626</v>
      </c>
      <c r="M110" s="4">
        <v>240.96586620758819</v>
      </c>
      <c r="N110" s="4">
        <v>0.22845343545279453</v>
      </c>
      <c r="O110" s="1" t="str">
        <f>HYPERLINK(".\sm_car_241122_0001\sm_car_241122_0001_109_Ca127TrN_MaWOT_ode23t_1.png","figure")</f>
        <v>figure</v>
      </c>
      <c r="P110" t="s">
        <v>15</v>
      </c>
      <c r="S110" t="b">
        <f>B110='2024a_240930_0021'!B110</f>
        <v>1</v>
      </c>
      <c r="T110">
        <f>K110-'2024a_240930_0021'!K110</f>
        <v>3</v>
      </c>
      <c r="U110" s="5">
        <f>T110/'2024a_240930_0021'!K110</f>
        <v>2.8735632183908046E-3</v>
      </c>
      <c r="V110" s="4">
        <f>L110-'2024a_240930_0021'!L110</f>
        <v>-4.0977813000000003</v>
      </c>
      <c r="W110" s="5">
        <f>V110/'2024a_240930_0021'!L110</f>
        <v>-0.4394665616466415</v>
      </c>
    </row>
    <row r="111" spans="1:23" x14ac:dyDescent="0.25">
      <c r="A111">
        <v>110</v>
      </c>
      <c r="B111">
        <v>127</v>
      </c>
      <c r="C111" t="s">
        <v>16</v>
      </c>
      <c r="D111" t="s">
        <v>35</v>
      </c>
      <c r="E111" t="s">
        <v>49</v>
      </c>
      <c r="F111" t="s">
        <v>28</v>
      </c>
      <c r="G111" t="s">
        <v>27</v>
      </c>
      <c r="H111" t="s">
        <v>21</v>
      </c>
      <c r="I111" t="s">
        <v>24</v>
      </c>
      <c r="J111" t="s">
        <v>23</v>
      </c>
      <c r="K111">
        <v>1191</v>
      </c>
      <c r="L111" s="4">
        <v>6.149915</v>
      </c>
      <c r="M111" s="4">
        <v>74.198825126450586</v>
      </c>
      <c r="N111" s="4">
        <v>-0.33267309666198902</v>
      </c>
      <c r="O111" s="1" t="str">
        <f>HYPERLINK(".\sm_car_241122_0001\sm_car_241122_0001_110_Ca127TrN_MaLSS_ode23t_1.png","figure")</f>
        <v>figure</v>
      </c>
      <c r="P111" t="s">
        <v>15</v>
      </c>
      <c r="S111" t="b">
        <f>B111='2024a_240930_0021'!B111</f>
        <v>1</v>
      </c>
      <c r="T111">
        <f>K111-'2024a_240930_0021'!K111</f>
        <v>28</v>
      </c>
      <c r="U111" s="5">
        <f>T111/'2024a_240930_0021'!K111</f>
        <v>2.407566638005159E-2</v>
      </c>
      <c r="V111" s="4">
        <f>L111-'2024a_240930_0021'!L111</f>
        <v>-3.6469240999999997</v>
      </c>
      <c r="W111" s="5">
        <f>V111/'2024a_240930_0021'!L111</f>
        <v>-0.37225517973445127</v>
      </c>
    </row>
    <row r="112" spans="1:23" x14ac:dyDescent="0.25">
      <c r="A112">
        <v>111</v>
      </c>
      <c r="B112">
        <v>140</v>
      </c>
      <c r="C112" t="s">
        <v>45</v>
      </c>
      <c r="D112" t="s">
        <v>17</v>
      </c>
      <c r="E112" t="s">
        <v>49</v>
      </c>
      <c r="F112" t="s">
        <v>19</v>
      </c>
      <c r="G112" t="s">
        <v>26</v>
      </c>
      <c r="H112" t="s">
        <v>21</v>
      </c>
      <c r="I112" t="s">
        <v>22</v>
      </c>
      <c r="J112" t="s">
        <v>23</v>
      </c>
      <c r="K112">
        <v>619</v>
      </c>
      <c r="L112" s="4">
        <v>31.910984800000001</v>
      </c>
      <c r="M112" s="4">
        <v>411.53999981326416</v>
      </c>
      <c r="N112" s="4">
        <v>1.6443309171878624</v>
      </c>
      <c r="O112" s="1" t="str">
        <f>HYPERLINK(".\sm_car_241122_0001\sm_car_241122_0001_111_Ca140TrN_MaWOT_ode23t_1.png","figure")</f>
        <v>figure</v>
      </c>
      <c r="P112" t="s">
        <v>15</v>
      </c>
      <c r="S112" t="b">
        <f>B112='2024a_240930_0021'!B112</f>
        <v>1</v>
      </c>
      <c r="T112">
        <f>K112-'2024a_240930_0021'!K112</f>
        <v>186</v>
      </c>
      <c r="U112" s="5">
        <f>T112/'2024a_240930_0021'!K112</f>
        <v>0.42956120092378752</v>
      </c>
      <c r="V112" s="4">
        <f>L112-'2024a_240930_0021'!L112</f>
        <v>6.3515241000000024</v>
      </c>
      <c r="W112" s="5">
        <f>V112/'2024a_240930_0021'!L112</f>
        <v>0.2484999262914809</v>
      </c>
    </row>
    <row r="113" spans="1:23" x14ac:dyDescent="0.25">
      <c r="A113">
        <v>112</v>
      </c>
      <c r="B113">
        <v>140</v>
      </c>
      <c r="C113" t="s">
        <v>45</v>
      </c>
      <c r="D113" t="s">
        <v>17</v>
      </c>
      <c r="E113" t="s">
        <v>49</v>
      </c>
      <c r="F113" t="s">
        <v>19</v>
      </c>
      <c r="G113" t="s">
        <v>26</v>
      </c>
      <c r="H113" t="s">
        <v>21</v>
      </c>
      <c r="I113" t="s">
        <v>24</v>
      </c>
      <c r="J113" t="s">
        <v>23</v>
      </c>
      <c r="K113">
        <v>628</v>
      </c>
      <c r="L113" s="4">
        <v>21.1797735</v>
      </c>
      <c r="M113" s="4">
        <v>157.24513692240225</v>
      </c>
      <c r="N113" s="4">
        <v>-0.54993236581341087</v>
      </c>
      <c r="O113" s="1" t="str">
        <f>HYPERLINK(".\sm_car_241122_0001\sm_car_241122_0001_112_Ca140TrN_MaLSS_ode23t_1.png","figure")</f>
        <v>figure</v>
      </c>
      <c r="P113" t="s">
        <v>15</v>
      </c>
      <c r="S113" t="b">
        <f>B113='2024a_240930_0021'!B113</f>
        <v>1</v>
      </c>
      <c r="T113">
        <f>K113-'2024a_240930_0021'!K113</f>
        <v>70</v>
      </c>
      <c r="U113" s="5">
        <f>T113/'2024a_240930_0021'!K113</f>
        <v>0.12544802867383512</v>
      </c>
      <c r="V113" s="4">
        <f>L113-'2024a_240930_0021'!L113</f>
        <v>-1.4246444000000018</v>
      </c>
      <c r="W113" s="5">
        <f>V113/'2024a_240930_0021'!L113</f>
        <v>-6.3025042551527133E-2</v>
      </c>
    </row>
    <row r="114" spans="1:23" x14ac:dyDescent="0.25">
      <c r="A114">
        <v>113</v>
      </c>
      <c r="B114">
        <v>142</v>
      </c>
      <c r="C114" t="s">
        <v>45</v>
      </c>
      <c r="D114" t="s">
        <v>17</v>
      </c>
      <c r="E114" t="s">
        <v>49</v>
      </c>
      <c r="F114" t="s">
        <v>28</v>
      </c>
      <c r="G114" t="s">
        <v>26</v>
      </c>
      <c r="H114" t="s">
        <v>21</v>
      </c>
      <c r="I114" t="s">
        <v>22</v>
      </c>
      <c r="J114" t="s">
        <v>23</v>
      </c>
      <c r="K114">
        <v>1170</v>
      </c>
      <c r="L114" s="4">
        <v>30.516432099999999</v>
      </c>
      <c r="M114" s="4">
        <v>411.80960218773259</v>
      </c>
      <c r="N114" s="4">
        <v>1.5357322259895918</v>
      </c>
      <c r="O114" s="1" t="str">
        <f>HYPERLINK(".\sm_car_241122_0001\sm_car_241122_0001_113_Ca142TrN_MaWOT_ode23t_1.png","figure")</f>
        <v>figure</v>
      </c>
      <c r="P114" t="s">
        <v>15</v>
      </c>
      <c r="S114" t="b">
        <f>B114='2024a_240930_0021'!B114</f>
        <v>1</v>
      </c>
      <c r="T114">
        <f>K114-'2024a_240930_0021'!K114</f>
        <v>206</v>
      </c>
      <c r="U114" s="5">
        <f>T114/'2024a_240930_0021'!K114</f>
        <v>0.21369294605809128</v>
      </c>
      <c r="V114" s="4">
        <f>L114-'2024a_240930_0021'!L114</f>
        <v>6.193396400000001</v>
      </c>
      <c r="W114" s="5">
        <f>V114/'2024a_240930_0021'!L114</f>
        <v>0.25463089708000558</v>
      </c>
    </row>
    <row r="115" spans="1:23" x14ac:dyDescent="0.25">
      <c r="A115">
        <v>114</v>
      </c>
      <c r="B115">
        <v>142</v>
      </c>
      <c r="C115" t="s">
        <v>45</v>
      </c>
      <c r="D115" t="s">
        <v>17</v>
      </c>
      <c r="E115" t="s">
        <v>49</v>
      </c>
      <c r="F115" t="s">
        <v>28</v>
      </c>
      <c r="G115" t="s">
        <v>26</v>
      </c>
      <c r="H115" t="s">
        <v>21</v>
      </c>
      <c r="I115" t="s">
        <v>24</v>
      </c>
      <c r="J115" t="s">
        <v>23</v>
      </c>
      <c r="K115">
        <v>1176</v>
      </c>
      <c r="L115" s="4">
        <v>21.334701200000001</v>
      </c>
      <c r="M115" s="4">
        <v>157.33084622921163</v>
      </c>
      <c r="N115" s="4">
        <v>-0.56679626982087039</v>
      </c>
      <c r="O115" s="1" t="str">
        <f>HYPERLINK(".\sm_car_241122_0001\sm_car_241122_0001_114_Ca142TrN_MaLSS_ode23t_1.png","figure")</f>
        <v>figure</v>
      </c>
      <c r="P115" t="s">
        <v>15</v>
      </c>
      <c r="S115" t="b">
        <f>B115='2024a_240930_0021'!B115</f>
        <v>1</v>
      </c>
      <c r="T115">
        <f>K115-'2024a_240930_0021'!K115</f>
        <v>68</v>
      </c>
      <c r="U115" s="5">
        <f>T115/'2024a_240930_0021'!K115</f>
        <v>6.1371841155234655E-2</v>
      </c>
      <c r="V115" s="4">
        <f>L115-'2024a_240930_0021'!L115</f>
        <v>-1.1877091999999969</v>
      </c>
      <c r="W115" s="5">
        <f>V115/'2024a_240930_0021'!L115</f>
        <v>-5.2734551005251061E-2</v>
      </c>
    </row>
    <row r="116" spans="1:23" x14ac:dyDescent="0.25">
      <c r="A116">
        <v>115</v>
      </c>
      <c r="B116">
        <v>145</v>
      </c>
      <c r="C116" t="s">
        <v>46</v>
      </c>
      <c r="D116" t="s">
        <v>17</v>
      </c>
      <c r="E116" t="s">
        <v>50</v>
      </c>
      <c r="F116" t="s">
        <v>19</v>
      </c>
      <c r="G116" t="s">
        <v>26</v>
      </c>
      <c r="H116" t="s">
        <v>21</v>
      </c>
      <c r="I116" t="s">
        <v>22</v>
      </c>
      <c r="J116" t="s">
        <v>23</v>
      </c>
      <c r="K116">
        <v>341</v>
      </c>
      <c r="L116" s="4">
        <v>13.2230694</v>
      </c>
      <c r="M116" s="4">
        <v>96.703574555466901</v>
      </c>
      <c r="N116" s="4">
        <v>-4.0946775365127711E-2</v>
      </c>
      <c r="O116" s="1" t="str">
        <f>HYPERLINK(".\sm_car_241122_0001\sm_car_241122_0001_115_Ca145TrN_MaWOT_ode23t_1.png","figure")</f>
        <v>figure</v>
      </c>
      <c r="P116" t="s">
        <v>15</v>
      </c>
      <c r="S116" t="b">
        <f>B116='2024a_240930_0021'!B116</f>
        <v>1</v>
      </c>
      <c r="T116">
        <f>K116-'2024a_240930_0021'!K116</f>
        <v>-8</v>
      </c>
      <c r="U116" s="5">
        <f>T116/'2024a_240930_0021'!K116</f>
        <v>-2.2922636103151862E-2</v>
      </c>
      <c r="V116" s="4">
        <f>L116-'2024a_240930_0021'!L116</f>
        <v>-7.2293035000000003</v>
      </c>
      <c r="W116" s="5">
        <f>V116/'2024a_240930_0021'!L116</f>
        <v>-0.35347015895647005</v>
      </c>
    </row>
    <row r="117" spans="1:23" x14ac:dyDescent="0.25">
      <c r="A117">
        <v>116</v>
      </c>
      <c r="B117">
        <v>145</v>
      </c>
      <c r="C117" t="s">
        <v>46</v>
      </c>
      <c r="D117" t="s">
        <v>17</v>
      </c>
      <c r="E117" t="s">
        <v>50</v>
      </c>
      <c r="F117" t="s">
        <v>19</v>
      </c>
      <c r="G117" t="s">
        <v>26</v>
      </c>
      <c r="H117" t="s">
        <v>21</v>
      </c>
      <c r="I117" t="s">
        <v>24</v>
      </c>
      <c r="J117" t="s">
        <v>23</v>
      </c>
      <c r="K117">
        <v>457</v>
      </c>
      <c r="L117" s="4">
        <v>16.169344299999999</v>
      </c>
      <c r="M117" s="4">
        <v>25.172162665749767</v>
      </c>
      <c r="N117" s="4">
        <v>-5.1498504593970207E-2</v>
      </c>
      <c r="O117" s="1" t="str">
        <f>HYPERLINK(".\sm_car_241122_0001\sm_car_241122_0001_116_Ca145TrN_MaLSS_ode23t_1.png","figure")</f>
        <v>figure</v>
      </c>
      <c r="P117" t="s">
        <v>15</v>
      </c>
      <c r="S117" t="b">
        <f>B117='2024a_240930_0021'!B117</f>
        <v>1</v>
      </c>
      <c r="T117">
        <f>K117-'2024a_240930_0021'!K117</f>
        <v>20</v>
      </c>
      <c r="U117" s="5">
        <f>T117/'2024a_240930_0021'!K117</f>
        <v>4.5766590389016017E-2</v>
      </c>
      <c r="V117" s="4">
        <f>L117-'2024a_240930_0021'!L117</f>
        <v>-7.7672205000000005</v>
      </c>
      <c r="W117" s="5">
        <f>V117/'2024a_240930_0021'!L117</f>
        <v>-0.32449186275885339</v>
      </c>
    </row>
    <row r="118" spans="1:23" x14ac:dyDescent="0.25">
      <c r="A118">
        <v>117</v>
      </c>
      <c r="B118">
        <v>146</v>
      </c>
      <c r="C118" t="s">
        <v>46</v>
      </c>
      <c r="D118" t="s">
        <v>17</v>
      </c>
      <c r="E118" t="s">
        <v>49</v>
      </c>
      <c r="F118" t="s">
        <v>19</v>
      </c>
      <c r="G118" t="s">
        <v>26</v>
      </c>
      <c r="H118" t="s">
        <v>21</v>
      </c>
      <c r="I118" t="s">
        <v>22</v>
      </c>
      <c r="J118" t="s">
        <v>23</v>
      </c>
      <c r="K118">
        <v>349</v>
      </c>
      <c r="L118" s="4">
        <v>9.6491947000000007</v>
      </c>
      <c r="M118" s="4">
        <v>115.10908237354967</v>
      </c>
      <c r="N118" s="4">
        <v>0.53709857391942351</v>
      </c>
      <c r="O118" s="1" t="str">
        <f>HYPERLINK(".\sm_car_241122_0001\sm_car_241122_0001_117_Ca146TrN_MaWOT_ode23t_1.png","figure")</f>
        <v>figure</v>
      </c>
      <c r="P118" t="s">
        <v>15</v>
      </c>
      <c r="S118" t="b">
        <f>B118='2024a_240930_0021'!B118</f>
        <v>1</v>
      </c>
      <c r="T118">
        <f>K118-'2024a_240930_0021'!K118</f>
        <v>22</v>
      </c>
      <c r="U118" s="5">
        <f>T118/'2024a_240930_0021'!K118</f>
        <v>6.7278287461773695E-2</v>
      </c>
      <c r="V118" s="4">
        <f>L118-'2024a_240930_0021'!L118</f>
        <v>-4.6884824999999992</v>
      </c>
      <c r="W118" s="5">
        <f>V118/'2024a_240930_0021'!L118</f>
        <v>-0.32700432814877428</v>
      </c>
    </row>
    <row r="119" spans="1:23" x14ac:dyDescent="0.25">
      <c r="A119">
        <v>118</v>
      </c>
      <c r="B119">
        <v>146</v>
      </c>
      <c r="C119" t="s">
        <v>46</v>
      </c>
      <c r="D119" t="s">
        <v>17</v>
      </c>
      <c r="E119" t="s">
        <v>49</v>
      </c>
      <c r="F119" t="s">
        <v>19</v>
      </c>
      <c r="G119" t="s">
        <v>26</v>
      </c>
      <c r="H119" t="s">
        <v>21</v>
      </c>
      <c r="I119" t="s">
        <v>24</v>
      </c>
      <c r="J119" t="s">
        <v>23</v>
      </c>
      <c r="K119">
        <v>473</v>
      </c>
      <c r="L119" s="4">
        <v>12.109978399999999</v>
      </c>
      <c r="M119" s="4">
        <v>35.866180434108081</v>
      </c>
      <c r="N119" s="4">
        <v>-3.0538791107784274E-2</v>
      </c>
      <c r="O119" s="1" t="str">
        <f>HYPERLINK(".\sm_car_241122_0001\sm_car_241122_0001_118_Ca146TrN_MaLSS_ode23t_1.png","figure")</f>
        <v>figure</v>
      </c>
      <c r="P119" t="s">
        <v>15</v>
      </c>
      <c r="S119" t="b">
        <f>B119='2024a_240930_0021'!B119</f>
        <v>1</v>
      </c>
      <c r="T119">
        <f>K119-'2024a_240930_0021'!K119</f>
        <v>46</v>
      </c>
      <c r="U119" s="5">
        <f>T119/'2024a_240930_0021'!K119</f>
        <v>0.10772833723653395</v>
      </c>
      <c r="V119" s="4">
        <f>L119-'2024a_240930_0021'!L119</f>
        <v>-6.7164457000000013</v>
      </c>
      <c r="W119" s="5">
        <f>V119/'2024a_240930_0021'!L119</f>
        <v>-0.35675631571478311</v>
      </c>
    </row>
    <row r="120" spans="1:23" x14ac:dyDescent="0.25">
      <c r="A120">
        <v>119</v>
      </c>
      <c r="B120">
        <v>146</v>
      </c>
      <c r="C120" t="s">
        <v>46</v>
      </c>
      <c r="D120" t="s">
        <v>17</v>
      </c>
      <c r="E120" t="s">
        <v>49</v>
      </c>
      <c r="F120" t="s">
        <v>19</v>
      </c>
      <c r="G120" t="s">
        <v>26</v>
      </c>
      <c r="H120" t="s">
        <v>21</v>
      </c>
      <c r="I120" t="s">
        <v>22</v>
      </c>
      <c r="J120" t="s">
        <v>23</v>
      </c>
      <c r="K120">
        <v>349</v>
      </c>
      <c r="L120" s="4">
        <v>9.4423621999999998</v>
      </c>
      <c r="M120" s="4">
        <v>115.10908237354967</v>
      </c>
      <c r="N120" s="4">
        <v>0.53709857391942351</v>
      </c>
      <c r="O120" s="1" t="str">
        <f>HYPERLINK(".\sm_car_241122_0001\sm_car_241122_0001_119_Ca146TrN_MaWOT_ode23t_1.png","figure")</f>
        <v>figure</v>
      </c>
      <c r="P120" t="s">
        <v>15</v>
      </c>
      <c r="S120" t="b">
        <f>B120='2024a_240930_0021'!B120</f>
        <v>1</v>
      </c>
      <c r="T120">
        <f>K120-'2024a_240930_0021'!K120</f>
        <v>22</v>
      </c>
      <c r="U120" s="5">
        <f>T120/'2024a_240930_0021'!K120</f>
        <v>6.7278287461773695E-2</v>
      </c>
      <c r="V120" s="4">
        <f>L120-'2024a_240930_0021'!L120</f>
        <v>-4.9293648000000001</v>
      </c>
      <c r="W120" s="5">
        <f>V120/'2024a_240930_0021'!L120</f>
        <v>-0.34299042835979282</v>
      </c>
    </row>
    <row r="121" spans="1:23" x14ac:dyDescent="0.25">
      <c r="A121">
        <v>120</v>
      </c>
      <c r="B121">
        <v>146</v>
      </c>
      <c r="C121" t="s">
        <v>46</v>
      </c>
      <c r="D121" t="s">
        <v>17</v>
      </c>
      <c r="E121" t="s">
        <v>49</v>
      </c>
      <c r="F121" t="s">
        <v>19</v>
      </c>
      <c r="G121" t="s">
        <v>26</v>
      </c>
      <c r="H121" t="s">
        <v>21</v>
      </c>
      <c r="I121" t="s">
        <v>24</v>
      </c>
      <c r="J121" t="s">
        <v>23</v>
      </c>
      <c r="K121">
        <v>473</v>
      </c>
      <c r="L121" s="4">
        <v>12.075564699999999</v>
      </c>
      <c r="M121" s="4">
        <v>35.866180434108081</v>
      </c>
      <c r="N121" s="4">
        <v>-3.0538791107784274E-2</v>
      </c>
      <c r="O121" s="1" t="str">
        <f>HYPERLINK(".\sm_car_241122_0001\sm_car_241122_0001_120_Ca146TrN_MaLSS_ode23t_1.png","figure")</f>
        <v>figure</v>
      </c>
      <c r="P121" t="s">
        <v>15</v>
      </c>
      <c r="S121" t="b">
        <f>B121='2024a_240930_0021'!B121</f>
        <v>1</v>
      </c>
      <c r="T121">
        <f>K121-'2024a_240930_0021'!K121</f>
        <v>46</v>
      </c>
      <c r="U121" s="5">
        <f>T121/'2024a_240930_0021'!K121</f>
        <v>0.10772833723653395</v>
      </c>
      <c r="V121" s="4">
        <f>L121-'2024a_240930_0021'!L121</f>
        <v>-7.0860116000000009</v>
      </c>
      <c r="W121" s="5">
        <f>V121/'2024a_240930_0021'!L121</f>
        <v>-0.36980316697640375</v>
      </c>
    </row>
    <row r="122" spans="1:23" x14ac:dyDescent="0.25">
      <c r="A122">
        <v>121</v>
      </c>
      <c r="B122">
        <v>161</v>
      </c>
      <c r="C122" t="s">
        <v>45</v>
      </c>
      <c r="D122" t="s">
        <v>51</v>
      </c>
      <c r="E122" t="s">
        <v>49</v>
      </c>
      <c r="F122" t="s">
        <v>19</v>
      </c>
      <c r="G122" t="s">
        <v>26</v>
      </c>
      <c r="H122" t="s">
        <v>21</v>
      </c>
      <c r="I122" t="s">
        <v>22</v>
      </c>
      <c r="J122" t="s">
        <v>23</v>
      </c>
      <c r="K122">
        <v>544</v>
      </c>
      <c r="L122" s="4">
        <v>23.417266399999999</v>
      </c>
      <c r="M122" s="4">
        <v>183.14390113115499</v>
      </c>
      <c r="N122" s="4">
        <v>0.31144287587735248</v>
      </c>
      <c r="O122" s="1" t="str">
        <f>HYPERLINK(".\sm_car_241122_0001\sm_car_241122_0001_121_Ca161TrN_MaWOT_ode23t_1.png","figure")</f>
        <v>figure</v>
      </c>
      <c r="P122" t="s">
        <v>15</v>
      </c>
      <c r="S122" t="b">
        <f>B122='2024a_240930_0021'!B122</f>
        <v>1</v>
      </c>
      <c r="T122">
        <f>K122-'2024a_240930_0021'!K122</f>
        <v>100</v>
      </c>
      <c r="U122" s="5">
        <f>T122/'2024a_240930_0021'!K122</f>
        <v>0.22522522522522523</v>
      </c>
      <c r="V122" s="4">
        <f>L122-'2024a_240930_0021'!L122</f>
        <v>-2.5115607000000004</v>
      </c>
      <c r="W122" s="5">
        <f>V122/'2024a_240930_0021'!L122</f>
        <v>-9.6863644865756396E-2</v>
      </c>
    </row>
    <row r="123" spans="1:23" x14ac:dyDescent="0.25">
      <c r="A123">
        <v>122</v>
      </c>
      <c r="B123">
        <v>161</v>
      </c>
      <c r="C123" t="s">
        <v>45</v>
      </c>
      <c r="D123" t="s">
        <v>51</v>
      </c>
      <c r="E123" t="s">
        <v>49</v>
      </c>
      <c r="F123" t="s">
        <v>19</v>
      </c>
      <c r="G123" t="s">
        <v>26</v>
      </c>
      <c r="H123" t="s">
        <v>21</v>
      </c>
      <c r="I123" t="s">
        <v>24</v>
      </c>
      <c r="J123" t="s">
        <v>23</v>
      </c>
      <c r="K123">
        <v>691</v>
      </c>
      <c r="L123" s="4">
        <v>28.938043400000002</v>
      </c>
      <c r="M123" s="4">
        <v>157.0662461043693</v>
      </c>
      <c r="N123" s="4">
        <v>-0.56478331823274885</v>
      </c>
      <c r="O123" s="1" t="str">
        <f>HYPERLINK(".\sm_car_241122_0001\sm_car_241122_0001_122_Ca161TrN_MaLSS_ode23t_1.png","figure")</f>
        <v>figure</v>
      </c>
      <c r="P123" t="s">
        <v>15</v>
      </c>
      <c r="S123" t="b">
        <f>B123='2024a_240930_0021'!B123</f>
        <v>1</v>
      </c>
      <c r="T123">
        <f>K123-'2024a_240930_0021'!K123</f>
        <v>94</v>
      </c>
      <c r="U123" s="5">
        <f>T123/'2024a_240930_0021'!K123</f>
        <v>0.15745393634840871</v>
      </c>
      <c r="V123" s="4">
        <f>L123-'2024a_240930_0021'!L123</f>
        <v>-5.0681546999999973</v>
      </c>
      <c r="W123" s="5">
        <f>V123/'2024a_240930_0021'!L123</f>
        <v>-0.14903620466764256</v>
      </c>
    </row>
    <row r="124" spans="1:23" x14ac:dyDescent="0.25">
      <c r="A124">
        <v>123</v>
      </c>
      <c r="B124">
        <v>163</v>
      </c>
      <c r="C124" t="s">
        <v>45</v>
      </c>
      <c r="D124" t="s">
        <v>52</v>
      </c>
      <c r="E124" t="s">
        <v>49</v>
      </c>
      <c r="F124" t="s">
        <v>19</v>
      </c>
      <c r="G124" t="s">
        <v>26</v>
      </c>
      <c r="H124" t="s">
        <v>21</v>
      </c>
      <c r="I124" t="s">
        <v>22</v>
      </c>
      <c r="J124" t="s">
        <v>23</v>
      </c>
      <c r="K124">
        <v>603</v>
      </c>
      <c r="L124" s="4">
        <v>27.931289700000001</v>
      </c>
      <c r="M124" s="4">
        <v>282.3554272296775</v>
      </c>
      <c r="N124" s="4">
        <v>0.78218525681600093</v>
      </c>
      <c r="O124" s="1" t="str">
        <f>HYPERLINK(".\sm_car_241122_0001\sm_car_241122_0001_123_Ca163TrN_MaWOT_ode23t_1.png","figure")</f>
        <v>figure</v>
      </c>
      <c r="P124" t="s">
        <v>15</v>
      </c>
      <c r="S124" t="b">
        <f>B124='2024a_240930_0021'!B124</f>
        <v>1</v>
      </c>
      <c r="T124">
        <f>K124-'2024a_240930_0021'!K124</f>
        <v>114</v>
      </c>
      <c r="U124" s="5">
        <f>T124/'2024a_240930_0021'!K124</f>
        <v>0.23312883435582821</v>
      </c>
      <c r="V124" s="4">
        <f>L124-'2024a_240930_0021'!L124</f>
        <v>-3.1762951000000008</v>
      </c>
      <c r="W124" s="5">
        <f>V124/'2024a_240930_0021'!L124</f>
        <v>-0.10210677300797716</v>
      </c>
    </row>
    <row r="125" spans="1:23" x14ac:dyDescent="0.25">
      <c r="A125">
        <v>124</v>
      </c>
      <c r="B125">
        <v>163</v>
      </c>
      <c r="C125" t="s">
        <v>45</v>
      </c>
      <c r="D125" t="s">
        <v>52</v>
      </c>
      <c r="E125" t="s">
        <v>49</v>
      </c>
      <c r="F125" t="s">
        <v>19</v>
      </c>
      <c r="G125" t="s">
        <v>26</v>
      </c>
      <c r="H125" t="s">
        <v>21</v>
      </c>
      <c r="I125" t="s">
        <v>24</v>
      </c>
      <c r="J125" t="s">
        <v>23</v>
      </c>
      <c r="K125">
        <v>807</v>
      </c>
      <c r="L125" s="4">
        <v>34.784021000000003</v>
      </c>
      <c r="M125" s="4">
        <v>260.86950003934277</v>
      </c>
      <c r="N125" s="4">
        <v>-0.47286822539525875</v>
      </c>
      <c r="O125" s="1" t="str">
        <f>HYPERLINK(".\sm_car_241122_0001\sm_car_241122_0001_124_Ca163TrN_MaLSS_ode23t_1.png","figure")</f>
        <v>figure</v>
      </c>
      <c r="P125" t="s">
        <v>15</v>
      </c>
      <c r="S125" t="b">
        <f>B125='2024a_240930_0021'!B125</f>
        <v>1</v>
      </c>
      <c r="T125">
        <f>K125-'2024a_240930_0021'!K125</f>
        <v>102</v>
      </c>
      <c r="U125" s="5">
        <f>T125/'2024a_240930_0021'!K125</f>
        <v>0.14468085106382977</v>
      </c>
      <c r="V125" s="4">
        <f>L125-'2024a_240930_0021'!L125</f>
        <v>-4.6249579999999995</v>
      </c>
      <c r="W125" s="5">
        <f>V125/'2024a_240930_0021'!L125</f>
        <v>-0.11735797570396328</v>
      </c>
    </row>
    <row r="126" spans="1:23" x14ac:dyDescent="0.25">
      <c r="A126">
        <v>125</v>
      </c>
      <c r="B126">
        <v>184</v>
      </c>
      <c r="C126" t="s">
        <v>105</v>
      </c>
      <c r="D126" t="s">
        <v>125</v>
      </c>
      <c r="E126" t="s">
        <v>49</v>
      </c>
      <c r="F126" t="s">
        <v>19</v>
      </c>
      <c r="G126" t="s">
        <v>20</v>
      </c>
      <c r="H126" t="s">
        <v>21</v>
      </c>
      <c r="I126" t="s">
        <v>22</v>
      </c>
      <c r="J126" t="s">
        <v>23</v>
      </c>
      <c r="K126">
        <v>310</v>
      </c>
      <c r="L126" s="4">
        <v>13.9479864</v>
      </c>
      <c r="M126" s="4">
        <v>313.1814272404298</v>
      </c>
      <c r="N126" s="4">
        <v>2.1400284659081462E-4</v>
      </c>
      <c r="O126" s="1" t="str">
        <f>HYPERLINK(".\sm_car_241122_0001\sm_car_241122_0001_125_Ca184TrN_MaWOT_ode23t_1.png","figure")</f>
        <v>figure</v>
      </c>
      <c r="P126" t="s">
        <v>15</v>
      </c>
      <c r="S126" t="b">
        <f>B126='2024a_240930_0021'!B126</f>
        <v>1</v>
      </c>
      <c r="T126">
        <f>K126-'2024a_240930_0021'!K126</f>
        <v>21</v>
      </c>
      <c r="U126" s="5">
        <f>T126/'2024a_240930_0021'!K126</f>
        <v>7.2664359861591699E-2</v>
      </c>
      <c r="V126" s="4">
        <f>L126-'2024a_240930_0021'!L126</f>
        <v>-7.7981169000000019</v>
      </c>
      <c r="W126" s="5">
        <f>V126/'2024a_240930_0021'!L126</f>
        <v>-0.3585983563317296</v>
      </c>
    </row>
    <row r="127" spans="1:23" x14ac:dyDescent="0.25">
      <c r="A127">
        <v>126</v>
      </c>
      <c r="B127">
        <v>184</v>
      </c>
      <c r="C127" t="s">
        <v>105</v>
      </c>
      <c r="D127" t="s">
        <v>125</v>
      </c>
      <c r="E127" t="s">
        <v>49</v>
      </c>
      <c r="F127" t="s">
        <v>19</v>
      </c>
      <c r="G127" t="s">
        <v>20</v>
      </c>
      <c r="H127" t="s">
        <v>21</v>
      </c>
      <c r="I127" t="s">
        <v>24</v>
      </c>
      <c r="J127" t="s">
        <v>23</v>
      </c>
      <c r="K127">
        <v>470</v>
      </c>
      <c r="L127" s="4">
        <v>11.322612700000001</v>
      </c>
      <c r="M127" s="4">
        <v>112.43422139644193</v>
      </c>
      <c r="N127" s="4">
        <v>-0.16133389921739807</v>
      </c>
      <c r="O127" s="1" t="str">
        <f>HYPERLINK(".\sm_car_241122_0001\sm_car_241122_0001_126_Ca184TrN_MaLSS_ode23t_1.png","figure")</f>
        <v>figure</v>
      </c>
      <c r="P127" t="s">
        <v>15</v>
      </c>
      <c r="S127" t="b">
        <f>B127='2024a_240930_0021'!B127</f>
        <v>1</v>
      </c>
      <c r="T127">
        <f>K127-'2024a_240930_0021'!K127</f>
        <v>17</v>
      </c>
      <c r="U127" s="5">
        <f>T127/'2024a_240930_0021'!K127</f>
        <v>3.7527593818984545E-2</v>
      </c>
      <c r="V127" s="4">
        <f>L127-'2024a_240930_0021'!L127</f>
        <v>-7.7590344000000009</v>
      </c>
      <c r="W127" s="5">
        <f>V127/'2024a_240930_0021'!L127</f>
        <v>-0.40662288529589252</v>
      </c>
    </row>
    <row r="128" spans="1:23" x14ac:dyDescent="0.25">
      <c r="A128">
        <v>127</v>
      </c>
      <c r="B128">
        <v>217</v>
      </c>
      <c r="C128" t="s">
        <v>45</v>
      </c>
      <c r="D128" t="s">
        <v>17</v>
      </c>
      <c r="E128" t="s">
        <v>108</v>
      </c>
      <c r="F128" t="s">
        <v>126</v>
      </c>
      <c r="G128" t="s">
        <v>26</v>
      </c>
      <c r="H128" t="s">
        <v>21</v>
      </c>
      <c r="I128" t="s">
        <v>22</v>
      </c>
      <c r="J128" t="s">
        <v>23</v>
      </c>
      <c r="K128">
        <v>710</v>
      </c>
      <c r="L128" s="4">
        <v>29.686713000000001</v>
      </c>
      <c r="M128" s="4">
        <v>283.3928406159236</v>
      </c>
      <c r="N128" s="4">
        <v>0.7604261040971293</v>
      </c>
      <c r="O128" s="1" t="str">
        <f>HYPERLINK(".\sm_car_241122_0001\sm_car_241122_0001_127_Ca217TrN_MaWOT_ode23t_1.png","figure")</f>
        <v>figure</v>
      </c>
      <c r="P128" t="s">
        <v>15</v>
      </c>
      <c r="U128" s="5"/>
      <c r="V128" s="4"/>
      <c r="W128" s="5"/>
    </row>
    <row r="129" spans="1:23" x14ac:dyDescent="0.25">
      <c r="A129">
        <v>128</v>
      </c>
      <c r="B129">
        <v>217</v>
      </c>
      <c r="C129" t="s">
        <v>45</v>
      </c>
      <c r="D129" t="s">
        <v>17</v>
      </c>
      <c r="E129" t="s">
        <v>108</v>
      </c>
      <c r="F129" t="s">
        <v>126</v>
      </c>
      <c r="G129" t="s">
        <v>26</v>
      </c>
      <c r="H129" t="s">
        <v>21</v>
      </c>
      <c r="I129" t="s">
        <v>24</v>
      </c>
      <c r="J129" t="s">
        <v>23</v>
      </c>
      <c r="K129">
        <v>835</v>
      </c>
      <c r="L129" s="4">
        <v>32.469103099999998</v>
      </c>
      <c r="M129" s="4">
        <v>112.0606019171709</v>
      </c>
      <c r="N129" s="4">
        <v>-0.36097348606003421</v>
      </c>
      <c r="O129" s="1" t="str">
        <f>HYPERLINK(".\sm_car_241122_0001\sm_car_241122_0001_128_Ca217TrN_MaLSS_ode23t_1.png","figure")</f>
        <v>figure</v>
      </c>
      <c r="P129" t="s">
        <v>15</v>
      </c>
      <c r="U129" s="5"/>
      <c r="V129" s="4"/>
      <c r="W129" s="5"/>
    </row>
    <row r="130" spans="1:23" x14ac:dyDescent="0.25">
      <c r="A130">
        <v>129</v>
      </c>
      <c r="B130">
        <v>12</v>
      </c>
      <c r="C130" t="s">
        <v>16</v>
      </c>
      <c r="D130" t="s">
        <v>17</v>
      </c>
      <c r="E130" t="s">
        <v>49</v>
      </c>
      <c r="F130" t="s">
        <v>28</v>
      </c>
      <c r="G130" t="s">
        <v>20</v>
      </c>
      <c r="H130" t="s">
        <v>21</v>
      </c>
      <c r="I130" t="s">
        <v>53</v>
      </c>
      <c r="J130" t="s">
        <v>23</v>
      </c>
      <c r="K130">
        <v>797</v>
      </c>
      <c r="L130" s="4">
        <v>9.7584587999999997</v>
      </c>
      <c r="M130" s="4">
        <v>254.66980911566162</v>
      </c>
      <c r="N130" s="4">
        <v>3.4138511674912664E-3</v>
      </c>
      <c r="O130" s="1" t="str">
        <f>HYPERLINK(".\sm_car_241122_0001\sm_car_241122_0001_129_Ca012TrN_MaDLC_ode23t_1.png","figure")</f>
        <v>figure</v>
      </c>
      <c r="P130" t="s">
        <v>15</v>
      </c>
      <c r="S130" t="b">
        <f>B130='2024a_240930_0021'!B128</f>
        <v>1</v>
      </c>
      <c r="T130">
        <f>K130-'2024a_240930_0021'!K128</f>
        <v>31</v>
      </c>
      <c r="U130" s="5">
        <f>T130/'2024a_240930_0021'!K128</f>
        <v>4.0469973890339427E-2</v>
      </c>
      <c r="V130" s="4">
        <f>L130-'2024a_240930_0021'!L128</f>
        <v>-7.3171295000000001</v>
      </c>
      <c r="W130" s="5">
        <f>V130/'2024a_240930_0021'!L128</f>
        <v>-0.42851405008400212</v>
      </c>
    </row>
    <row r="131" spans="1:23" x14ac:dyDescent="0.25">
      <c r="A131">
        <v>130</v>
      </c>
      <c r="B131">
        <v>12</v>
      </c>
      <c r="C131" t="s">
        <v>16</v>
      </c>
      <c r="D131" t="s">
        <v>17</v>
      </c>
      <c r="E131" t="s">
        <v>49</v>
      </c>
      <c r="F131" t="s">
        <v>28</v>
      </c>
      <c r="G131" t="s">
        <v>20</v>
      </c>
      <c r="H131" t="s">
        <v>21</v>
      </c>
      <c r="I131" t="s">
        <v>54</v>
      </c>
      <c r="J131" t="s">
        <v>23</v>
      </c>
      <c r="K131">
        <v>932</v>
      </c>
      <c r="L131" s="4">
        <v>13.360811200000001</v>
      </c>
      <c r="M131" s="4">
        <v>75.690233005345377</v>
      </c>
      <c r="N131" s="4">
        <v>0.76541296849536766</v>
      </c>
      <c r="O131" s="1" t="str">
        <f>HYPERLINK(".\sm_car_241122_0001\sm_car_241122_0001_130_Ca012TrN_MaIPA_ode23t_1.png","figure")</f>
        <v>figure</v>
      </c>
      <c r="P131" t="s">
        <v>15</v>
      </c>
      <c r="S131" t="b">
        <f>B131='2024a_240930_0021'!B129</f>
        <v>1</v>
      </c>
      <c r="T131">
        <f>K131-'2024a_240930_0021'!K129</f>
        <v>25</v>
      </c>
      <c r="U131" s="5">
        <f>T131/'2024a_240930_0021'!K129</f>
        <v>2.7563395810363836E-2</v>
      </c>
      <c r="V131" s="4">
        <f>L131-'2024a_240930_0021'!L129</f>
        <v>-9.2692747000000004</v>
      </c>
      <c r="W131" s="5">
        <f>V131/'2024a_240930_0021'!L129</f>
        <v>-0.40959962507256764</v>
      </c>
    </row>
    <row r="132" spans="1:23" x14ac:dyDescent="0.25">
      <c r="A132">
        <v>131</v>
      </c>
      <c r="B132">
        <v>142</v>
      </c>
      <c r="C132" t="s">
        <v>45</v>
      </c>
      <c r="D132" t="s">
        <v>17</v>
      </c>
      <c r="E132" t="s">
        <v>49</v>
      </c>
      <c r="F132" t="s">
        <v>28</v>
      </c>
      <c r="G132" t="s">
        <v>26</v>
      </c>
      <c r="H132" t="s">
        <v>21</v>
      </c>
      <c r="I132" t="s">
        <v>53</v>
      </c>
      <c r="J132" t="s">
        <v>23</v>
      </c>
      <c r="K132">
        <v>748</v>
      </c>
      <c r="L132" s="4">
        <v>14.061511599999999</v>
      </c>
      <c r="M132" s="4">
        <v>254.26220639536416</v>
      </c>
      <c r="N132" s="4">
        <v>-5.4766846587819273E-3</v>
      </c>
      <c r="O132" s="1" t="str">
        <f>HYPERLINK(".\sm_car_241122_0001\sm_car_241122_0001_131_Ca142TrN_MaDLC_ode23t_1.png","figure")</f>
        <v>figure</v>
      </c>
      <c r="P132" t="s">
        <v>15</v>
      </c>
      <c r="S132" t="b">
        <f>B132='2024a_240930_0021'!B130</f>
        <v>1</v>
      </c>
      <c r="T132">
        <f>K132-'2024a_240930_0021'!K130</f>
        <v>7</v>
      </c>
      <c r="U132" s="5">
        <f>T132/'2024a_240930_0021'!K130</f>
        <v>9.4466936572199737E-3</v>
      </c>
      <c r="V132" s="4">
        <f>L132-'2024a_240930_0021'!L130</f>
        <v>-6.8048286000000004</v>
      </c>
      <c r="W132" s="5">
        <f>V132/'2024a_240930_0021'!L130</f>
        <v>-0.32611509899565427</v>
      </c>
    </row>
    <row r="133" spans="1:23" x14ac:dyDescent="0.25">
      <c r="A133">
        <v>132</v>
      </c>
      <c r="B133">
        <v>142</v>
      </c>
      <c r="C133" t="s">
        <v>45</v>
      </c>
      <c r="D133" t="s">
        <v>17</v>
      </c>
      <c r="E133" t="s">
        <v>49</v>
      </c>
      <c r="F133" t="s">
        <v>28</v>
      </c>
      <c r="G133" t="s">
        <v>26</v>
      </c>
      <c r="H133" t="s">
        <v>21</v>
      </c>
      <c r="I133" t="s">
        <v>54</v>
      </c>
      <c r="J133" t="s">
        <v>23</v>
      </c>
      <c r="K133">
        <v>1762</v>
      </c>
      <c r="L133" s="4">
        <v>56.712800799999997</v>
      </c>
      <c r="M133" s="4">
        <v>85.057992593182888</v>
      </c>
      <c r="N133" s="4">
        <v>0.82968342574064713</v>
      </c>
      <c r="O133" s="1" t="str">
        <f>HYPERLINK(".\sm_car_241122_0001\sm_car_241122_0001_132_Ca142TrN_MaIPA_ode23t_1.png","figure")</f>
        <v>figure</v>
      </c>
      <c r="P133" t="s">
        <v>15</v>
      </c>
      <c r="S133" t="b">
        <f>B133='2024a_240930_0021'!B131</f>
        <v>1</v>
      </c>
      <c r="T133">
        <f>K133-'2024a_240930_0021'!K131</f>
        <v>-263</v>
      </c>
      <c r="U133" s="5">
        <f>T133/'2024a_240930_0021'!K131</f>
        <v>-0.12987654320987654</v>
      </c>
      <c r="V133" s="4">
        <f>L133-'2024a_240930_0021'!L131</f>
        <v>-53.540041000000002</v>
      </c>
      <c r="W133" s="5">
        <f>V133/'2024a_240930_0021'!L131</f>
        <v>-0.4856114375457305</v>
      </c>
    </row>
    <row r="134" spans="1:23" x14ac:dyDescent="0.25">
      <c r="A134">
        <v>133</v>
      </c>
      <c r="B134">
        <v>145</v>
      </c>
      <c r="C134" t="s">
        <v>46</v>
      </c>
      <c r="D134" t="s">
        <v>17</v>
      </c>
      <c r="E134" t="s">
        <v>50</v>
      </c>
      <c r="F134" t="s">
        <v>19</v>
      </c>
      <c r="G134" t="s">
        <v>26</v>
      </c>
      <c r="H134" t="s">
        <v>21</v>
      </c>
      <c r="I134" t="s">
        <v>53</v>
      </c>
      <c r="J134" t="s">
        <v>23</v>
      </c>
      <c r="K134">
        <v>487</v>
      </c>
      <c r="L134" s="4">
        <v>16.535229699999999</v>
      </c>
      <c r="M134" s="4">
        <v>255.47201435129955</v>
      </c>
      <c r="N134" s="4">
        <v>4.0643692181227209E-2</v>
      </c>
      <c r="O134" s="1" t="str">
        <f>HYPERLINK(".\sm_car_241122_0001\sm_car_241122_0001_133_Ca145TrN_MaDLC_ode23t_1.png","figure")</f>
        <v>figure</v>
      </c>
      <c r="P134" t="s">
        <v>15</v>
      </c>
      <c r="S134" t="b">
        <f>B134='2024a_240930_0021'!B132</f>
        <v>1</v>
      </c>
      <c r="T134">
        <f>K134-'2024a_240930_0021'!K132</f>
        <v>16</v>
      </c>
      <c r="U134" s="5">
        <f>T134/'2024a_240930_0021'!K132</f>
        <v>3.3970276008492568E-2</v>
      </c>
      <c r="V134" s="4">
        <f>L134-'2024a_240930_0021'!L132</f>
        <v>-11.685558700000001</v>
      </c>
      <c r="W134" s="5">
        <f>V134/'2024a_240930_0021'!L132</f>
        <v>-0.4140762665581661</v>
      </c>
    </row>
    <row r="135" spans="1:23" x14ac:dyDescent="0.25">
      <c r="A135">
        <v>134</v>
      </c>
      <c r="B135">
        <v>145</v>
      </c>
      <c r="C135" t="s">
        <v>46</v>
      </c>
      <c r="D135" t="s">
        <v>17</v>
      </c>
      <c r="E135" t="s">
        <v>50</v>
      </c>
      <c r="F135" t="s">
        <v>19</v>
      </c>
      <c r="G135" t="s">
        <v>26</v>
      </c>
      <c r="H135" t="s">
        <v>21</v>
      </c>
      <c r="I135" t="s">
        <v>54</v>
      </c>
      <c r="J135" t="s">
        <v>23</v>
      </c>
      <c r="K135">
        <v>305</v>
      </c>
      <c r="L135" s="4">
        <v>11.089252999999999</v>
      </c>
      <c r="M135" s="4">
        <v>28.279443237420288</v>
      </c>
      <c r="N135" s="4">
        <v>1.5660453519167106E-2</v>
      </c>
      <c r="O135" s="1" t="str">
        <f>HYPERLINK(".\sm_car_241122_0001\sm_car_241122_0001_134_Ca145TrN_MaIPA_ode23t_1.png","figure")</f>
        <v>figure</v>
      </c>
      <c r="P135" t="s">
        <v>15</v>
      </c>
      <c r="S135" t="b">
        <f>B135='2024a_240930_0021'!B133</f>
        <v>1</v>
      </c>
      <c r="T135">
        <f>K135-'2024a_240930_0021'!K133</f>
        <v>-18</v>
      </c>
      <c r="U135" s="5">
        <f>T135/'2024a_240930_0021'!K133</f>
        <v>-5.5727554179566562E-2</v>
      </c>
      <c r="V135" s="4">
        <f>L135-'2024a_240930_0021'!L133</f>
        <v>-6.2516387000000009</v>
      </c>
      <c r="W135" s="5">
        <f>V135/'2024a_240930_0021'!L133</f>
        <v>-0.36051425775296209</v>
      </c>
    </row>
    <row r="136" spans="1:23" x14ac:dyDescent="0.25">
      <c r="A136">
        <v>135</v>
      </c>
      <c r="B136">
        <v>184</v>
      </c>
      <c r="C136" t="s">
        <v>105</v>
      </c>
      <c r="D136" t="s">
        <v>125</v>
      </c>
      <c r="E136" t="s">
        <v>49</v>
      </c>
      <c r="F136" t="s">
        <v>19</v>
      </c>
      <c r="G136" t="s">
        <v>20</v>
      </c>
      <c r="H136" t="s">
        <v>21</v>
      </c>
      <c r="I136" t="s">
        <v>53</v>
      </c>
      <c r="J136" t="s">
        <v>23</v>
      </c>
      <c r="K136">
        <v>425</v>
      </c>
      <c r="L136" s="4">
        <v>11.1197719</v>
      </c>
      <c r="M136" s="4">
        <v>253.84581011487177</v>
      </c>
      <c r="N136" s="4">
        <v>1.3003523952696661E-2</v>
      </c>
      <c r="O136" s="1" t="str">
        <f>HYPERLINK(".\sm_car_241122_0001\sm_car_241122_0001_135_Ca184TrN_MaDLC_ode23t_1.png","figure")</f>
        <v>figure</v>
      </c>
      <c r="P136" t="s">
        <v>15</v>
      </c>
      <c r="S136" t="b">
        <f>B136='2024a_240930_0021'!B134</f>
        <v>1</v>
      </c>
      <c r="T136">
        <f>K136-'2024a_240930_0021'!K134</f>
        <v>11</v>
      </c>
      <c r="U136" s="5">
        <f>T136/'2024a_240930_0021'!K134</f>
        <v>2.6570048309178744E-2</v>
      </c>
      <c r="V136" s="4">
        <f>L136-'2024a_240930_0021'!L134</f>
        <v>-6.5939155000000014</v>
      </c>
      <c r="W136" s="5">
        <f>V136/'2024a_240930_0021'!L134</f>
        <v>-0.37224973835769515</v>
      </c>
    </row>
    <row r="137" spans="1:23" x14ac:dyDescent="0.25">
      <c r="A137">
        <v>136</v>
      </c>
      <c r="B137">
        <v>184</v>
      </c>
      <c r="C137" t="s">
        <v>105</v>
      </c>
      <c r="D137" t="s">
        <v>125</v>
      </c>
      <c r="E137" t="s">
        <v>49</v>
      </c>
      <c r="F137" t="s">
        <v>19</v>
      </c>
      <c r="G137" t="s">
        <v>20</v>
      </c>
      <c r="H137" t="s">
        <v>21</v>
      </c>
      <c r="I137" t="s">
        <v>54</v>
      </c>
      <c r="J137" t="s">
        <v>23</v>
      </c>
      <c r="K137">
        <v>378</v>
      </c>
      <c r="L137" s="4">
        <v>12.6283736</v>
      </c>
      <c r="M137" s="4">
        <v>61.814092966713659</v>
      </c>
      <c r="N137" s="4">
        <v>0.55822494075219964</v>
      </c>
      <c r="O137" s="1" t="str">
        <f>HYPERLINK(".\sm_car_241122_0001\sm_car_241122_0001_136_Ca184TrN_MaIPA_ode23t_1.png","figure")</f>
        <v>figure</v>
      </c>
      <c r="P137" t="s">
        <v>15</v>
      </c>
      <c r="S137" t="b">
        <f>B137='2024a_240930_0021'!B135</f>
        <v>1</v>
      </c>
      <c r="T137">
        <f>K137-'2024a_240930_0021'!K135</f>
        <v>3</v>
      </c>
      <c r="U137" s="5">
        <f>T137/'2024a_240930_0021'!K135</f>
        <v>8.0000000000000002E-3</v>
      </c>
      <c r="V137" s="4">
        <f>L137-'2024a_240930_0021'!L135</f>
        <v>-7.2855796999999995</v>
      </c>
      <c r="W137" s="5">
        <f>V137/'2024a_240930_0021'!L135</f>
        <v>-0.36585300719772201</v>
      </c>
    </row>
    <row r="138" spans="1:23" x14ac:dyDescent="0.25">
      <c r="A138">
        <v>137</v>
      </c>
      <c r="B138">
        <v>204</v>
      </c>
      <c r="C138" t="s">
        <v>105</v>
      </c>
      <c r="D138" t="s">
        <v>107</v>
      </c>
      <c r="E138" t="s">
        <v>18</v>
      </c>
      <c r="F138" t="s">
        <v>19</v>
      </c>
      <c r="G138" t="s">
        <v>20</v>
      </c>
      <c r="H138" t="s">
        <v>21</v>
      </c>
      <c r="I138" t="s">
        <v>53</v>
      </c>
      <c r="J138" t="s">
        <v>23</v>
      </c>
      <c r="K138">
        <v>1965</v>
      </c>
      <c r="L138" s="4">
        <v>25.701956500000001</v>
      </c>
      <c r="M138" s="4">
        <v>255.6165492536802</v>
      </c>
      <c r="N138" s="4">
        <v>1.4514927792162347E-2</v>
      </c>
      <c r="O138" s="1" t="str">
        <f>HYPERLINK(".\sm_car_241122_0001\sm_car_241122_0001_137_Ca204TrN_MaDLC_ode23t_1.png","figure")</f>
        <v>figure</v>
      </c>
      <c r="P138" t="s">
        <v>15</v>
      </c>
      <c r="S138" t="b">
        <f>B138='2024a_240930_0021'!B136</f>
        <v>1</v>
      </c>
      <c r="T138">
        <f>K138-'2024a_240930_0021'!K136</f>
        <v>3</v>
      </c>
      <c r="U138" s="5">
        <f>T138/'2024a_240930_0021'!K136</f>
        <v>1.5290519877675841E-3</v>
      </c>
      <c r="V138" s="4">
        <f>L138-'2024a_240930_0021'!L136</f>
        <v>-26.489465799999998</v>
      </c>
      <c r="W138" s="5">
        <f>V138/'2024a_240930_0021'!L136</f>
        <v>-0.50754443225817203</v>
      </c>
    </row>
    <row r="139" spans="1:23" x14ac:dyDescent="0.25">
      <c r="A139">
        <v>138</v>
      </c>
      <c r="B139">
        <v>204</v>
      </c>
      <c r="C139" t="s">
        <v>105</v>
      </c>
      <c r="D139" t="s">
        <v>107</v>
      </c>
      <c r="E139" t="s">
        <v>18</v>
      </c>
      <c r="F139" t="s">
        <v>19</v>
      </c>
      <c r="G139" t="s">
        <v>20</v>
      </c>
      <c r="H139" t="s">
        <v>21</v>
      </c>
      <c r="I139" t="s">
        <v>54</v>
      </c>
      <c r="J139" t="s">
        <v>23</v>
      </c>
      <c r="K139">
        <v>701</v>
      </c>
      <c r="L139" s="4">
        <v>11.9598434</v>
      </c>
      <c r="M139" s="4">
        <v>26.037591450840601</v>
      </c>
      <c r="N139" s="4">
        <v>9.6690667658233115E-3</v>
      </c>
      <c r="O139" s="1" t="str">
        <f>HYPERLINK(".\sm_car_241122_0001\sm_car_241122_0001_138_Ca204TrN_MaIPA_ode23t_1.png","figure")</f>
        <v>figure</v>
      </c>
      <c r="P139" t="s">
        <v>15</v>
      </c>
      <c r="S139" t="b">
        <f>B139='2024a_240930_0021'!B137</f>
        <v>1</v>
      </c>
      <c r="T139">
        <f>K139-'2024a_240930_0021'!K137</f>
        <v>11</v>
      </c>
      <c r="U139" s="5">
        <f>T139/'2024a_240930_0021'!K137</f>
        <v>1.5942028985507246E-2</v>
      </c>
      <c r="V139" s="4">
        <f>L139-'2024a_240930_0021'!L137</f>
        <v>-11.7384339</v>
      </c>
      <c r="W139" s="5">
        <f>V139/'2024a_240930_0021'!L137</f>
        <v>-0.49532857394659652</v>
      </c>
    </row>
    <row r="140" spans="1:23" x14ac:dyDescent="0.25">
      <c r="A140">
        <v>139</v>
      </c>
      <c r="B140">
        <v>12</v>
      </c>
      <c r="C140" t="s">
        <v>16</v>
      </c>
      <c r="D140" t="s">
        <v>17</v>
      </c>
      <c r="E140" t="s">
        <v>49</v>
      </c>
      <c r="F140" t="s">
        <v>28</v>
      </c>
      <c r="G140" t="s">
        <v>20</v>
      </c>
      <c r="H140" t="s">
        <v>21</v>
      </c>
      <c r="I140" t="s">
        <v>55</v>
      </c>
      <c r="J140" t="s">
        <v>23</v>
      </c>
      <c r="K140">
        <v>2731</v>
      </c>
      <c r="L140" s="4">
        <v>27.732502499999999</v>
      </c>
      <c r="M140" s="4">
        <v>-2.1185670563327208E-2</v>
      </c>
      <c r="N140" s="4">
        <v>-0.62245548116741978</v>
      </c>
      <c r="O140" s="1" t="str">
        <f>HYPERLINK(".\sm_car_241122_0001\sm_car_241122_0001_139_Ca012TrN_MaMPK_ode23t_1.png","figure")</f>
        <v>figure</v>
      </c>
      <c r="P140" t="s">
        <v>15</v>
      </c>
      <c r="S140" t="b">
        <f>B140='2024a_240930_0021'!B138</f>
        <v>1</v>
      </c>
      <c r="T140">
        <f>K140-'2024a_240930_0021'!K138</f>
        <v>54</v>
      </c>
      <c r="U140" s="5">
        <f>T140/'2024a_240930_0021'!K138</f>
        <v>2.0171834142697048E-2</v>
      </c>
      <c r="V140" s="4">
        <f>L140-'2024a_240930_0021'!L138</f>
        <v>-24.378753400000004</v>
      </c>
      <c r="W140" s="5">
        <f>V140/'2024a_240930_0021'!L138</f>
        <v>-0.46782126008979957</v>
      </c>
    </row>
    <row r="141" spans="1:23" x14ac:dyDescent="0.25">
      <c r="A141">
        <v>140</v>
      </c>
      <c r="B141">
        <v>12</v>
      </c>
      <c r="C141" t="s">
        <v>16</v>
      </c>
      <c r="D141" t="s">
        <v>17</v>
      </c>
      <c r="E141" t="s">
        <v>49</v>
      </c>
      <c r="F141" t="s">
        <v>28</v>
      </c>
      <c r="G141" t="s">
        <v>20</v>
      </c>
      <c r="H141" t="s">
        <v>21</v>
      </c>
      <c r="I141" t="s">
        <v>56</v>
      </c>
      <c r="J141" t="s">
        <v>23</v>
      </c>
      <c r="K141">
        <v>3144</v>
      </c>
      <c r="L141" s="4">
        <v>30.9427567</v>
      </c>
      <c r="M141" s="4">
        <v>0.78823589137896377</v>
      </c>
      <c r="N141" s="4">
        <v>-0.32251334371159929</v>
      </c>
      <c r="O141" s="1" t="str">
        <f>HYPERLINK(".\sm_car_241122_0001\sm_car_241122_0001_140_Ca012TrN_MaMPC_ode23t_1.png","figure")</f>
        <v>figure</v>
      </c>
      <c r="P141" t="s">
        <v>15</v>
      </c>
      <c r="S141" t="b">
        <f>B141='2024a_240930_0021'!B139</f>
        <v>1</v>
      </c>
      <c r="T141">
        <f>K141-'2024a_240930_0021'!K139</f>
        <v>18</v>
      </c>
      <c r="U141" s="5">
        <f>T141/'2024a_240930_0021'!K139</f>
        <v>5.7581573896353169E-3</v>
      </c>
      <c r="V141" s="4">
        <f>L141-'2024a_240930_0021'!L139</f>
        <v>-29.594558600000003</v>
      </c>
      <c r="W141" s="5">
        <f>V141/'2024a_240930_0021'!L139</f>
        <v>-0.48886473497115923</v>
      </c>
    </row>
    <row r="142" spans="1:23" x14ac:dyDescent="0.25">
      <c r="A142">
        <v>141</v>
      </c>
      <c r="B142">
        <v>142</v>
      </c>
      <c r="C142" t="s">
        <v>45</v>
      </c>
      <c r="D142" t="s">
        <v>17</v>
      </c>
      <c r="E142" t="s">
        <v>49</v>
      </c>
      <c r="F142" t="s">
        <v>28</v>
      </c>
      <c r="G142" t="s">
        <v>26</v>
      </c>
      <c r="H142" t="s">
        <v>21</v>
      </c>
      <c r="I142" t="s">
        <v>55</v>
      </c>
      <c r="J142" t="s">
        <v>23</v>
      </c>
      <c r="K142">
        <v>2541</v>
      </c>
      <c r="L142" s="4">
        <v>54.195352399999997</v>
      </c>
      <c r="M142" s="4">
        <v>4.5445772042922578E-3</v>
      </c>
      <c r="N142" s="4">
        <v>-0.54744059252093813</v>
      </c>
      <c r="O142" s="1" t="str">
        <f>HYPERLINK(".\sm_car_241122_0001\sm_car_241122_0001_141_Ca142TrN_MaMPK_ode23t_1.png","figure")</f>
        <v>figure</v>
      </c>
      <c r="P142" t="s">
        <v>15</v>
      </c>
      <c r="S142" t="b">
        <f>B142='2024a_240930_0021'!B140</f>
        <v>1</v>
      </c>
      <c r="T142">
        <f>K142-'2024a_240930_0021'!K140</f>
        <v>25</v>
      </c>
      <c r="U142" s="5">
        <f>T142/'2024a_240930_0021'!K140</f>
        <v>9.9364069952305248E-3</v>
      </c>
      <c r="V142" s="4">
        <f>L142-'2024a_240930_0021'!L140</f>
        <v>-7.1583846000000051</v>
      </c>
      <c r="W142" s="5">
        <f>V142/'2024a_240930_0021'!L140</f>
        <v>-0.11667397863637882</v>
      </c>
    </row>
    <row r="143" spans="1:23" x14ac:dyDescent="0.25">
      <c r="A143">
        <v>142</v>
      </c>
      <c r="B143">
        <v>142</v>
      </c>
      <c r="C143" t="s">
        <v>45</v>
      </c>
      <c r="D143" t="s">
        <v>17</v>
      </c>
      <c r="E143" t="s">
        <v>49</v>
      </c>
      <c r="F143" t="s">
        <v>28</v>
      </c>
      <c r="G143" t="s">
        <v>26</v>
      </c>
      <c r="H143" t="s">
        <v>21</v>
      </c>
      <c r="I143" t="s">
        <v>56</v>
      </c>
      <c r="J143" t="s">
        <v>23</v>
      </c>
      <c r="K143">
        <v>3179</v>
      </c>
      <c r="L143" s="4">
        <v>70.799586700000006</v>
      </c>
      <c r="M143" s="4">
        <v>0.78887518731687933</v>
      </c>
      <c r="N143" s="4">
        <v>-0.36589854233859492</v>
      </c>
      <c r="O143" s="1" t="str">
        <f>HYPERLINK(".\sm_car_241122_0001\sm_car_241122_0001_142_Ca142TrN_MaMPC_ode23t_1.png","figure")</f>
        <v>figure</v>
      </c>
      <c r="P143" t="s">
        <v>15</v>
      </c>
      <c r="S143" t="b">
        <f>B143='2024a_240930_0021'!B141</f>
        <v>1</v>
      </c>
      <c r="T143">
        <f>K143-'2024a_240930_0021'!K141</f>
        <v>60</v>
      </c>
      <c r="U143" s="5">
        <f>T143/'2024a_240930_0021'!K141</f>
        <v>1.923693491503687E-2</v>
      </c>
      <c r="V143" s="4">
        <f>L143-'2024a_240930_0021'!L141</f>
        <v>-20.761031499999987</v>
      </c>
      <c r="W143" s="5">
        <f>V143/'2024a_240930_0021'!L141</f>
        <v>-0.22674630106418384</v>
      </c>
    </row>
    <row r="144" spans="1:23" x14ac:dyDescent="0.25">
      <c r="A144">
        <v>143</v>
      </c>
      <c r="B144">
        <v>116</v>
      </c>
      <c r="C144" t="s">
        <v>16</v>
      </c>
      <c r="D144" t="s">
        <v>35</v>
      </c>
      <c r="E144" t="s">
        <v>18</v>
      </c>
      <c r="F144" t="s">
        <v>28</v>
      </c>
      <c r="G144" t="s">
        <v>20</v>
      </c>
      <c r="H144" t="s">
        <v>21</v>
      </c>
      <c r="I144" t="s">
        <v>55</v>
      </c>
      <c r="J144" t="s">
        <v>23</v>
      </c>
      <c r="K144">
        <v>2861</v>
      </c>
      <c r="L144" s="4">
        <v>11.818699199999999</v>
      </c>
      <c r="M144" s="4">
        <v>-1.8830660852685185E-2</v>
      </c>
      <c r="N144" s="4">
        <v>-0.52474272308174985</v>
      </c>
      <c r="O144" s="1" t="str">
        <f>HYPERLINK(".\sm_car_241122_0001\sm_car_241122_0001_143_Ca116TrN_MaMPK_ode23t_1.png","figure")</f>
        <v>figure</v>
      </c>
      <c r="P144" t="s">
        <v>15</v>
      </c>
      <c r="S144" t="b">
        <f>B144='2024a_240930_0021'!B142</f>
        <v>1</v>
      </c>
      <c r="T144">
        <f>K144-'2024a_240930_0021'!K142</f>
        <v>8</v>
      </c>
      <c r="U144" s="5">
        <f>T144/'2024a_240930_0021'!K142</f>
        <v>2.8040658955485456E-3</v>
      </c>
      <c r="V144" s="4">
        <f>L144-'2024a_240930_0021'!L142</f>
        <v>-12.210392400000002</v>
      </c>
      <c r="W144" s="5">
        <f>V144/'2024a_240930_0021'!L142</f>
        <v>-0.50815039549809704</v>
      </c>
    </row>
    <row r="145" spans="1:23" x14ac:dyDescent="0.25">
      <c r="A145">
        <v>144</v>
      </c>
      <c r="B145">
        <v>116</v>
      </c>
      <c r="C145" t="s">
        <v>16</v>
      </c>
      <c r="D145" t="s">
        <v>35</v>
      </c>
      <c r="E145" t="s">
        <v>18</v>
      </c>
      <c r="F145" t="s">
        <v>28</v>
      </c>
      <c r="G145" t="s">
        <v>20</v>
      </c>
      <c r="H145" t="s">
        <v>21</v>
      </c>
      <c r="I145" t="s">
        <v>56</v>
      </c>
      <c r="J145" t="s">
        <v>23</v>
      </c>
      <c r="K145">
        <v>3380</v>
      </c>
      <c r="L145" s="4">
        <v>12.875588799999999</v>
      </c>
      <c r="M145" s="4">
        <v>0.78596396772449673</v>
      </c>
      <c r="N145" s="4">
        <v>-0.35487518740083746</v>
      </c>
      <c r="O145" s="1" t="str">
        <f>HYPERLINK(".\sm_car_241122_0001\sm_car_241122_0001_144_Ca116TrN_MaMPC_ode23t_1.png","figure")</f>
        <v>figure</v>
      </c>
      <c r="P145" t="s">
        <v>15</v>
      </c>
      <c r="S145" t="b">
        <f>B145='2024a_240930_0021'!B143</f>
        <v>1</v>
      </c>
      <c r="T145">
        <f>K145-'2024a_240930_0021'!K143</f>
        <v>14</v>
      </c>
      <c r="U145" s="5">
        <f>T145/'2024a_240930_0021'!K143</f>
        <v>4.1592394533571005E-3</v>
      </c>
      <c r="V145" s="4">
        <f>L145-'2024a_240930_0021'!L143</f>
        <v>-12.770012100000002</v>
      </c>
      <c r="W145" s="5">
        <f>V145/'2024a_240930_0021'!L143</f>
        <v>-0.49794162163694911</v>
      </c>
    </row>
    <row r="146" spans="1:23" x14ac:dyDescent="0.25">
      <c r="A146">
        <v>145</v>
      </c>
      <c r="B146">
        <v>143</v>
      </c>
      <c r="C146" t="s">
        <v>46</v>
      </c>
      <c r="D146" t="s">
        <v>17</v>
      </c>
      <c r="E146" t="s">
        <v>47</v>
      </c>
      <c r="F146" t="s">
        <v>19</v>
      </c>
      <c r="G146" t="s">
        <v>26</v>
      </c>
      <c r="H146" t="s">
        <v>21</v>
      </c>
      <c r="I146" t="s">
        <v>55</v>
      </c>
      <c r="J146" t="s">
        <v>23</v>
      </c>
      <c r="K146">
        <v>2720</v>
      </c>
      <c r="L146" s="4">
        <v>53.7775423</v>
      </c>
      <c r="M146" s="4">
        <v>-1.6609799213158222E-2</v>
      </c>
      <c r="N146" s="4">
        <v>-0.38985857337405799</v>
      </c>
      <c r="O146" s="1" t="str">
        <f>HYPERLINK(".\sm_car_241122_0001\sm_car_241122_0001_145_Ca143TrN_MaMPK_ode23t_1.png","figure")</f>
        <v>figure</v>
      </c>
      <c r="P146" t="s">
        <v>15</v>
      </c>
      <c r="S146" t="b">
        <f>B146='2024a_240930_0021'!B144</f>
        <v>1</v>
      </c>
      <c r="T146">
        <f>K146-'2024a_240930_0021'!K144</f>
        <v>20</v>
      </c>
      <c r="U146" s="5">
        <f>T146/'2024a_240930_0021'!K144</f>
        <v>7.4074074074074077E-3</v>
      </c>
      <c r="V146" s="4">
        <f>L146-'2024a_240930_0021'!L144</f>
        <v>-32.990236599999996</v>
      </c>
      <c r="W146" s="5">
        <f>V146/'2024a_240930_0021'!L144</f>
        <v>-0.38021298940959752</v>
      </c>
    </row>
    <row r="147" spans="1:23" x14ac:dyDescent="0.25">
      <c r="A147">
        <v>146</v>
      </c>
      <c r="B147">
        <v>143</v>
      </c>
      <c r="C147" t="s">
        <v>46</v>
      </c>
      <c r="D147" t="s">
        <v>17</v>
      </c>
      <c r="E147" t="s">
        <v>47</v>
      </c>
      <c r="F147" t="s">
        <v>19</v>
      </c>
      <c r="G147" t="s">
        <v>26</v>
      </c>
      <c r="H147" t="s">
        <v>21</v>
      </c>
      <c r="I147" t="s">
        <v>56</v>
      </c>
      <c r="J147" t="s">
        <v>23</v>
      </c>
      <c r="K147">
        <v>2896</v>
      </c>
      <c r="L147" s="4">
        <v>71.343805000000003</v>
      </c>
      <c r="M147" s="4">
        <v>0.78650178888328703</v>
      </c>
      <c r="N147" s="4">
        <v>-0.25839932503957819</v>
      </c>
      <c r="O147" s="1" t="str">
        <f>HYPERLINK(".\sm_car_241122_0001\sm_car_241122_0001_146_Ca143TrN_MaMPC_ode23t_1.png","figure")</f>
        <v>figure</v>
      </c>
      <c r="P147" t="s">
        <v>15</v>
      </c>
      <c r="S147" t="b">
        <f>B147='2024a_240930_0021'!B145</f>
        <v>1</v>
      </c>
      <c r="T147">
        <f>K147-'2024a_240930_0021'!K145</f>
        <v>-14</v>
      </c>
      <c r="U147" s="5">
        <f>T147/'2024a_240930_0021'!K145</f>
        <v>-4.8109965635738834E-3</v>
      </c>
      <c r="V147" s="4">
        <f>L147-'2024a_240930_0021'!L145</f>
        <v>-40.111924399999992</v>
      </c>
      <c r="W147" s="5">
        <f>V147/'2024a_240930_0021'!L145</f>
        <v>-0.359891094122614</v>
      </c>
    </row>
    <row r="148" spans="1:23" x14ac:dyDescent="0.25">
      <c r="A148">
        <v>147</v>
      </c>
      <c r="B148">
        <v>166</v>
      </c>
      <c r="C148" t="s">
        <v>45</v>
      </c>
      <c r="D148" t="s">
        <v>57</v>
      </c>
      <c r="E148" t="s">
        <v>18</v>
      </c>
      <c r="F148" t="s">
        <v>19</v>
      </c>
      <c r="G148" t="s">
        <v>26</v>
      </c>
      <c r="H148" t="s">
        <v>21</v>
      </c>
      <c r="I148" t="s">
        <v>55</v>
      </c>
      <c r="J148" t="s">
        <v>23</v>
      </c>
      <c r="K148">
        <v>3187</v>
      </c>
      <c r="L148" s="4">
        <v>40.696624300000003</v>
      </c>
      <c r="M148" s="4">
        <v>-1.5888661568128112E-2</v>
      </c>
      <c r="N148" s="4">
        <v>-0.5557843034422475</v>
      </c>
      <c r="O148" s="1" t="str">
        <f>HYPERLINK(".\sm_car_241122_0001\sm_car_241122_0001_147_Ca166TrN_MaMPK_ode23t_1.png","figure")</f>
        <v>figure</v>
      </c>
      <c r="P148" t="s">
        <v>15</v>
      </c>
      <c r="S148" t="b">
        <f>B148='2024a_240930_0021'!B146</f>
        <v>1</v>
      </c>
      <c r="T148">
        <f>K148-'2024a_240930_0021'!K146</f>
        <v>15</v>
      </c>
      <c r="U148" s="5">
        <f>T148/'2024a_240930_0021'!K146</f>
        <v>4.7288776796973516E-3</v>
      </c>
      <c r="V148" s="4">
        <f>L148-'2024a_240930_0021'!L146</f>
        <v>-39.560449699999999</v>
      </c>
      <c r="W148" s="5">
        <f>V148/'2024a_240930_0021'!L146</f>
        <v>-0.49292165448244474</v>
      </c>
    </row>
    <row r="149" spans="1:23" x14ac:dyDescent="0.25">
      <c r="A149">
        <v>148</v>
      </c>
      <c r="B149">
        <v>166</v>
      </c>
      <c r="C149" t="s">
        <v>45</v>
      </c>
      <c r="D149" t="s">
        <v>57</v>
      </c>
      <c r="E149" t="s">
        <v>18</v>
      </c>
      <c r="F149" t="s">
        <v>19</v>
      </c>
      <c r="G149" t="s">
        <v>26</v>
      </c>
      <c r="H149" t="s">
        <v>21</v>
      </c>
      <c r="I149" t="s">
        <v>56</v>
      </c>
      <c r="J149" t="s">
        <v>23</v>
      </c>
      <c r="K149">
        <v>3561</v>
      </c>
      <c r="L149" s="4">
        <v>43.9754152</v>
      </c>
      <c r="M149" s="4">
        <v>0.78928459680654939</v>
      </c>
      <c r="N149" s="4">
        <v>-0.35640249556286591</v>
      </c>
      <c r="O149" s="1" t="str">
        <f>HYPERLINK(".\sm_car_241122_0001\sm_car_241122_0001_148_Ca166TrN_MaMPC_ode23t_1.png","figure")</f>
        <v>figure</v>
      </c>
      <c r="P149" t="s">
        <v>15</v>
      </c>
      <c r="S149" t="b">
        <f>B149='2024a_240930_0021'!B147</f>
        <v>1</v>
      </c>
      <c r="T149">
        <f>K149-'2024a_240930_0021'!K147</f>
        <v>-31</v>
      </c>
      <c r="U149" s="5">
        <f>T149/'2024a_240930_0021'!K147</f>
        <v>-8.630289532293986E-3</v>
      </c>
      <c r="V149" s="4">
        <f>L149-'2024a_240930_0021'!L147</f>
        <v>-53.884340199999997</v>
      </c>
      <c r="W149" s="5">
        <f>V149/'2024a_240930_0021'!L147</f>
        <v>-0.55062819214853664</v>
      </c>
    </row>
    <row r="150" spans="1:23" x14ac:dyDescent="0.25">
      <c r="A150">
        <v>149</v>
      </c>
      <c r="B150">
        <v>169</v>
      </c>
      <c r="C150" t="s">
        <v>45</v>
      </c>
      <c r="D150" t="s">
        <v>58</v>
      </c>
      <c r="E150" t="s">
        <v>49</v>
      </c>
      <c r="F150" t="s">
        <v>19</v>
      </c>
      <c r="G150" t="s">
        <v>26</v>
      </c>
      <c r="H150" t="s">
        <v>21</v>
      </c>
      <c r="I150" t="s">
        <v>55</v>
      </c>
      <c r="J150" t="s">
        <v>23</v>
      </c>
      <c r="K150">
        <v>3140</v>
      </c>
      <c r="L150" s="4">
        <v>35.497574399999998</v>
      </c>
      <c r="M150" s="4">
        <v>-1.5990232140777536E-2</v>
      </c>
      <c r="N150" s="4">
        <v>-0.55654471446587583</v>
      </c>
      <c r="O150" s="1" t="str">
        <f>HYPERLINK(".\sm_car_241122_0001\sm_car_241122_0001_149_Ca169TrN_MaMPK_ode23t_1.png","figure")</f>
        <v>figure</v>
      </c>
      <c r="P150" t="s">
        <v>15</v>
      </c>
      <c r="S150" t="b">
        <f>B150='2024a_240930_0021'!B148</f>
        <v>1</v>
      </c>
      <c r="T150">
        <f>K150-'2024a_240930_0021'!K148</f>
        <v>-2</v>
      </c>
      <c r="U150" s="5">
        <f>T150/'2024a_240930_0021'!K148</f>
        <v>-6.3653723742838951E-4</v>
      </c>
      <c r="V150" s="4">
        <f>L150-'2024a_240930_0021'!L148</f>
        <v>-34.147657400000007</v>
      </c>
      <c r="W150" s="5">
        <f>V150/'2024a_240930_0021'!L148</f>
        <v>-0.49030861865837028</v>
      </c>
    </row>
    <row r="151" spans="1:23" x14ac:dyDescent="0.25">
      <c r="A151">
        <v>150</v>
      </c>
      <c r="B151">
        <v>169</v>
      </c>
      <c r="C151" t="s">
        <v>45</v>
      </c>
      <c r="D151" t="s">
        <v>58</v>
      </c>
      <c r="E151" t="s">
        <v>49</v>
      </c>
      <c r="F151" t="s">
        <v>19</v>
      </c>
      <c r="G151" t="s">
        <v>26</v>
      </c>
      <c r="H151" t="s">
        <v>21</v>
      </c>
      <c r="I151" t="s">
        <v>56</v>
      </c>
      <c r="J151" t="s">
        <v>23</v>
      </c>
      <c r="K151">
        <v>3367</v>
      </c>
      <c r="L151" s="4">
        <v>37.191569899999998</v>
      </c>
      <c r="M151" s="4">
        <v>0.78859641518540258</v>
      </c>
      <c r="N151" s="4">
        <v>-0.35568921790955788</v>
      </c>
      <c r="O151" s="1" t="str">
        <f>HYPERLINK(".\sm_car_241122_0001\sm_car_241122_0001_150_Ca169TrN_MaMPC_ode23t_1.png","figure")</f>
        <v>figure</v>
      </c>
      <c r="P151" t="s">
        <v>15</v>
      </c>
      <c r="S151" t="b">
        <f>B151='2024a_240930_0021'!B149</f>
        <v>1</v>
      </c>
      <c r="T151">
        <f>K151-'2024a_240930_0021'!K149</f>
        <v>-32</v>
      </c>
      <c r="U151" s="5">
        <f>T151/'2024a_240930_0021'!K149</f>
        <v>-9.4145336863783458E-3</v>
      </c>
      <c r="V151" s="4">
        <f>L151-'2024a_240930_0021'!L149</f>
        <v>-36.2444226</v>
      </c>
      <c r="W151" s="5">
        <f>V151/'2024a_240930_0021'!L149</f>
        <v>-0.49355120515324963</v>
      </c>
    </row>
    <row r="152" spans="1:23" x14ac:dyDescent="0.25">
      <c r="A152">
        <v>151</v>
      </c>
      <c r="B152">
        <v>184</v>
      </c>
      <c r="C152" t="s">
        <v>105</v>
      </c>
      <c r="D152" t="s">
        <v>125</v>
      </c>
      <c r="E152" t="s">
        <v>49</v>
      </c>
      <c r="F152" t="s">
        <v>19</v>
      </c>
      <c r="G152" t="s">
        <v>20</v>
      </c>
      <c r="H152" t="s">
        <v>21</v>
      </c>
      <c r="I152" t="s">
        <v>55</v>
      </c>
      <c r="J152" t="s">
        <v>23</v>
      </c>
      <c r="K152">
        <v>2091</v>
      </c>
      <c r="L152" s="4">
        <v>51.047611799999999</v>
      </c>
      <c r="M152" s="4">
        <v>-1.8130445210063517E-2</v>
      </c>
      <c r="N152" s="4">
        <v>-0.69898571560516654</v>
      </c>
      <c r="O152" s="1" t="str">
        <f>HYPERLINK(".\sm_car_241122_0001\sm_car_241122_0001_151_Ca184TrN_MaMPK_ode23t_1.png","figure")</f>
        <v>figure</v>
      </c>
      <c r="P152" t="s">
        <v>15</v>
      </c>
      <c r="S152" t="b">
        <f>B152='2024a_240930_0021'!B150</f>
        <v>1</v>
      </c>
      <c r="T152">
        <f>K152-'2024a_240930_0021'!K150</f>
        <v>-2</v>
      </c>
      <c r="U152" s="5">
        <f>T152/'2024a_240930_0021'!K150</f>
        <v>-9.5556617295747726E-4</v>
      </c>
      <c r="V152" s="4">
        <f>L152-'2024a_240930_0021'!L150</f>
        <v>-30.776961100000008</v>
      </c>
      <c r="W152" s="5">
        <f>V152/'2024a_240930_0021'!L150</f>
        <v>-0.37613347689102333</v>
      </c>
    </row>
    <row r="153" spans="1:23" x14ac:dyDescent="0.25">
      <c r="A153">
        <v>152</v>
      </c>
      <c r="B153">
        <v>184</v>
      </c>
      <c r="C153" t="s">
        <v>105</v>
      </c>
      <c r="D153" t="s">
        <v>125</v>
      </c>
      <c r="E153" t="s">
        <v>49</v>
      </c>
      <c r="F153" t="s">
        <v>19</v>
      </c>
      <c r="G153" t="s">
        <v>20</v>
      </c>
      <c r="H153" t="s">
        <v>21</v>
      </c>
      <c r="I153" t="s">
        <v>56</v>
      </c>
      <c r="J153" t="s">
        <v>23</v>
      </c>
      <c r="K153">
        <v>2170</v>
      </c>
      <c r="L153" s="4">
        <v>50.059255200000003</v>
      </c>
      <c r="M153" s="4">
        <v>0.77504067001194876</v>
      </c>
      <c r="N153" s="4">
        <v>-0.32958888405163067</v>
      </c>
      <c r="O153" s="1" t="str">
        <f>HYPERLINK(".\sm_car_241122_0001\sm_car_241122_0001_152_Ca184TrN_MaMPC_ode23t_1.png","figure")</f>
        <v>figure</v>
      </c>
      <c r="P153" t="s">
        <v>15</v>
      </c>
      <c r="S153" t="b">
        <f>B153='2024a_240930_0021'!B151</f>
        <v>1</v>
      </c>
      <c r="T153">
        <f>K153-'2024a_240930_0021'!K151</f>
        <v>7</v>
      </c>
      <c r="U153" s="5">
        <f>T153/'2024a_240930_0021'!K151</f>
        <v>3.2362459546925568E-3</v>
      </c>
      <c r="V153" s="4">
        <f>L153-'2024a_240930_0021'!L151</f>
        <v>-35.13660939999999</v>
      </c>
      <c r="W153" s="5">
        <f>V153/'2024a_240930_0021'!L151</f>
        <v>-0.41242153671388404</v>
      </c>
    </row>
    <row r="154" spans="1:23" x14ac:dyDescent="0.25">
      <c r="A154">
        <v>153</v>
      </c>
      <c r="B154">
        <v>195</v>
      </c>
      <c r="C154" t="s">
        <v>45</v>
      </c>
      <c r="D154" t="s">
        <v>58</v>
      </c>
      <c r="E154" t="s">
        <v>108</v>
      </c>
      <c r="F154" t="s">
        <v>19</v>
      </c>
      <c r="G154" t="s">
        <v>26</v>
      </c>
      <c r="H154" t="s">
        <v>21</v>
      </c>
      <c r="I154" t="s">
        <v>55</v>
      </c>
      <c r="J154" t="s">
        <v>23</v>
      </c>
      <c r="K154">
        <v>3137</v>
      </c>
      <c r="L154" s="4">
        <v>31.441861599999999</v>
      </c>
      <c r="M154" s="4">
        <v>-1.9810511836431594E-2</v>
      </c>
      <c r="N154" s="4">
        <v>-0.55652317060085066</v>
      </c>
      <c r="O154" s="1" t="str">
        <f>HYPERLINK(".\sm_car_241122_0001\sm_car_241122_0001_153_Ca195TrN_MaMPK_ode23t_1.png","figure")</f>
        <v>figure</v>
      </c>
      <c r="P154" t="s">
        <v>15</v>
      </c>
      <c r="S154" t="b">
        <f>B154='2024a_240930_0021'!B152</f>
        <v>1</v>
      </c>
      <c r="T154">
        <f>K154-'2024a_240930_0021'!K152</f>
        <v>-34</v>
      </c>
      <c r="U154" s="5">
        <f>T154/'2024a_240930_0021'!K152</f>
        <v>-1.0722169662567014E-2</v>
      </c>
      <c r="V154" s="4">
        <f>L154-'2024a_240930_0021'!L152</f>
        <v>-35.157055499999998</v>
      </c>
      <c r="W154" s="5">
        <f>V154/'2024a_240930_0021'!L152</f>
        <v>-0.52789229961818707</v>
      </c>
    </row>
    <row r="155" spans="1:23" x14ac:dyDescent="0.25">
      <c r="A155">
        <v>154</v>
      </c>
      <c r="B155">
        <v>195</v>
      </c>
      <c r="C155" t="s">
        <v>45</v>
      </c>
      <c r="D155" t="s">
        <v>58</v>
      </c>
      <c r="E155" t="s">
        <v>108</v>
      </c>
      <c r="F155" t="s">
        <v>19</v>
      </c>
      <c r="G155" t="s">
        <v>26</v>
      </c>
      <c r="H155" t="s">
        <v>21</v>
      </c>
      <c r="I155" t="s">
        <v>56</v>
      </c>
      <c r="J155" t="s">
        <v>23</v>
      </c>
      <c r="K155">
        <v>3391</v>
      </c>
      <c r="L155" s="4">
        <v>36.046378099999998</v>
      </c>
      <c r="M155" s="4">
        <v>0.78603403384223469</v>
      </c>
      <c r="N155" s="4">
        <v>-0.35566150176446359</v>
      </c>
      <c r="O155" s="1" t="str">
        <f>HYPERLINK(".\sm_car_241122_0001\sm_car_241122_0001_154_Ca195TrN_MaMPC_ode23t_1.png","figure")</f>
        <v>figure</v>
      </c>
      <c r="P155" t="s">
        <v>15</v>
      </c>
      <c r="S155" t="b">
        <f>B155='2024a_240930_0021'!B153</f>
        <v>1</v>
      </c>
      <c r="T155">
        <f>K155-'2024a_240930_0021'!K153</f>
        <v>11</v>
      </c>
      <c r="U155" s="5">
        <f>T155/'2024a_240930_0021'!K153</f>
        <v>3.2544378698224851E-3</v>
      </c>
      <c r="V155" s="4">
        <f>L155-'2024a_240930_0021'!L153</f>
        <v>-32.364716799999997</v>
      </c>
      <c r="W155" s="5">
        <f>V155/'2024a_240930_0021'!L153</f>
        <v>-0.47309163590071407</v>
      </c>
    </row>
    <row r="156" spans="1:23" x14ac:dyDescent="0.25">
      <c r="A156">
        <v>155</v>
      </c>
      <c r="B156">
        <v>198</v>
      </c>
      <c r="C156" t="s">
        <v>105</v>
      </c>
      <c r="D156" t="s">
        <v>125</v>
      </c>
      <c r="E156" t="s">
        <v>108</v>
      </c>
      <c r="F156" t="s">
        <v>19</v>
      </c>
      <c r="G156" t="s">
        <v>20</v>
      </c>
      <c r="H156" t="s">
        <v>21</v>
      </c>
      <c r="I156" t="s">
        <v>55</v>
      </c>
      <c r="J156" t="s">
        <v>23</v>
      </c>
      <c r="K156">
        <v>2128</v>
      </c>
      <c r="L156" s="4">
        <v>27.737960000000001</v>
      </c>
      <c r="M156" s="4">
        <v>-2.2772171663045238E-3</v>
      </c>
      <c r="N156" s="4">
        <v>-0.69949119120577441</v>
      </c>
      <c r="O156" s="1" t="str">
        <f>HYPERLINK(".\sm_car_241122_0001\sm_car_241122_0001_155_Ca198TrN_MaMPK_ode23t_1.png","figure")</f>
        <v>figure</v>
      </c>
      <c r="P156" t="s">
        <v>15</v>
      </c>
      <c r="S156" t="b">
        <f>B156='2024a_240930_0021'!B154</f>
        <v>1</v>
      </c>
      <c r="T156">
        <f>K156-'2024a_240930_0021'!K154</f>
        <v>0</v>
      </c>
      <c r="U156" s="5">
        <f>T156/'2024a_240930_0021'!K154</f>
        <v>0</v>
      </c>
      <c r="V156" s="4">
        <f>L156-'2024a_240930_0021'!L154</f>
        <v>-25.049717199999996</v>
      </c>
      <c r="W156" s="5">
        <f>V156/'2024a_240930_0021'!L154</f>
        <v>-0.47453721263567927</v>
      </c>
    </row>
    <row r="157" spans="1:23" x14ac:dyDescent="0.25">
      <c r="A157">
        <v>156</v>
      </c>
      <c r="B157">
        <v>198</v>
      </c>
      <c r="C157" t="s">
        <v>105</v>
      </c>
      <c r="D157" t="s">
        <v>125</v>
      </c>
      <c r="E157" t="s">
        <v>108</v>
      </c>
      <c r="F157" t="s">
        <v>19</v>
      </c>
      <c r="G157" t="s">
        <v>20</v>
      </c>
      <c r="H157" t="s">
        <v>21</v>
      </c>
      <c r="I157" t="s">
        <v>56</v>
      </c>
      <c r="J157" t="s">
        <v>23</v>
      </c>
      <c r="K157">
        <v>2193</v>
      </c>
      <c r="L157" s="4">
        <v>27.7978068</v>
      </c>
      <c r="M157" s="4">
        <v>0.78874244246508773</v>
      </c>
      <c r="N157" s="4">
        <v>-0.32973708897288107</v>
      </c>
      <c r="O157" s="1" t="str">
        <f>HYPERLINK(".\sm_car_241122_0001\sm_car_241122_0001_156_Ca198TrN_MaMPC_ode23t_1.png","figure")</f>
        <v>figure</v>
      </c>
      <c r="P157" t="s">
        <v>15</v>
      </c>
      <c r="S157" t="b">
        <f>B157='2024a_240930_0021'!B155</f>
        <v>1</v>
      </c>
      <c r="T157">
        <f>K157-'2024a_240930_0021'!K155</f>
        <v>11</v>
      </c>
      <c r="U157" s="5">
        <f>T157/'2024a_240930_0021'!K155</f>
        <v>5.0412465627864347E-3</v>
      </c>
      <c r="V157" s="4">
        <f>L157-'2024a_240930_0021'!L155</f>
        <v>-24.550351899999999</v>
      </c>
      <c r="W157" s="5">
        <f>V157/'2024a_240930_0021'!L155</f>
        <v>-0.46898214779042458</v>
      </c>
    </row>
    <row r="158" spans="1:23" x14ac:dyDescent="0.25">
      <c r="A158">
        <v>157</v>
      </c>
      <c r="B158">
        <v>151</v>
      </c>
      <c r="C158" t="s">
        <v>16</v>
      </c>
      <c r="D158" t="s">
        <v>17</v>
      </c>
      <c r="E158" t="s">
        <v>18</v>
      </c>
      <c r="F158" t="s">
        <v>19</v>
      </c>
      <c r="G158" t="s">
        <v>59</v>
      </c>
      <c r="H158" t="s">
        <v>21</v>
      </c>
      <c r="I158" t="s">
        <v>24</v>
      </c>
      <c r="J158" t="s">
        <v>23</v>
      </c>
      <c r="K158">
        <v>495</v>
      </c>
      <c r="L158" s="4">
        <v>11.9785062</v>
      </c>
      <c r="M158" s="4">
        <v>73.43793773297142</v>
      </c>
      <c r="N158" s="4">
        <v>-0.84750659614429136</v>
      </c>
      <c r="O158" s="1" t="str">
        <f>HYPERLINK(".\sm_car_241122_0001\sm_car_241122_0001_157_Ca151TrN_MaLSS_ode23t_1.png","figure")</f>
        <v>figure</v>
      </c>
      <c r="P158" t="s">
        <v>15</v>
      </c>
      <c r="S158" t="b">
        <f>B158='2024a_240930_0021'!B156</f>
        <v>1</v>
      </c>
      <c r="T158">
        <f>K158-'2024a_240930_0021'!K156</f>
        <v>-12</v>
      </c>
      <c r="U158" s="5">
        <f>T158/'2024a_240930_0021'!K156</f>
        <v>-2.3668639053254437E-2</v>
      </c>
      <c r="V158" s="4">
        <f>L158-'2024a_240930_0021'!L156</f>
        <v>-7.5369478999999995</v>
      </c>
      <c r="W158" s="5">
        <f>V158/'2024a_240930_0021'!L156</f>
        <v>-0.38620407505659832</v>
      </c>
    </row>
    <row r="159" spans="1:23" x14ac:dyDescent="0.25">
      <c r="A159">
        <v>158</v>
      </c>
      <c r="B159">
        <v>152</v>
      </c>
      <c r="C159" t="s">
        <v>16</v>
      </c>
      <c r="D159" t="s">
        <v>17</v>
      </c>
      <c r="E159" t="s">
        <v>18</v>
      </c>
      <c r="F159" t="s">
        <v>19</v>
      </c>
      <c r="G159" t="s">
        <v>60</v>
      </c>
      <c r="H159" t="s">
        <v>21</v>
      </c>
      <c r="I159" t="s">
        <v>24</v>
      </c>
      <c r="J159" t="s">
        <v>23</v>
      </c>
      <c r="K159">
        <v>513</v>
      </c>
      <c r="L159" s="4">
        <v>12.1685947</v>
      </c>
      <c r="M159" s="4">
        <v>71.753921531126849</v>
      </c>
      <c r="N159" s="4">
        <v>-0.54580060161983368</v>
      </c>
      <c r="O159" s="1" t="str">
        <f>HYPERLINK(".\sm_car_241122_0001\sm_car_241122_0001_158_Ca152TrN_MaLSS_ode23t_1.png","figure")</f>
        <v>figure</v>
      </c>
      <c r="P159" t="s">
        <v>15</v>
      </c>
      <c r="S159" t="b">
        <f>B159='2024a_240930_0021'!B157</f>
        <v>1</v>
      </c>
      <c r="T159">
        <f>K159-'2024a_240930_0021'!K157</f>
        <v>-8</v>
      </c>
      <c r="U159" s="5">
        <f>T159/'2024a_240930_0021'!K157</f>
        <v>-1.5355086372360844E-2</v>
      </c>
      <c r="V159" s="4">
        <f>L159-'2024a_240930_0021'!L157</f>
        <v>-8.8336660000000009</v>
      </c>
      <c r="W159" s="5">
        <f>V159/'2024a_240930_0021'!L157</f>
        <v>-0.42060548272310516</v>
      </c>
    </row>
    <row r="160" spans="1:23" x14ac:dyDescent="0.25">
      <c r="A160">
        <v>159</v>
      </c>
      <c r="B160">
        <v>153</v>
      </c>
      <c r="C160" t="s">
        <v>16</v>
      </c>
      <c r="D160" t="s">
        <v>17</v>
      </c>
      <c r="E160" t="s">
        <v>18</v>
      </c>
      <c r="F160" t="s">
        <v>19</v>
      </c>
      <c r="G160" t="s">
        <v>61</v>
      </c>
      <c r="H160" t="s">
        <v>21</v>
      </c>
      <c r="I160" t="s">
        <v>24</v>
      </c>
      <c r="J160" t="s">
        <v>23</v>
      </c>
      <c r="K160">
        <v>541</v>
      </c>
      <c r="L160" s="4">
        <v>12.739815</v>
      </c>
      <c r="M160" s="4">
        <v>71.602237643793771</v>
      </c>
      <c r="N160" s="4">
        <v>-0.88816876834641112</v>
      </c>
      <c r="O160" s="1" t="str">
        <f>HYPERLINK(".\sm_car_241122_0001\sm_car_241122_0001_159_Ca153TrN_MaLSS_ode23t_1.png","figure")</f>
        <v>figure</v>
      </c>
      <c r="P160" t="s">
        <v>15</v>
      </c>
      <c r="S160" t="b">
        <f>B160='2024a_240930_0021'!B158</f>
        <v>1</v>
      </c>
      <c r="T160">
        <f>K160-'2024a_240930_0021'!K158</f>
        <v>4</v>
      </c>
      <c r="U160" s="5">
        <f>T160/'2024a_240930_0021'!K158</f>
        <v>7.4487895716945996E-3</v>
      </c>
      <c r="V160" s="4">
        <f>L160-'2024a_240930_0021'!L158</f>
        <v>-8.7468243000000001</v>
      </c>
      <c r="W160" s="5">
        <f>V160/'2024a_240930_0021'!L158</f>
        <v>-0.40708200933032834</v>
      </c>
    </row>
    <row r="161" spans="1:23" x14ac:dyDescent="0.25">
      <c r="A161">
        <v>160</v>
      </c>
      <c r="B161">
        <v>154</v>
      </c>
      <c r="C161" t="s">
        <v>16</v>
      </c>
      <c r="D161" t="s">
        <v>17</v>
      </c>
      <c r="E161" t="s">
        <v>18</v>
      </c>
      <c r="F161" t="s">
        <v>19</v>
      </c>
      <c r="G161" t="s">
        <v>109</v>
      </c>
      <c r="H161" t="s">
        <v>21</v>
      </c>
      <c r="I161" t="s">
        <v>24</v>
      </c>
      <c r="J161" t="s">
        <v>23</v>
      </c>
      <c r="K161">
        <v>475</v>
      </c>
      <c r="L161" s="4">
        <v>14.8310662</v>
      </c>
      <c r="M161" s="4">
        <v>71.812615031938563</v>
      </c>
      <c r="N161" s="4">
        <v>-0.36862674942182927</v>
      </c>
      <c r="O161" s="1" t="str">
        <f>HYPERLINK(".\sm_car_241122_0001\sm_car_241122_0001_160_Ca154TrN_MaLSS_ode23t_1.png","figure")</f>
        <v>figure</v>
      </c>
      <c r="P161" t="s">
        <v>15</v>
      </c>
      <c r="S161" t="b">
        <f>B161='2024a_240930_0021'!B159</f>
        <v>1</v>
      </c>
      <c r="T161">
        <f>K161-'2024a_240930_0021'!K159</f>
        <v>-14</v>
      </c>
      <c r="U161" s="5">
        <f>T161/'2024a_240930_0021'!K159</f>
        <v>-2.8629856850715747E-2</v>
      </c>
      <c r="V161" s="4">
        <f>L161-'2024a_240930_0021'!L159</f>
        <v>-10.311369399999998</v>
      </c>
      <c r="W161" s="5">
        <f>V161/'2024a_240930_0021'!L159</f>
        <v>-0.41011815895831505</v>
      </c>
    </row>
    <row r="162" spans="1:23" x14ac:dyDescent="0.25">
      <c r="A162">
        <v>161</v>
      </c>
      <c r="B162">
        <v>155</v>
      </c>
      <c r="C162" t="s">
        <v>16</v>
      </c>
      <c r="D162" t="s">
        <v>17</v>
      </c>
      <c r="E162" t="s">
        <v>18</v>
      </c>
      <c r="F162" t="s">
        <v>19</v>
      </c>
      <c r="G162" t="s">
        <v>62</v>
      </c>
      <c r="H162" t="s">
        <v>21</v>
      </c>
      <c r="I162" t="s">
        <v>24</v>
      </c>
      <c r="J162" t="s">
        <v>23</v>
      </c>
      <c r="K162">
        <v>552</v>
      </c>
      <c r="L162" s="4">
        <v>17.331415100000001</v>
      </c>
      <c r="M162" s="4">
        <v>71.635578194405454</v>
      </c>
      <c r="N162" s="4">
        <v>-0.86550405345426518</v>
      </c>
      <c r="O162" s="1" t="str">
        <f>HYPERLINK(".\sm_car_241122_0001\sm_car_241122_0001_161_Ca155TrN_MaLSS_ode23t_1.png","figure")</f>
        <v>figure</v>
      </c>
      <c r="P162" t="s">
        <v>15</v>
      </c>
      <c r="S162" t="b">
        <f>B162='2024a_240930_0021'!B160</f>
        <v>1</v>
      </c>
      <c r="T162">
        <f>K162-'2024a_240930_0021'!K160</f>
        <v>24</v>
      </c>
      <c r="U162" s="5">
        <f>T162/'2024a_240930_0021'!K160</f>
        <v>4.5454545454545456E-2</v>
      </c>
      <c r="V162" s="4">
        <f>L162-'2024a_240930_0021'!L160</f>
        <v>-10.953318599999999</v>
      </c>
      <c r="W162" s="5">
        <f>V162/'2024a_240930_0021'!L160</f>
        <v>-0.38725196129387635</v>
      </c>
    </row>
    <row r="163" spans="1:23" x14ac:dyDescent="0.25">
      <c r="A163">
        <v>162</v>
      </c>
      <c r="B163">
        <v>4</v>
      </c>
      <c r="C163" t="s">
        <v>16</v>
      </c>
      <c r="D163" t="s">
        <v>17</v>
      </c>
      <c r="E163" t="s">
        <v>18</v>
      </c>
      <c r="F163" t="s">
        <v>28</v>
      </c>
      <c r="G163" t="s">
        <v>20</v>
      </c>
      <c r="H163" t="s">
        <v>21</v>
      </c>
      <c r="I163" t="s">
        <v>22</v>
      </c>
      <c r="J163" t="s">
        <v>63</v>
      </c>
      <c r="K163">
        <v>3246</v>
      </c>
      <c r="L163" s="4">
        <v>8.4818324</v>
      </c>
      <c r="M163" s="4">
        <v>234.09520704365517</v>
      </c>
      <c r="N163" s="4">
        <v>1.55990049481027E-2</v>
      </c>
      <c r="O163" s="1" t="str">
        <f>HYPERLINK(".\sm_car_241122_0001\sm_car_241122_0001_162_Ca004TrN_MaWOT_ode3_1.png","figure")</f>
        <v>figure</v>
      </c>
      <c r="P163" t="s">
        <v>15</v>
      </c>
      <c r="S163" t="b">
        <f>B163='2024a_240930_0021'!B161</f>
        <v>1</v>
      </c>
      <c r="T163">
        <f>K163-'2024a_240930_0021'!K161</f>
        <v>0</v>
      </c>
      <c r="U163" s="5">
        <f>T163/'2024a_240930_0021'!K161</f>
        <v>0</v>
      </c>
      <c r="V163" s="4">
        <f>L163-'2024a_240930_0021'!L161</f>
        <v>-5.6231469000000001</v>
      </c>
      <c r="W163" s="5">
        <f>V163/'2024a_240930_0021'!L161</f>
        <v>-0.39866395975497815</v>
      </c>
    </row>
    <row r="164" spans="1:23" x14ac:dyDescent="0.25">
      <c r="A164">
        <v>163</v>
      </c>
      <c r="B164">
        <v>4</v>
      </c>
      <c r="C164" t="s">
        <v>16</v>
      </c>
      <c r="D164" t="s">
        <v>17</v>
      </c>
      <c r="E164" t="s">
        <v>18</v>
      </c>
      <c r="F164" t="s">
        <v>28</v>
      </c>
      <c r="G164" t="s">
        <v>20</v>
      </c>
      <c r="H164" t="s">
        <v>21</v>
      </c>
      <c r="I164" t="s">
        <v>24</v>
      </c>
      <c r="J164" t="s">
        <v>63</v>
      </c>
      <c r="K164">
        <v>2564</v>
      </c>
      <c r="L164" s="4">
        <v>6.9327415999999999</v>
      </c>
      <c r="M164" s="4">
        <v>72.060971130643907</v>
      </c>
      <c r="N164" s="4">
        <v>-0.55315153656731553</v>
      </c>
      <c r="O164" s="1" t="str">
        <f>HYPERLINK(".\sm_car_241122_0001\sm_car_241122_0001_163_Ca004TrN_MaLSS_ode3_1.png","figure")</f>
        <v>figure</v>
      </c>
      <c r="P164" t="s">
        <v>15</v>
      </c>
      <c r="S164" t="b">
        <f>B164='2024a_240930_0021'!B162</f>
        <v>1</v>
      </c>
      <c r="T164">
        <f>K164-'2024a_240930_0021'!K162</f>
        <v>0</v>
      </c>
      <c r="U164" s="5">
        <f>T164/'2024a_240930_0021'!K162</f>
        <v>0</v>
      </c>
      <c r="V164" s="4">
        <f>L164-'2024a_240930_0021'!L162</f>
        <v>-5.1095161000000004</v>
      </c>
      <c r="W164" s="5">
        <f>V164/'2024a_240930_0021'!L162</f>
        <v>-0.42429885053863281</v>
      </c>
    </row>
    <row r="165" spans="1:23" x14ac:dyDescent="0.25">
      <c r="A165">
        <v>164</v>
      </c>
      <c r="B165">
        <v>4</v>
      </c>
      <c r="C165" t="s">
        <v>16</v>
      </c>
      <c r="D165" t="s">
        <v>17</v>
      </c>
      <c r="E165" t="s">
        <v>18</v>
      </c>
      <c r="F165" t="s">
        <v>28</v>
      </c>
      <c r="G165" t="s">
        <v>20</v>
      </c>
      <c r="H165" t="s">
        <v>21</v>
      </c>
      <c r="I165" t="s">
        <v>64</v>
      </c>
      <c r="J165" t="s">
        <v>63</v>
      </c>
      <c r="K165">
        <v>2562</v>
      </c>
      <c r="L165" s="4">
        <v>6.9849965999999997</v>
      </c>
      <c r="M165" s="4">
        <v>64.366275725186242</v>
      </c>
      <c r="N165" s="4">
        <v>-25.539450692857958</v>
      </c>
      <c r="O165" s="1" t="str">
        <f>HYPERLINK(".\sm_car_241122_0001\sm_car_241122_0001_164_Ca004TrN_MaTUR_ode3_1.png","figure")</f>
        <v>figure</v>
      </c>
      <c r="P165" t="s">
        <v>15</v>
      </c>
      <c r="S165" t="b">
        <f>B165='2024a_240930_0021'!B163</f>
        <v>1</v>
      </c>
      <c r="T165">
        <f>K165-'2024a_240930_0021'!K163</f>
        <v>0</v>
      </c>
      <c r="U165" s="5">
        <f>T165/'2024a_240930_0021'!K163</f>
        <v>0</v>
      </c>
      <c r="V165" s="4">
        <f>L165-'2024a_240930_0021'!L163</f>
        <v>-4.5215164999999997</v>
      </c>
      <c r="W165" s="5">
        <f>V165/'2024a_240930_0021'!L163</f>
        <v>-0.39295279644708353</v>
      </c>
    </row>
    <row r="166" spans="1:23" x14ac:dyDescent="0.25">
      <c r="A166">
        <v>165</v>
      </c>
      <c r="B166">
        <v>116</v>
      </c>
      <c r="C166" t="s">
        <v>16</v>
      </c>
      <c r="D166" t="s">
        <v>35</v>
      </c>
      <c r="E166" t="s">
        <v>18</v>
      </c>
      <c r="F166" t="s">
        <v>28</v>
      </c>
      <c r="G166" t="s">
        <v>20</v>
      </c>
      <c r="H166" t="s">
        <v>21</v>
      </c>
      <c r="I166" t="s">
        <v>22</v>
      </c>
      <c r="J166" t="s">
        <v>63</v>
      </c>
      <c r="K166">
        <v>3244</v>
      </c>
      <c r="L166" s="4">
        <v>3.6008819999999999</v>
      </c>
      <c r="M166" s="4">
        <v>242.70379428436041</v>
      </c>
      <c r="N166" s="4">
        <v>0.23327324309701689</v>
      </c>
      <c r="O166" s="1" t="str">
        <f>HYPERLINK(".\sm_car_241122_0001\sm_car_241122_0001_165_Ca116TrN_MaWOT_ode3_1.png","figure")</f>
        <v>figure</v>
      </c>
      <c r="P166" t="s">
        <v>15</v>
      </c>
      <c r="S166" t="b">
        <f>B166='2024a_240930_0021'!B164</f>
        <v>1</v>
      </c>
      <c r="T166">
        <f>K166-'2024a_240930_0021'!K164</f>
        <v>0</v>
      </c>
      <c r="U166" s="5">
        <f>T166/'2024a_240930_0021'!K164</f>
        <v>0</v>
      </c>
      <c r="V166" s="4">
        <f>L166-'2024a_240930_0021'!L164</f>
        <v>-2.8623121</v>
      </c>
      <c r="W166" s="5">
        <f>V166/'2024a_240930_0021'!L164</f>
        <v>-0.44286339783606377</v>
      </c>
    </row>
    <row r="167" spans="1:23" x14ac:dyDescent="0.25">
      <c r="A167">
        <v>166</v>
      </c>
      <c r="B167">
        <v>116</v>
      </c>
      <c r="C167" t="s">
        <v>16</v>
      </c>
      <c r="D167" t="s">
        <v>35</v>
      </c>
      <c r="E167" t="s">
        <v>18</v>
      </c>
      <c r="F167" t="s">
        <v>28</v>
      </c>
      <c r="G167" t="s">
        <v>20</v>
      </c>
      <c r="H167" t="s">
        <v>21</v>
      </c>
      <c r="I167" t="s">
        <v>24</v>
      </c>
      <c r="J167" t="s">
        <v>63</v>
      </c>
      <c r="K167">
        <v>2564</v>
      </c>
      <c r="L167" s="4">
        <v>2.8883207</v>
      </c>
      <c r="M167" s="4">
        <v>74.659491982450774</v>
      </c>
      <c r="N167" s="4">
        <v>-0.34093758006291858</v>
      </c>
      <c r="O167" s="1" t="str">
        <f>HYPERLINK(".\sm_car_241122_0001\sm_car_241122_0001_166_Ca116TrN_MaLSS_ode3_1.png","figure")</f>
        <v>figure</v>
      </c>
      <c r="P167" t="s">
        <v>15</v>
      </c>
      <c r="S167" t="b">
        <f>B167='2024a_240930_0021'!B165</f>
        <v>1</v>
      </c>
      <c r="T167">
        <f>K167-'2024a_240930_0021'!K165</f>
        <v>0</v>
      </c>
      <c r="U167" s="5">
        <f>T167/'2024a_240930_0021'!K165</f>
        <v>0</v>
      </c>
      <c r="V167" s="4">
        <f>L167-'2024a_240930_0021'!L165</f>
        <v>-2.5284653000000001</v>
      </c>
      <c r="W167" s="5">
        <f>V167/'2024a_240930_0021'!L165</f>
        <v>-0.46678331025076497</v>
      </c>
    </row>
    <row r="168" spans="1:23" x14ac:dyDescent="0.25">
      <c r="A168">
        <v>167</v>
      </c>
      <c r="B168">
        <v>116</v>
      </c>
      <c r="C168" t="s">
        <v>16</v>
      </c>
      <c r="D168" t="s">
        <v>35</v>
      </c>
      <c r="E168" t="s">
        <v>18</v>
      </c>
      <c r="F168" t="s">
        <v>28</v>
      </c>
      <c r="G168" t="s">
        <v>20</v>
      </c>
      <c r="H168" t="s">
        <v>21</v>
      </c>
      <c r="I168" t="s">
        <v>64</v>
      </c>
      <c r="J168" t="s">
        <v>63</v>
      </c>
      <c r="K168">
        <v>2563</v>
      </c>
      <c r="L168" s="4">
        <v>2.8519956999999998</v>
      </c>
      <c r="M168" s="4">
        <v>71.32397117118802</v>
      </c>
      <c r="N168" s="4">
        <v>-17.591551103430934</v>
      </c>
      <c r="O168" s="1" t="str">
        <f>HYPERLINK(".\sm_car_241122_0001\sm_car_241122_0001_167_Ca116TrN_MaTUR_ode3_1.png","figure")</f>
        <v>figure</v>
      </c>
      <c r="P168" t="s">
        <v>15</v>
      </c>
      <c r="S168" t="b">
        <f>B168='2024a_240930_0021'!B166</f>
        <v>1</v>
      </c>
      <c r="T168">
        <f>K168-'2024a_240930_0021'!K166</f>
        <v>0</v>
      </c>
      <c r="U168" s="5">
        <f>T168/'2024a_240930_0021'!K166</f>
        <v>0</v>
      </c>
      <c r="V168" s="4">
        <f>L168-'2024a_240930_0021'!L166</f>
        <v>-2.5536580000000004</v>
      </c>
      <c r="W168" s="5">
        <f>V168/'2024a_240930_0021'!L166</f>
        <v>-0.47240503031113523</v>
      </c>
    </row>
    <row r="169" spans="1:23" x14ac:dyDescent="0.25">
      <c r="A169">
        <v>168</v>
      </c>
      <c r="B169">
        <v>124</v>
      </c>
      <c r="C169" t="s">
        <v>16</v>
      </c>
      <c r="D169" t="s">
        <v>35</v>
      </c>
      <c r="E169" t="s">
        <v>49</v>
      </c>
      <c r="F169" t="s">
        <v>28</v>
      </c>
      <c r="G169" t="s">
        <v>20</v>
      </c>
      <c r="H169" t="s">
        <v>21</v>
      </c>
      <c r="I169" t="s">
        <v>22</v>
      </c>
      <c r="J169" t="s">
        <v>63</v>
      </c>
      <c r="K169">
        <v>3244</v>
      </c>
      <c r="L169" s="4">
        <v>2.0834815999999998</v>
      </c>
      <c r="M169" s="4">
        <v>242.88013068819623</v>
      </c>
      <c r="N169" s="4">
        <v>0.23307974035338433</v>
      </c>
      <c r="O169" s="1" t="str">
        <f>HYPERLINK(".\sm_car_241122_0001\sm_car_241122_0001_168_Ca124TrN_MaWOT_ode3_1.png","figure")</f>
        <v>figure</v>
      </c>
      <c r="P169" t="s">
        <v>15</v>
      </c>
      <c r="S169" t="b">
        <f>B169='2024a_240930_0021'!B167</f>
        <v>1</v>
      </c>
      <c r="T169">
        <f>K169-'2024a_240930_0021'!K167</f>
        <v>0</v>
      </c>
      <c r="U169" s="5">
        <f>T169/'2024a_240930_0021'!K167</f>
        <v>0</v>
      </c>
      <c r="V169" s="4">
        <f>L169-'2024a_240930_0021'!L167</f>
        <v>-1.9253803000000005</v>
      </c>
      <c r="W169" s="5">
        <f>V169/'2024a_240930_0021'!L167</f>
        <v>-0.48028102439747311</v>
      </c>
    </row>
    <row r="170" spans="1:23" x14ac:dyDescent="0.25">
      <c r="A170">
        <v>169</v>
      </c>
      <c r="B170">
        <v>124</v>
      </c>
      <c r="C170" t="s">
        <v>16</v>
      </c>
      <c r="D170" t="s">
        <v>35</v>
      </c>
      <c r="E170" t="s">
        <v>49</v>
      </c>
      <c r="F170" t="s">
        <v>28</v>
      </c>
      <c r="G170" t="s">
        <v>20</v>
      </c>
      <c r="H170" t="s">
        <v>21</v>
      </c>
      <c r="I170" t="s">
        <v>24</v>
      </c>
      <c r="J170" t="s">
        <v>63</v>
      </c>
      <c r="K170">
        <v>2565</v>
      </c>
      <c r="L170" s="4">
        <v>1.6915328000000001</v>
      </c>
      <c r="M170" s="4">
        <v>74.798394612599097</v>
      </c>
      <c r="N170" s="4">
        <v>-0.34251622055333664</v>
      </c>
      <c r="O170" s="1" t="str">
        <f>HYPERLINK(".\sm_car_241122_0001\sm_car_241122_0001_169_Ca124TrN_MaLSS_ode3_1.png","figure")</f>
        <v>figure</v>
      </c>
      <c r="P170" t="s">
        <v>15</v>
      </c>
      <c r="S170" t="b">
        <f>B170='2024a_240930_0021'!B168</f>
        <v>1</v>
      </c>
      <c r="T170">
        <f>K170-'2024a_240930_0021'!K168</f>
        <v>0</v>
      </c>
      <c r="U170" s="5">
        <f>T170/'2024a_240930_0021'!K168</f>
        <v>0</v>
      </c>
      <c r="V170" s="4">
        <f>L170-'2024a_240930_0021'!L168</f>
        <v>-1.4565072999999997</v>
      </c>
      <c r="W170" s="5">
        <f>V170/'2024a_240930_0021'!L168</f>
        <v>-0.46267113941782373</v>
      </c>
    </row>
    <row r="171" spans="1:23" x14ac:dyDescent="0.25">
      <c r="A171">
        <v>170</v>
      </c>
      <c r="B171">
        <v>124</v>
      </c>
      <c r="C171" t="s">
        <v>16</v>
      </c>
      <c r="D171" t="s">
        <v>35</v>
      </c>
      <c r="E171" t="s">
        <v>49</v>
      </c>
      <c r="F171" t="s">
        <v>28</v>
      </c>
      <c r="G171" t="s">
        <v>20</v>
      </c>
      <c r="H171" t="s">
        <v>21</v>
      </c>
      <c r="I171" t="s">
        <v>64</v>
      </c>
      <c r="J171" t="s">
        <v>63</v>
      </c>
      <c r="K171">
        <v>2564</v>
      </c>
      <c r="L171" s="4">
        <v>1.7287914</v>
      </c>
      <c r="M171" s="4">
        <v>71.449352968456878</v>
      </c>
      <c r="N171" s="4">
        <v>-17.63759605520924</v>
      </c>
      <c r="O171" s="1" t="str">
        <f>HYPERLINK(".\sm_car_241122_0001\sm_car_241122_0001_170_Ca124TrN_MaTUR_ode3_1.png","figure")</f>
        <v>figure</v>
      </c>
      <c r="P171" t="s">
        <v>15</v>
      </c>
      <c r="S171" t="b">
        <f>B171='2024a_240930_0021'!B169</f>
        <v>1</v>
      </c>
      <c r="T171">
        <f>K171-'2024a_240930_0021'!K169</f>
        <v>0</v>
      </c>
      <c r="U171" s="5">
        <f>T171/'2024a_240930_0021'!K169</f>
        <v>0</v>
      </c>
      <c r="V171" s="4">
        <f>L171-'2024a_240930_0021'!L169</f>
        <v>-1.5000876000000001</v>
      </c>
      <c r="W171" s="5">
        <f>V171/'2024a_240930_0021'!L169</f>
        <v>-0.46458464377265302</v>
      </c>
    </row>
    <row r="172" spans="1:23" x14ac:dyDescent="0.25">
      <c r="A172">
        <v>171</v>
      </c>
      <c r="B172">
        <v>141</v>
      </c>
      <c r="C172" t="s">
        <v>45</v>
      </c>
      <c r="D172" t="s">
        <v>17</v>
      </c>
      <c r="E172" t="s">
        <v>18</v>
      </c>
      <c r="F172" t="s">
        <v>28</v>
      </c>
      <c r="G172" t="s">
        <v>26</v>
      </c>
      <c r="H172" t="s">
        <v>21</v>
      </c>
      <c r="I172" t="s">
        <v>22</v>
      </c>
      <c r="J172" t="s">
        <v>63</v>
      </c>
      <c r="K172">
        <v>3833</v>
      </c>
      <c r="L172" s="4">
        <v>11.9646031</v>
      </c>
      <c r="M172" s="4">
        <v>411.77322683191267</v>
      </c>
      <c r="N172" s="4">
        <v>1.5228286464505012</v>
      </c>
      <c r="O172" s="1" t="str">
        <f>HYPERLINK(".\sm_car_241122_0001\sm_car_241122_0001_171_Ca141TrN_MaWOT_ode3_1.png","figure")</f>
        <v>figure</v>
      </c>
      <c r="P172" t="s">
        <v>15</v>
      </c>
      <c r="S172" t="b">
        <f>B172='2024a_240930_0021'!B170</f>
        <v>1</v>
      </c>
      <c r="T172">
        <f>K172-'2024a_240930_0021'!K170</f>
        <v>0</v>
      </c>
      <c r="U172" s="5">
        <f>T172/'2024a_240930_0021'!K170</f>
        <v>0</v>
      </c>
      <c r="V172" s="4">
        <f>L172-'2024a_240930_0021'!L170</f>
        <v>-7.6270460999999994</v>
      </c>
      <c r="W172" s="5">
        <f>V172/'2024a_240930_0021'!L170</f>
        <v>-0.38930087110787998</v>
      </c>
    </row>
    <row r="173" spans="1:23" x14ac:dyDescent="0.25">
      <c r="A173">
        <v>172</v>
      </c>
      <c r="B173">
        <v>141</v>
      </c>
      <c r="C173" t="s">
        <v>45</v>
      </c>
      <c r="D173" t="s">
        <v>17</v>
      </c>
      <c r="E173" t="s">
        <v>18</v>
      </c>
      <c r="F173" t="s">
        <v>28</v>
      </c>
      <c r="G173" t="s">
        <v>26</v>
      </c>
      <c r="H173" t="s">
        <v>21</v>
      </c>
      <c r="I173" t="s">
        <v>24</v>
      </c>
      <c r="J173" t="s">
        <v>63</v>
      </c>
      <c r="K173">
        <v>3192</v>
      </c>
      <c r="L173" s="4">
        <v>10.266940999999999</v>
      </c>
      <c r="M173" s="4">
        <v>157.3565290035539</v>
      </c>
      <c r="N173" s="4">
        <v>-0.56384153481571597</v>
      </c>
      <c r="O173" s="1" t="str">
        <f>HYPERLINK(".\sm_car_241122_0001\sm_car_241122_0001_172_Ca141TrN_MaLSS_ode3_1.png","figure")</f>
        <v>figure</v>
      </c>
      <c r="P173" t="s">
        <v>15</v>
      </c>
      <c r="S173" t="b">
        <f>B173='2024a_240930_0021'!B171</f>
        <v>1</v>
      </c>
      <c r="T173">
        <f>K173-'2024a_240930_0021'!K171</f>
        <v>0</v>
      </c>
      <c r="U173" s="5">
        <f>T173/'2024a_240930_0021'!K171</f>
        <v>0</v>
      </c>
      <c r="V173" s="4">
        <f>L173-'2024a_240930_0021'!L171</f>
        <v>-6.1471648000000023</v>
      </c>
      <c r="W173" s="5">
        <f>V173/'2024a_240930_0021'!L171</f>
        <v>-0.37450500654138597</v>
      </c>
    </row>
    <row r="174" spans="1:23" x14ac:dyDescent="0.25">
      <c r="A174">
        <v>173</v>
      </c>
      <c r="B174">
        <v>141</v>
      </c>
      <c r="C174" t="s">
        <v>45</v>
      </c>
      <c r="D174" t="s">
        <v>17</v>
      </c>
      <c r="E174" t="s">
        <v>18</v>
      </c>
      <c r="F174" t="s">
        <v>28</v>
      </c>
      <c r="G174" t="s">
        <v>26</v>
      </c>
      <c r="H174" t="s">
        <v>21</v>
      </c>
      <c r="I174" t="s">
        <v>64</v>
      </c>
      <c r="J174" t="s">
        <v>63</v>
      </c>
      <c r="K174">
        <v>3160</v>
      </c>
      <c r="L174" s="4">
        <v>9.8697721999999999</v>
      </c>
      <c r="M174" s="4">
        <v>99.307921886610927</v>
      </c>
      <c r="N174" s="4">
        <v>-89.46294051019197</v>
      </c>
      <c r="O174" s="1" t="str">
        <f>HYPERLINK(".\sm_car_241122_0001\sm_car_241122_0001_173_Ca141TrN_MaTUR_ode3_1.png","figure")</f>
        <v>figure</v>
      </c>
      <c r="P174" t="s">
        <v>15</v>
      </c>
      <c r="S174" t="b">
        <f>B174='2024a_240930_0021'!B172</f>
        <v>1</v>
      </c>
      <c r="T174">
        <f>K174-'2024a_240930_0021'!K172</f>
        <v>0</v>
      </c>
      <c r="U174" s="5">
        <f>T174/'2024a_240930_0021'!K172</f>
        <v>0</v>
      </c>
      <c r="V174" s="4">
        <f>L174-'2024a_240930_0021'!L172</f>
        <v>-6.4232779999999998</v>
      </c>
      <c r="W174" s="5">
        <f>V174/'2024a_240930_0021'!L172</f>
        <v>-0.3942342238655841</v>
      </c>
    </row>
    <row r="175" spans="1:23" x14ac:dyDescent="0.25">
      <c r="A175">
        <v>174</v>
      </c>
      <c r="B175">
        <v>145</v>
      </c>
      <c r="C175" t="s">
        <v>46</v>
      </c>
      <c r="D175" t="s">
        <v>17</v>
      </c>
      <c r="E175" t="s">
        <v>50</v>
      </c>
      <c r="F175" t="s">
        <v>19</v>
      </c>
      <c r="G175" t="s">
        <v>26</v>
      </c>
      <c r="H175" t="s">
        <v>21</v>
      </c>
      <c r="I175" t="s">
        <v>22</v>
      </c>
      <c r="J175" t="s">
        <v>63</v>
      </c>
      <c r="K175">
        <v>2854</v>
      </c>
      <c r="L175" s="4">
        <v>7.7405051</v>
      </c>
      <c r="M175" s="4">
        <v>97.052592795275004</v>
      </c>
      <c r="N175" s="4">
        <v>-0.13894363348180608</v>
      </c>
      <c r="O175" s="1" t="str">
        <f>HYPERLINK(".\sm_car_241122_0001\sm_car_241122_0001_174_Ca145TrN_MaWOT_ode3_1.png","figure")</f>
        <v>figure</v>
      </c>
      <c r="P175" t="s">
        <v>15</v>
      </c>
      <c r="S175" t="b">
        <f>B175='2024a_240930_0021'!B173</f>
        <v>1</v>
      </c>
      <c r="T175">
        <f>K175-'2024a_240930_0021'!K173</f>
        <v>1</v>
      </c>
      <c r="U175" s="5">
        <f>T175/'2024a_240930_0021'!K173</f>
        <v>3.505082369435682E-4</v>
      </c>
      <c r="V175" s="4">
        <f>L175-'2024a_240930_0021'!L173</f>
        <v>-4.8905256000000001</v>
      </c>
      <c r="W175" s="5">
        <f>V175/'2024a_240930_0021'!L173</f>
        <v>-0.38718341488949115</v>
      </c>
    </row>
    <row r="176" spans="1:23" x14ac:dyDescent="0.25">
      <c r="A176">
        <v>175</v>
      </c>
      <c r="B176">
        <v>145</v>
      </c>
      <c r="C176" t="s">
        <v>46</v>
      </c>
      <c r="D176" t="s">
        <v>17</v>
      </c>
      <c r="E176" t="s">
        <v>50</v>
      </c>
      <c r="F176" t="s">
        <v>19</v>
      </c>
      <c r="G176" t="s">
        <v>26</v>
      </c>
      <c r="H176" t="s">
        <v>21</v>
      </c>
      <c r="I176" t="s">
        <v>24</v>
      </c>
      <c r="J176" t="s">
        <v>63</v>
      </c>
      <c r="K176">
        <v>2381</v>
      </c>
      <c r="L176" s="4">
        <v>6.1735166000000001</v>
      </c>
      <c r="M176" s="4">
        <v>25.474141372039238</v>
      </c>
      <c r="N176" s="4">
        <v>-6.2524110319209208E-2</v>
      </c>
      <c r="O176" s="1" t="str">
        <f>HYPERLINK(".\sm_car_241122_0001\sm_car_241122_0001_175_Ca145TrN_MaLSS_ode3_1.png","figure")</f>
        <v>figure</v>
      </c>
      <c r="P176" t="s">
        <v>15</v>
      </c>
      <c r="S176" t="b">
        <f>B176='2024a_240930_0021'!B174</f>
        <v>1</v>
      </c>
      <c r="T176">
        <f>K176-'2024a_240930_0021'!K174</f>
        <v>-1</v>
      </c>
      <c r="U176" s="5">
        <f>T176/'2024a_240930_0021'!K174</f>
        <v>-4.1981528127623844E-4</v>
      </c>
      <c r="V176" s="4">
        <f>L176-'2024a_240930_0021'!L174</f>
        <v>-4.351036399999999</v>
      </c>
      <c r="W176" s="5">
        <f>V176/'2024a_240930_0021'!L174</f>
        <v>-0.41341769099362219</v>
      </c>
    </row>
    <row r="177" spans="1:23" x14ac:dyDescent="0.25">
      <c r="A177">
        <v>176</v>
      </c>
      <c r="B177">
        <v>145</v>
      </c>
      <c r="C177" t="s">
        <v>46</v>
      </c>
      <c r="D177" t="s">
        <v>17</v>
      </c>
      <c r="E177" t="s">
        <v>50</v>
      </c>
      <c r="F177" t="s">
        <v>19</v>
      </c>
      <c r="G177" t="s">
        <v>26</v>
      </c>
      <c r="H177" t="s">
        <v>21</v>
      </c>
      <c r="I177" t="s">
        <v>64</v>
      </c>
      <c r="J177" t="s">
        <v>63</v>
      </c>
      <c r="K177">
        <v>2381</v>
      </c>
      <c r="L177" s="4">
        <v>6.4611178000000002</v>
      </c>
      <c r="M177" s="4">
        <v>25.309103446301204</v>
      </c>
      <c r="N177" s="4">
        <v>-2.6588062514923383</v>
      </c>
      <c r="O177" s="1" t="str">
        <f>HYPERLINK(".\sm_car_241122_0001\sm_car_241122_0001_176_Ca145TrN_MaTUR_ode3_1.png","figure")</f>
        <v>figure</v>
      </c>
      <c r="P177" t="s">
        <v>15</v>
      </c>
      <c r="S177" t="b">
        <f>B177='2024a_240930_0021'!B175</f>
        <v>1</v>
      </c>
      <c r="T177">
        <f>K177-'2024a_240930_0021'!K175</f>
        <v>2</v>
      </c>
      <c r="U177" s="5">
        <f>T177/'2024a_240930_0021'!K175</f>
        <v>8.4068936527952921E-4</v>
      </c>
      <c r="V177" s="4">
        <f>L177-'2024a_240930_0021'!L175</f>
        <v>-3.9611614999999993</v>
      </c>
      <c r="W177" s="5">
        <f>V177/'2024a_240930_0021'!L175</f>
        <v>-0.38006671918684809</v>
      </c>
    </row>
    <row r="178" spans="1:23" x14ac:dyDescent="0.25">
      <c r="A178">
        <v>177</v>
      </c>
      <c r="B178">
        <v>199</v>
      </c>
      <c r="C178" t="s">
        <v>46</v>
      </c>
      <c r="D178" t="s">
        <v>17</v>
      </c>
      <c r="E178" t="s">
        <v>110</v>
      </c>
      <c r="F178" t="s">
        <v>19</v>
      </c>
      <c r="G178" t="s">
        <v>26</v>
      </c>
      <c r="H178" t="s">
        <v>21</v>
      </c>
      <c r="I178" t="s">
        <v>22</v>
      </c>
      <c r="J178" t="s">
        <v>63</v>
      </c>
      <c r="K178">
        <v>2856</v>
      </c>
      <c r="L178" s="4">
        <v>8.4475023</v>
      </c>
      <c r="M178" s="4">
        <v>97.744752512585663</v>
      </c>
      <c r="N178" s="4">
        <v>-3.8468907469971905E-2</v>
      </c>
      <c r="O178" s="1" t="str">
        <f>HYPERLINK(".\sm_car_241122_0001\sm_car_241122_0001_177_Ca199TrN_MaWOT_ode3_1.png","figure")</f>
        <v>figure</v>
      </c>
      <c r="P178" t="s">
        <v>15</v>
      </c>
      <c r="S178" t="b">
        <f>B178='2024a_240930_0021'!B176</f>
        <v>1</v>
      </c>
      <c r="T178">
        <f>K178-'2024a_240930_0021'!K176</f>
        <v>-8</v>
      </c>
      <c r="U178" s="5">
        <f>T178/'2024a_240930_0021'!K176</f>
        <v>-2.7932960893854749E-3</v>
      </c>
      <c r="V178" s="4">
        <f>L178-'2024a_240930_0021'!L176</f>
        <v>-5.8032336999999998</v>
      </c>
      <c r="W178" s="5">
        <f>V178/'2024a_240930_0021'!L176</f>
        <v>-0.40722343744210826</v>
      </c>
    </row>
    <row r="179" spans="1:23" x14ac:dyDescent="0.25">
      <c r="A179">
        <v>178</v>
      </c>
      <c r="B179">
        <v>199</v>
      </c>
      <c r="C179" t="s">
        <v>46</v>
      </c>
      <c r="D179" t="s">
        <v>17</v>
      </c>
      <c r="E179" t="s">
        <v>110</v>
      </c>
      <c r="F179" t="s">
        <v>19</v>
      </c>
      <c r="G179" t="s">
        <v>26</v>
      </c>
      <c r="H179" t="s">
        <v>21</v>
      </c>
      <c r="I179" t="s">
        <v>24</v>
      </c>
      <c r="J179" t="s">
        <v>63</v>
      </c>
      <c r="K179">
        <v>2385</v>
      </c>
      <c r="L179" s="4">
        <v>7.0684708000000001</v>
      </c>
      <c r="M179" s="4">
        <v>26.057969541614582</v>
      </c>
      <c r="N179" s="4">
        <v>-5.1425861548131002E-2</v>
      </c>
      <c r="O179" s="1" t="str">
        <f>HYPERLINK(".\sm_car_241122_0001\sm_car_241122_0001_178_Ca199TrN_MaLSS_ode3_1.png","figure")</f>
        <v>figure</v>
      </c>
      <c r="P179" t="s">
        <v>15</v>
      </c>
      <c r="S179" t="b">
        <f>B179='2024a_240930_0021'!B177</f>
        <v>1</v>
      </c>
      <c r="T179">
        <f>K179-'2024a_240930_0021'!K177</f>
        <v>2</v>
      </c>
      <c r="U179" s="5">
        <f>T179/'2024a_240930_0021'!K177</f>
        <v>8.3927822073017204E-4</v>
      </c>
      <c r="V179" s="4">
        <f>L179-'2024a_240930_0021'!L177</f>
        <v>-4.8324212000000006</v>
      </c>
      <c r="W179" s="5">
        <f>V179/'2024a_240930_0021'!L177</f>
        <v>-0.40605537803384822</v>
      </c>
    </row>
    <row r="180" spans="1:23" x14ac:dyDescent="0.25">
      <c r="A180">
        <v>179</v>
      </c>
      <c r="B180">
        <v>199</v>
      </c>
      <c r="C180" t="s">
        <v>46</v>
      </c>
      <c r="D180" t="s">
        <v>17</v>
      </c>
      <c r="E180" t="s">
        <v>110</v>
      </c>
      <c r="F180" t="s">
        <v>19</v>
      </c>
      <c r="G180" t="s">
        <v>26</v>
      </c>
      <c r="H180" t="s">
        <v>21</v>
      </c>
      <c r="I180" t="s">
        <v>64</v>
      </c>
      <c r="J180" t="s">
        <v>63</v>
      </c>
      <c r="K180">
        <v>2382</v>
      </c>
      <c r="L180" s="4">
        <v>7.0863703999999998</v>
      </c>
      <c r="M180" s="4">
        <v>25.893738767688163</v>
      </c>
      <c r="N180" s="4">
        <v>-2.722473019331765</v>
      </c>
      <c r="O180" s="1" t="str">
        <f>HYPERLINK(".\sm_car_241122_0001\sm_car_241122_0001_179_Ca199TrN_MaTUR_ode3_1.png","figure")</f>
        <v>figure</v>
      </c>
      <c r="P180" t="s">
        <v>15</v>
      </c>
      <c r="S180" t="b">
        <f>B180='2024a_240930_0021'!B178</f>
        <v>1</v>
      </c>
      <c r="T180">
        <f>K180-'2024a_240930_0021'!K178</f>
        <v>2</v>
      </c>
      <c r="U180" s="5">
        <f>T180/'2024a_240930_0021'!K178</f>
        <v>8.4033613445378156E-4</v>
      </c>
      <c r="V180" s="4">
        <f>L180-'2024a_240930_0021'!L178</f>
        <v>-4.7637599999999996</v>
      </c>
      <c r="W180" s="5">
        <f>V180/'2024a_240930_0021'!L178</f>
        <v>-0.4020006395878985</v>
      </c>
    </row>
    <row r="181" spans="1:23" x14ac:dyDescent="0.25">
      <c r="A181">
        <v>180</v>
      </c>
      <c r="B181">
        <v>139</v>
      </c>
      <c r="C181" t="s">
        <v>45</v>
      </c>
      <c r="D181" t="s">
        <v>17</v>
      </c>
      <c r="E181" t="s">
        <v>18</v>
      </c>
      <c r="F181" t="s">
        <v>19</v>
      </c>
      <c r="G181" t="s">
        <v>26</v>
      </c>
      <c r="H181" t="s">
        <v>21</v>
      </c>
      <c r="I181" t="s">
        <v>53</v>
      </c>
      <c r="J181" t="s">
        <v>23</v>
      </c>
      <c r="K181">
        <v>536</v>
      </c>
      <c r="L181" s="4">
        <v>8.6186209999999992</v>
      </c>
      <c r="M181" s="4">
        <v>254.15107224011655</v>
      </c>
      <c r="N181" s="4">
        <v>-6.1800963668030562E-3</v>
      </c>
      <c r="O181" s="1" t="str">
        <f>HYPERLINK(".\sm_car_241122_0001\sm_car_241122_0001_180_Ca139TrN_MaDLC_ode23t_1.png","figure")</f>
        <v>figure</v>
      </c>
      <c r="P181" t="s">
        <v>15</v>
      </c>
      <c r="S181" t="b">
        <f>B181='2024a_240930_0021'!B179</f>
        <v>1</v>
      </c>
      <c r="T181">
        <f>K181-'2024a_240930_0021'!K179</f>
        <v>15</v>
      </c>
      <c r="U181" s="5">
        <f>T181/'2024a_240930_0021'!K179</f>
        <v>2.8790786948176585E-2</v>
      </c>
      <c r="V181" s="4">
        <f>L181-'2024a_240930_0021'!L179</f>
        <v>-4.9973014000000013</v>
      </c>
      <c r="W181" s="5">
        <f>V181/'2024a_240930_0021'!L179</f>
        <v>-0.36701893953214665</v>
      </c>
    </row>
    <row r="182" spans="1:23" x14ac:dyDescent="0.25">
      <c r="A182">
        <v>181</v>
      </c>
      <c r="B182">
        <v>139</v>
      </c>
      <c r="C182" t="s">
        <v>45</v>
      </c>
      <c r="D182" t="s">
        <v>17</v>
      </c>
      <c r="E182" t="s">
        <v>18</v>
      </c>
      <c r="F182" t="s">
        <v>19</v>
      </c>
      <c r="G182" t="s">
        <v>26</v>
      </c>
      <c r="H182" t="s">
        <v>65</v>
      </c>
      <c r="I182" t="s">
        <v>53</v>
      </c>
      <c r="J182" t="s">
        <v>23</v>
      </c>
      <c r="K182">
        <v>823</v>
      </c>
      <c r="L182" s="4">
        <v>24.961762700000001</v>
      </c>
      <c r="M182" s="4">
        <v>253.21273505053369</v>
      </c>
      <c r="N182" s="4">
        <v>0.19652697801015773</v>
      </c>
      <c r="O182" s="1" t="str">
        <f>HYPERLINK(".\sm_car_241122_0001\sm_car_241122_0001_181_Ca139TrE_MaDLC_ode23t_1.png","figure")</f>
        <v>figure</v>
      </c>
      <c r="P182" t="s">
        <v>15</v>
      </c>
      <c r="S182" t="b">
        <f>B182='2024a_240930_0021'!B180</f>
        <v>1</v>
      </c>
      <c r="T182">
        <f>K182-'2024a_240930_0021'!K180</f>
        <v>85</v>
      </c>
      <c r="U182" s="5">
        <f>T182/'2024a_240930_0021'!K180</f>
        <v>0.11517615176151762</v>
      </c>
      <c r="V182" s="4">
        <f>L182-'2024a_240930_0021'!L180</f>
        <v>-15.709238899999995</v>
      </c>
      <c r="W182" s="5">
        <f>V182/'2024a_240930_0021'!L180</f>
        <v>-0.38625158668332371</v>
      </c>
    </row>
    <row r="183" spans="1:23" x14ac:dyDescent="0.25">
      <c r="A183">
        <v>182</v>
      </c>
      <c r="B183">
        <v>139</v>
      </c>
      <c r="C183" t="s">
        <v>45</v>
      </c>
      <c r="D183" t="s">
        <v>17</v>
      </c>
      <c r="E183" t="s">
        <v>18</v>
      </c>
      <c r="F183" t="s">
        <v>19</v>
      </c>
      <c r="G183" t="s">
        <v>26</v>
      </c>
      <c r="H183" t="s">
        <v>66</v>
      </c>
      <c r="I183" t="s">
        <v>53</v>
      </c>
      <c r="J183" t="s">
        <v>23</v>
      </c>
      <c r="K183">
        <v>939</v>
      </c>
      <c r="L183" s="4">
        <v>30.216259099999998</v>
      </c>
      <c r="M183" s="4">
        <v>254.08137950294565</v>
      </c>
      <c r="N183" s="4">
        <v>-6.1774804026315522E-3</v>
      </c>
      <c r="O183" s="1" t="str">
        <f>HYPERLINK(".\sm_car_241122_0001\sm_car_241122_0001_182_Ca139TrT_MaDLC_ode23t_1.png","figure")</f>
        <v>figure</v>
      </c>
      <c r="P183" t="s">
        <v>15</v>
      </c>
      <c r="S183" t="b">
        <f>B183='2024a_240930_0021'!B181</f>
        <v>1</v>
      </c>
      <c r="T183">
        <f>K183-'2024a_240930_0021'!K181</f>
        <v>45</v>
      </c>
      <c r="U183" s="5">
        <f>T183/'2024a_240930_0021'!K181</f>
        <v>5.0335570469798654E-2</v>
      </c>
      <c r="V183" s="4">
        <f>L183-'2024a_240930_0021'!L181</f>
        <v>-16.291839400000004</v>
      </c>
      <c r="W183" s="5">
        <f>V183/'2024a_240930_0021'!L181</f>
        <v>-0.35030112873782626</v>
      </c>
    </row>
    <row r="184" spans="1:23" x14ac:dyDescent="0.25">
      <c r="A184">
        <v>183</v>
      </c>
      <c r="B184">
        <v>139</v>
      </c>
      <c r="C184" t="s">
        <v>45</v>
      </c>
      <c r="D184" t="s">
        <v>17</v>
      </c>
      <c r="E184" t="s">
        <v>18</v>
      </c>
      <c r="F184" t="s">
        <v>19</v>
      </c>
      <c r="G184" t="s">
        <v>26</v>
      </c>
      <c r="H184" t="s">
        <v>65</v>
      </c>
      <c r="I184" t="s">
        <v>53</v>
      </c>
      <c r="J184" t="s">
        <v>23</v>
      </c>
      <c r="K184">
        <v>793</v>
      </c>
      <c r="L184" s="4">
        <v>18.5649552</v>
      </c>
      <c r="M184" s="4">
        <v>253.32115804195081</v>
      </c>
      <c r="N184" s="4">
        <v>1.3089845274762091E-2</v>
      </c>
      <c r="O184" s="1" t="str">
        <f>HYPERLINK(".\sm_car_241122_0001\sm_car_241122_0001_183_Ca139TrE_MaDLC_ode23t_1.png","figure")</f>
        <v>figure</v>
      </c>
      <c r="P184" t="s">
        <v>15</v>
      </c>
      <c r="S184" t="b">
        <f>B184='2024a_240930_0021'!B182</f>
        <v>1</v>
      </c>
      <c r="T184">
        <f>K184-'2024a_240930_0021'!K182</f>
        <v>19</v>
      </c>
      <c r="U184" s="5">
        <f>T184/'2024a_240930_0021'!K182</f>
        <v>2.454780361757106E-2</v>
      </c>
      <c r="V184" s="4">
        <f>L184-'2024a_240930_0021'!L182</f>
        <v>-12.193662100000001</v>
      </c>
      <c r="W184" s="5">
        <f>V184/'2024a_240930_0021'!L182</f>
        <v>-0.39643076218513895</v>
      </c>
    </row>
    <row r="185" spans="1:23" x14ac:dyDescent="0.25">
      <c r="A185">
        <v>184</v>
      </c>
      <c r="B185">
        <v>2</v>
      </c>
      <c r="C185" t="s">
        <v>16</v>
      </c>
      <c r="D185" t="s">
        <v>17</v>
      </c>
      <c r="E185" t="s">
        <v>18</v>
      </c>
      <c r="F185" t="s">
        <v>19</v>
      </c>
      <c r="G185" t="s">
        <v>26</v>
      </c>
      <c r="H185" t="s">
        <v>21</v>
      </c>
      <c r="I185" t="s">
        <v>53</v>
      </c>
      <c r="J185" t="s">
        <v>23</v>
      </c>
      <c r="K185">
        <v>627</v>
      </c>
      <c r="L185" s="4">
        <v>8.8182437999999994</v>
      </c>
      <c r="M185" s="4">
        <v>254.50780383282756</v>
      </c>
      <c r="N185" s="4">
        <v>3.0848752504368804E-3</v>
      </c>
      <c r="O185" s="1" t="str">
        <f>HYPERLINK(".\sm_car_241122_0001\sm_car_241122_0001_184_Ca002TrN_MaDLC_ode23t_1.png","figure")</f>
        <v>figure</v>
      </c>
      <c r="P185" t="s">
        <v>15</v>
      </c>
      <c r="S185" t="b">
        <f>B185='2024a_240930_0021'!B183</f>
        <v>1</v>
      </c>
      <c r="T185">
        <f>K185-'2024a_240930_0021'!K183</f>
        <v>12</v>
      </c>
      <c r="U185" s="5">
        <f>T185/'2024a_240930_0021'!K183</f>
        <v>1.9512195121951219E-2</v>
      </c>
      <c r="V185" s="4">
        <f>L185-'2024a_240930_0021'!L183</f>
        <v>-6.3546691000000006</v>
      </c>
      <c r="W185" s="5">
        <f>V185/'2024a_240930_0021'!L183</f>
        <v>-0.41881668614864326</v>
      </c>
    </row>
    <row r="186" spans="1:23" x14ac:dyDescent="0.25">
      <c r="A186">
        <v>185</v>
      </c>
      <c r="B186">
        <v>2</v>
      </c>
      <c r="C186" t="s">
        <v>16</v>
      </c>
      <c r="D186" t="s">
        <v>17</v>
      </c>
      <c r="E186" t="s">
        <v>18</v>
      </c>
      <c r="F186" t="s">
        <v>19</v>
      </c>
      <c r="G186" t="s">
        <v>26</v>
      </c>
      <c r="H186" t="s">
        <v>65</v>
      </c>
      <c r="I186" t="s">
        <v>53</v>
      </c>
      <c r="J186" t="s">
        <v>23</v>
      </c>
      <c r="K186">
        <v>785</v>
      </c>
      <c r="L186" s="4">
        <v>20.750372800000001</v>
      </c>
      <c r="M186" s="4">
        <v>253.4888415597494</v>
      </c>
      <c r="N186" s="4">
        <v>3.6095990834645875E-3</v>
      </c>
      <c r="O186" s="1" t="str">
        <f>HYPERLINK(".\sm_car_241122_0001\sm_car_241122_0001_185_Ca002TrE_MaDLC_ode23t_1.png","figure")</f>
        <v>figure</v>
      </c>
      <c r="P186" t="s">
        <v>15</v>
      </c>
      <c r="S186" t="b">
        <f>B186='2024a_240930_0021'!B184</f>
        <v>1</v>
      </c>
      <c r="T186">
        <f>K186-'2024a_240930_0021'!K184</f>
        <v>13</v>
      </c>
      <c r="U186" s="5">
        <f>T186/'2024a_240930_0021'!K184</f>
        <v>1.683937823834197E-2</v>
      </c>
      <c r="V186" s="4">
        <f>L186-'2024a_240930_0021'!L184</f>
        <v>-15.620129399999996</v>
      </c>
      <c r="W186" s="5">
        <f>V186/'2024a_240930_0021'!L184</f>
        <v>-0.42947246958828073</v>
      </c>
    </row>
    <row r="187" spans="1:23" x14ac:dyDescent="0.25">
      <c r="A187">
        <v>186</v>
      </c>
      <c r="B187">
        <v>2</v>
      </c>
      <c r="C187" t="s">
        <v>16</v>
      </c>
      <c r="D187" t="s">
        <v>17</v>
      </c>
      <c r="E187" t="s">
        <v>18</v>
      </c>
      <c r="F187" t="s">
        <v>19</v>
      </c>
      <c r="G187" t="s">
        <v>26</v>
      </c>
      <c r="H187" t="s">
        <v>66</v>
      </c>
      <c r="I187" t="s">
        <v>53</v>
      </c>
      <c r="J187" t="s">
        <v>23</v>
      </c>
      <c r="K187">
        <v>926</v>
      </c>
      <c r="L187" s="4">
        <v>24.003943700000001</v>
      </c>
      <c r="M187" s="4">
        <v>254.51915112029047</v>
      </c>
      <c r="N187" s="4">
        <v>3.0894993267969184E-3</v>
      </c>
      <c r="O187" s="1" t="str">
        <f>HYPERLINK(".\sm_car_241122_0001\sm_car_241122_0001_186_Ca002TrT_MaDLC_ode23t_1.png","figure")</f>
        <v>figure</v>
      </c>
      <c r="P187" t="s">
        <v>15</v>
      </c>
      <c r="S187" t="b">
        <f>B187='2024a_240930_0021'!B185</f>
        <v>1</v>
      </c>
      <c r="T187">
        <f>K187-'2024a_240930_0021'!K185</f>
        <v>-140</v>
      </c>
      <c r="U187" s="5">
        <f>T187/'2024a_240930_0021'!K185</f>
        <v>-0.13133208255159476</v>
      </c>
      <c r="V187" s="4">
        <f>L187-'2024a_240930_0021'!L185</f>
        <v>-43.196325600000002</v>
      </c>
      <c r="W187" s="5">
        <f>V187/'2024a_240930_0021'!L185</f>
        <v>-0.64279988830342383</v>
      </c>
    </row>
    <row r="188" spans="1:23" x14ac:dyDescent="0.25">
      <c r="A188">
        <v>187</v>
      </c>
      <c r="B188">
        <v>2</v>
      </c>
      <c r="C188" t="s">
        <v>16</v>
      </c>
      <c r="D188" t="s">
        <v>17</v>
      </c>
      <c r="E188" t="s">
        <v>18</v>
      </c>
      <c r="F188" t="s">
        <v>19</v>
      </c>
      <c r="G188" t="s">
        <v>26</v>
      </c>
      <c r="H188" t="s">
        <v>65</v>
      </c>
      <c r="I188" t="s">
        <v>53</v>
      </c>
      <c r="J188" t="s">
        <v>23</v>
      </c>
      <c r="K188">
        <v>794</v>
      </c>
      <c r="L188" s="4">
        <v>15.3108608</v>
      </c>
      <c r="M188" s="4">
        <v>253.84210387290921</v>
      </c>
      <c r="N188" s="4">
        <v>3.4277649309206737E-3</v>
      </c>
      <c r="O188" s="1" t="str">
        <f>HYPERLINK(".\sm_car_241122_0001\sm_car_241122_0001_187_Ca002TrE_MaDLC_ode23t_1.png","figure")</f>
        <v>figure</v>
      </c>
      <c r="P188" t="s">
        <v>15</v>
      </c>
      <c r="S188" t="b">
        <f>B188='2024a_240930_0021'!B186</f>
        <v>1</v>
      </c>
      <c r="T188">
        <f>K188-'2024a_240930_0021'!K186</f>
        <v>10</v>
      </c>
      <c r="U188" s="5">
        <f>T188/'2024a_240930_0021'!K186</f>
        <v>1.2755102040816327E-2</v>
      </c>
      <c r="V188" s="4">
        <f>L188-'2024a_240930_0021'!L186</f>
        <v>-13.438992899999999</v>
      </c>
      <c r="W188" s="5">
        <f>V188/'2024a_240930_0021'!L186</f>
        <v>-0.467445609992791</v>
      </c>
    </row>
    <row r="189" spans="1:23" x14ac:dyDescent="0.25">
      <c r="A189">
        <v>188</v>
      </c>
      <c r="B189">
        <v>145</v>
      </c>
      <c r="C189" t="s">
        <v>46</v>
      </c>
      <c r="D189" t="s">
        <v>17</v>
      </c>
      <c r="E189" t="s">
        <v>50</v>
      </c>
      <c r="F189" t="s">
        <v>19</v>
      </c>
      <c r="G189" t="s">
        <v>26</v>
      </c>
      <c r="H189" t="s">
        <v>21</v>
      </c>
      <c r="I189" t="s">
        <v>53</v>
      </c>
      <c r="J189" t="s">
        <v>23</v>
      </c>
      <c r="K189">
        <v>485</v>
      </c>
      <c r="L189" s="4">
        <v>16.968837300000001</v>
      </c>
      <c r="M189" s="4">
        <v>255.4718801298921</v>
      </c>
      <c r="N189" s="4">
        <v>4.064234857288529E-2</v>
      </c>
      <c r="O189" s="1" t="str">
        <f>HYPERLINK(".\sm_car_241122_0001\sm_car_241122_0001_188_Ca145TrN_MaDLC_ode23t_1.png","figure")</f>
        <v>figure</v>
      </c>
      <c r="P189" t="s">
        <v>15</v>
      </c>
      <c r="S189" t="b">
        <f>B189='2024a_240930_0021'!B187</f>
        <v>1</v>
      </c>
      <c r="T189">
        <f>K189-'2024a_240930_0021'!K187</f>
        <v>14</v>
      </c>
      <c r="U189" s="5">
        <f>T189/'2024a_240930_0021'!K187</f>
        <v>2.9723991507430998E-2</v>
      </c>
      <c r="V189" s="4">
        <f>L189-'2024a_240930_0021'!L187</f>
        <v>-12.6803092</v>
      </c>
      <c r="W189" s="5">
        <f>V189/'2024a_240930_0021'!L187</f>
        <v>-0.42767872592892342</v>
      </c>
    </row>
    <row r="190" spans="1:23" x14ac:dyDescent="0.25">
      <c r="A190">
        <v>189</v>
      </c>
      <c r="B190">
        <v>145</v>
      </c>
      <c r="C190" t="s">
        <v>46</v>
      </c>
      <c r="D190" t="s">
        <v>17</v>
      </c>
      <c r="E190" t="s">
        <v>50</v>
      </c>
      <c r="F190" t="s">
        <v>19</v>
      </c>
      <c r="G190" t="s">
        <v>26</v>
      </c>
      <c r="H190" t="s">
        <v>65</v>
      </c>
      <c r="I190" t="s">
        <v>53</v>
      </c>
      <c r="J190" t="s">
        <v>23</v>
      </c>
      <c r="K190">
        <v>562</v>
      </c>
      <c r="L190" s="4">
        <v>31.347300000000001</v>
      </c>
      <c r="M190" s="4">
        <v>254.25585390380229</v>
      </c>
      <c r="N190" s="4">
        <v>4.5787021927222504E-2</v>
      </c>
      <c r="O190" s="1" t="str">
        <f>HYPERLINK(".\sm_car_241122_0001\sm_car_241122_0001_189_Ca145TrE_MaDLC_ode23t_1.png","figure")</f>
        <v>figure</v>
      </c>
      <c r="P190" t="s">
        <v>15</v>
      </c>
      <c r="S190" t="b">
        <f>B190='2024a_240930_0021'!B188</f>
        <v>1</v>
      </c>
      <c r="T190">
        <f>K190-'2024a_240930_0021'!K188</f>
        <v>10</v>
      </c>
      <c r="U190" s="5">
        <f>T190/'2024a_240930_0021'!K188</f>
        <v>1.8115942028985508E-2</v>
      </c>
      <c r="V190" s="4">
        <f>L190-'2024a_240930_0021'!L188</f>
        <v>-21.693320599999996</v>
      </c>
      <c r="W190" s="5">
        <f>V190/'2024a_240930_0021'!L188</f>
        <v>-0.40899447168233166</v>
      </c>
    </row>
    <row r="191" spans="1:23" x14ac:dyDescent="0.25">
      <c r="A191">
        <v>190</v>
      </c>
      <c r="B191">
        <v>145</v>
      </c>
      <c r="C191" t="s">
        <v>46</v>
      </c>
      <c r="D191" t="s">
        <v>17</v>
      </c>
      <c r="E191" t="s">
        <v>50</v>
      </c>
      <c r="F191" t="s">
        <v>19</v>
      </c>
      <c r="G191" t="s">
        <v>26</v>
      </c>
      <c r="H191" t="s">
        <v>66</v>
      </c>
      <c r="I191" t="s">
        <v>53</v>
      </c>
      <c r="J191" t="s">
        <v>23</v>
      </c>
      <c r="K191">
        <v>594</v>
      </c>
      <c r="L191" s="4">
        <v>32.460233899999999</v>
      </c>
      <c r="M191" s="4">
        <v>255.11733228707004</v>
      </c>
      <c r="N191" s="4">
        <v>4.239603527976854E-2</v>
      </c>
      <c r="O191" s="1" t="str">
        <f>HYPERLINK(".\sm_car_241122_0001\sm_car_241122_0001_190_Ca145TrT_MaDLC_ode23t_1.png","figure")</f>
        <v>figure</v>
      </c>
      <c r="P191" t="s">
        <v>15</v>
      </c>
      <c r="S191" t="b">
        <f>B191='2024a_240930_0021'!B189</f>
        <v>1</v>
      </c>
      <c r="T191">
        <f>K191-'2024a_240930_0021'!K189</f>
        <v>-160</v>
      </c>
      <c r="U191" s="5">
        <f>T191/'2024a_240930_0021'!K189</f>
        <v>-0.21220159151193635</v>
      </c>
      <c r="V191" s="4">
        <f>L191-'2024a_240930_0021'!L189</f>
        <v>-51.7100127</v>
      </c>
      <c r="W191" s="5">
        <f>V191/'2024a_240930_0021'!L189</f>
        <v>-0.61435025782614261</v>
      </c>
    </row>
    <row r="192" spans="1:23" x14ac:dyDescent="0.25">
      <c r="A192">
        <v>191</v>
      </c>
      <c r="B192">
        <v>145</v>
      </c>
      <c r="C192" t="s">
        <v>46</v>
      </c>
      <c r="D192" t="s">
        <v>17</v>
      </c>
      <c r="E192" t="s">
        <v>50</v>
      </c>
      <c r="F192" t="s">
        <v>19</v>
      </c>
      <c r="G192" t="s">
        <v>26</v>
      </c>
      <c r="H192" t="s">
        <v>65</v>
      </c>
      <c r="I192" t="s">
        <v>53</v>
      </c>
      <c r="J192" t="s">
        <v>23</v>
      </c>
      <c r="K192">
        <v>560</v>
      </c>
      <c r="L192" s="4">
        <v>24.955336599999999</v>
      </c>
      <c r="M192" s="4">
        <v>254.25489230028808</v>
      </c>
      <c r="N192" s="4">
        <v>4.5763211301045104E-2</v>
      </c>
      <c r="O192" s="1" t="str">
        <f>HYPERLINK(".\sm_car_241122_0001\sm_car_241122_0001_191_Ca145TrE_MaDLC_ode23t_1.png","figure")</f>
        <v>figure</v>
      </c>
      <c r="P192" t="s">
        <v>15</v>
      </c>
      <c r="S192" t="b">
        <f>B192='2024a_240930_0021'!B190</f>
        <v>1</v>
      </c>
      <c r="T192">
        <f>K192-'2024a_240930_0021'!K190</f>
        <v>7</v>
      </c>
      <c r="U192" s="5">
        <f>T192/'2024a_240930_0021'!K190</f>
        <v>1.2658227848101266E-2</v>
      </c>
      <c r="V192" s="4">
        <f>L192-'2024a_240930_0021'!L190</f>
        <v>-16.745775300000002</v>
      </c>
      <c r="W192" s="5">
        <f>V192/'2024a_240930_0021'!L190</f>
        <v>-0.40156663784305474</v>
      </c>
    </row>
    <row r="193" spans="1:23" x14ac:dyDescent="0.25">
      <c r="A193">
        <v>192</v>
      </c>
      <c r="B193">
        <v>199</v>
      </c>
      <c r="C193" t="s">
        <v>46</v>
      </c>
      <c r="D193" t="s">
        <v>17</v>
      </c>
      <c r="E193" t="s">
        <v>110</v>
      </c>
      <c r="F193" t="s">
        <v>19</v>
      </c>
      <c r="G193" t="s">
        <v>26</v>
      </c>
      <c r="H193" t="s">
        <v>21</v>
      </c>
      <c r="I193" t="s">
        <v>53</v>
      </c>
      <c r="J193" t="s">
        <v>23</v>
      </c>
      <c r="K193">
        <v>480</v>
      </c>
      <c r="L193" s="4">
        <v>6.5991527999999997</v>
      </c>
      <c r="M193" s="4">
        <v>254.1916533243143</v>
      </c>
      <c r="N193" s="4">
        <v>4.552426993131764E-2</v>
      </c>
      <c r="O193" s="1" t="str">
        <f>HYPERLINK(".\sm_car_241122_0001\sm_car_241122_0001_192_Ca199TrN_MaDLC_ode23t_1.png","figure")</f>
        <v>figure</v>
      </c>
      <c r="P193" t="s">
        <v>15</v>
      </c>
      <c r="S193" t="b">
        <f>B193='2024a_240930_0021'!B191</f>
        <v>1</v>
      </c>
      <c r="T193">
        <f>K193-'2024a_240930_0021'!K191</f>
        <v>8</v>
      </c>
      <c r="U193" s="5">
        <f>T193/'2024a_240930_0021'!K191</f>
        <v>1.6949152542372881E-2</v>
      </c>
      <c r="V193" s="4">
        <f>L193-'2024a_240930_0021'!L191</f>
        <v>-5.1638311999999997</v>
      </c>
      <c r="W193" s="5">
        <f>V193/'2024a_240930_0021'!L191</f>
        <v>-0.43898990256213899</v>
      </c>
    </row>
    <row r="194" spans="1:23" x14ac:dyDescent="0.25">
      <c r="A194">
        <v>193</v>
      </c>
      <c r="B194">
        <v>199</v>
      </c>
      <c r="C194" t="s">
        <v>46</v>
      </c>
      <c r="D194" t="s">
        <v>17</v>
      </c>
      <c r="E194" t="s">
        <v>110</v>
      </c>
      <c r="F194" t="s">
        <v>19</v>
      </c>
      <c r="G194" t="s">
        <v>26</v>
      </c>
      <c r="H194" t="s">
        <v>65</v>
      </c>
      <c r="I194" t="s">
        <v>53</v>
      </c>
      <c r="J194" t="s">
        <v>23</v>
      </c>
      <c r="K194">
        <v>564</v>
      </c>
      <c r="L194" s="4">
        <v>16.476399900000001</v>
      </c>
      <c r="M194" s="4">
        <v>253.43703710839924</v>
      </c>
      <c r="N194" s="4">
        <v>4.8920914220374812E-2</v>
      </c>
      <c r="O194" s="1" t="str">
        <f>HYPERLINK(".\sm_car_241122_0001\sm_car_241122_0001_193_Ca199TrE_MaDLC_ode23t_1.png","figure")</f>
        <v>figure</v>
      </c>
      <c r="P194" t="s">
        <v>15</v>
      </c>
      <c r="S194" t="b">
        <f>B194='2024a_240930_0021'!B192</f>
        <v>1</v>
      </c>
      <c r="T194">
        <f>K194-'2024a_240930_0021'!K192</f>
        <v>6</v>
      </c>
      <c r="U194" s="5">
        <f>T194/'2024a_240930_0021'!K192</f>
        <v>1.0752688172043012E-2</v>
      </c>
      <c r="V194" s="4">
        <f>L194-'2024a_240930_0021'!L192</f>
        <v>-12.846925899999999</v>
      </c>
      <c r="W194" s="5">
        <f>V194/'2024a_240930_0021'!L192</f>
        <v>-0.43811285212402473</v>
      </c>
    </row>
    <row r="195" spans="1:23" x14ac:dyDescent="0.25">
      <c r="A195">
        <v>194</v>
      </c>
      <c r="B195">
        <v>199</v>
      </c>
      <c r="C195" t="s">
        <v>46</v>
      </c>
      <c r="D195" t="s">
        <v>17</v>
      </c>
      <c r="E195" t="s">
        <v>110</v>
      </c>
      <c r="F195" t="s">
        <v>19</v>
      </c>
      <c r="G195" t="s">
        <v>26</v>
      </c>
      <c r="H195" t="s">
        <v>66</v>
      </c>
      <c r="I195" t="s">
        <v>53</v>
      </c>
      <c r="J195" t="s">
        <v>23</v>
      </c>
      <c r="K195">
        <v>669</v>
      </c>
      <c r="L195" s="4">
        <v>17.8756086</v>
      </c>
      <c r="M195" s="4">
        <v>255.11581728598236</v>
      </c>
      <c r="N195" s="4">
        <v>4.2455910642882344E-2</v>
      </c>
      <c r="O195" s="1" t="str">
        <f>HYPERLINK(".\sm_car_241122_0001\sm_car_241122_0001_194_Ca199TrT_MaDLC_ode23t_1.png","figure")</f>
        <v>figure</v>
      </c>
      <c r="P195" t="s">
        <v>15</v>
      </c>
      <c r="S195" t="b">
        <f>B195='2024a_240930_0021'!B193</f>
        <v>1</v>
      </c>
      <c r="T195">
        <f>K195-'2024a_240930_0021'!K193</f>
        <v>-22</v>
      </c>
      <c r="U195" s="5">
        <f>T195/'2024a_240930_0021'!K193</f>
        <v>-3.1837916063675829E-2</v>
      </c>
      <c r="V195" s="4">
        <f>L195-'2024a_240930_0021'!L193</f>
        <v>-15.308167300000001</v>
      </c>
      <c r="W195" s="5">
        <f>V195/'2024a_240930_0021'!L193</f>
        <v>-0.4613148107717302</v>
      </c>
    </row>
    <row r="196" spans="1:23" x14ac:dyDescent="0.25">
      <c r="A196">
        <v>195</v>
      </c>
      <c r="B196">
        <v>199</v>
      </c>
      <c r="C196" t="s">
        <v>46</v>
      </c>
      <c r="D196" t="s">
        <v>17</v>
      </c>
      <c r="E196" t="s">
        <v>110</v>
      </c>
      <c r="F196" t="s">
        <v>19</v>
      </c>
      <c r="G196" t="s">
        <v>26</v>
      </c>
      <c r="H196" t="s">
        <v>65</v>
      </c>
      <c r="I196" t="s">
        <v>53</v>
      </c>
      <c r="J196" t="s">
        <v>23</v>
      </c>
      <c r="K196">
        <v>563</v>
      </c>
      <c r="L196" s="4">
        <v>11.7432143</v>
      </c>
      <c r="M196" s="4">
        <v>254.00637713320737</v>
      </c>
      <c r="N196" s="4">
        <v>4.6713873477425949E-2</v>
      </c>
      <c r="O196" s="1" t="str">
        <f>HYPERLINK(".\sm_car_241122_0001\sm_car_241122_0001_195_Ca199TrE_MaDLC_ode23t_1.png","figure")</f>
        <v>figure</v>
      </c>
      <c r="P196" t="s">
        <v>15</v>
      </c>
      <c r="S196" t="b">
        <f>B196='2024a_240930_0021'!B194</f>
        <v>1</v>
      </c>
      <c r="T196">
        <f>K196-'2024a_240930_0021'!K194</f>
        <v>4</v>
      </c>
      <c r="U196" s="5">
        <f>T196/'2024a_240930_0021'!K194</f>
        <v>7.1556350626118068E-3</v>
      </c>
      <c r="V196" s="4">
        <f>L196-'2024a_240930_0021'!L194</f>
        <v>-9.2438379000000008</v>
      </c>
      <c r="W196" s="5">
        <f>V196/'2024a_240930_0021'!L194</f>
        <v>-0.44045432450013161</v>
      </c>
    </row>
    <row r="197" spans="1:23" x14ac:dyDescent="0.25">
      <c r="A197">
        <v>196</v>
      </c>
      <c r="B197">
        <v>139</v>
      </c>
      <c r="C197" t="s">
        <v>45</v>
      </c>
      <c r="D197" t="s">
        <v>17</v>
      </c>
      <c r="E197" t="s">
        <v>18</v>
      </c>
      <c r="F197" t="s">
        <v>19</v>
      </c>
      <c r="G197" t="s">
        <v>26</v>
      </c>
      <c r="H197" t="s">
        <v>65</v>
      </c>
      <c r="I197" t="s">
        <v>67</v>
      </c>
      <c r="J197" t="s">
        <v>23</v>
      </c>
      <c r="K197">
        <v>438</v>
      </c>
      <c r="L197" s="4">
        <v>11.4001325</v>
      </c>
      <c r="M197" s="4">
        <v>261.07884178269632</v>
      </c>
      <c r="N197" s="4">
        <v>2.5013632690028285</v>
      </c>
      <c r="O197" s="1" t="str">
        <f>HYPERLINK(".\sm_car_241122_0001\sm_car_241122_0001_196_Ca139TrE_MaTRD_ode23t_1.png","figure")</f>
        <v>figure</v>
      </c>
      <c r="P197" t="s">
        <v>15</v>
      </c>
      <c r="S197" t="b">
        <f>B197='2024a_240930_0021'!B195</f>
        <v>1</v>
      </c>
      <c r="T197">
        <f>K197-'2024a_240930_0021'!K195</f>
        <v>10</v>
      </c>
      <c r="U197" s="5">
        <f>T197/'2024a_240930_0021'!K195</f>
        <v>2.336448598130841E-2</v>
      </c>
      <c r="V197" s="4">
        <f>L197-'2024a_240930_0021'!L195</f>
        <v>-6.8464629000000006</v>
      </c>
      <c r="W197" s="5">
        <f>V197/'2024a_240930_0021'!L195</f>
        <v>-0.37521865037901814</v>
      </c>
    </row>
    <row r="198" spans="1:23" x14ac:dyDescent="0.25">
      <c r="A198">
        <v>197</v>
      </c>
      <c r="B198">
        <v>139</v>
      </c>
      <c r="C198" t="s">
        <v>45</v>
      </c>
      <c r="D198" t="s">
        <v>17</v>
      </c>
      <c r="E198" t="s">
        <v>18</v>
      </c>
      <c r="F198" t="s">
        <v>19</v>
      </c>
      <c r="G198" t="s">
        <v>26</v>
      </c>
      <c r="H198" t="s">
        <v>65</v>
      </c>
      <c r="I198" t="s">
        <v>67</v>
      </c>
      <c r="J198" t="s">
        <v>23</v>
      </c>
      <c r="K198">
        <v>503</v>
      </c>
      <c r="L198" s="4">
        <v>11.802356</v>
      </c>
      <c r="M198" s="4">
        <v>261.06280369677347</v>
      </c>
      <c r="N198" s="4">
        <v>2.5014280051156388</v>
      </c>
      <c r="O198" s="1" t="str">
        <f>HYPERLINK(".\sm_car_241122_0001\sm_car_241122_0001_197_Ca139TrU_MaTRD_ode23t_1.png","figure")</f>
        <v>figure</v>
      </c>
      <c r="P198" t="s">
        <v>15</v>
      </c>
      <c r="S198" t="b">
        <f>B198='2024a_240930_0021'!B196</f>
        <v>1</v>
      </c>
      <c r="T198">
        <f>K198-'2024a_240930_0021'!K196</f>
        <v>19</v>
      </c>
      <c r="U198" s="5">
        <f>T198/'2024a_240930_0021'!K196</f>
        <v>3.9256198347107439E-2</v>
      </c>
      <c r="V198" s="4">
        <f>L198-'2024a_240930_0021'!L196</f>
        <v>-6.0345364000000004</v>
      </c>
      <c r="W198" s="5">
        <f>V198/'2024a_240930_0021'!L196</f>
        <v>-0.33831769933197559</v>
      </c>
    </row>
    <row r="199" spans="1:23" x14ac:dyDescent="0.25">
      <c r="A199">
        <v>198</v>
      </c>
      <c r="B199">
        <v>149</v>
      </c>
      <c r="C199" t="s">
        <v>46</v>
      </c>
      <c r="D199" t="s">
        <v>17</v>
      </c>
      <c r="E199" t="s">
        <v>68</v>
      </c>
      <c r="F199" t="s">
        <v>19</v>
      </c>
      <c r="G199" t="s">
        <v>26</v>
      </c>
      <c r="H199" t="s">
        <v>21</v>
      </c>
      <c r="I199" t="s">
        <v>69</v>
      </c>
      <c r="J199" t="s">
        <v>23</v>
      </c>
      <c r="K199">
        <v>1272</v>
      </c>
      <c r="L199" s="4">
        <v>13.101229200000001</v>
      </c>
      <c r="M199" s="4">
        <v>-5.2145709528963234E-3</v>
      </c>
      <c r="N199" s="4">
        <v>-5.468721751292065E-4</v>
      </c>
      <c r="O199" s="1" t="str">
        <f>HYPERLINK(".\sm_car_241122_0001\sm_car_241122_0001_198_Ca149TrN_MaPST_ode23t_1.png","figure")</f>
        <v>figure</v>
      </c>
      <c r="P199" t="s">
        <v>15</v>
      </c>
      <c r="S199" t="b">
        <f>B199='2024a_240930_0021'!B197</f>
        <v>1</v>
      </c>
      <c r="T199">
        <f>K199-'2024a_240930_0021'!K197</f>
        <v>37</v>
      </c>
      <c r="U199" s="5">
        <f>T199/'2024a_240930_0021'!K197</f>
        <v>2.9959514170040485E-2</v>
      </c>
      <c r="V199" s="4">
        <f>L199-'2024a_240930_0021'!L197</f>
        <v>-5.6097395999999993</v>
      </c>
      <c r="W199" s="5">
        <f>V199/'2024a_240930_0021'!L197</f>
        <v>-0.2998102161337578</v>
      </c>
    </row>
    <row r="200" spans="1:23" x14ac:dyDescent="0.25">
      <c r="A200">
        <v>199</v>
      </c>
      <c r="B200">
        <v>139</v>
      </c>
      <c r="C200" t="s">
        <v>45</v>
      </c>
      <c r="D200" t="s">
        <v>17</v>
      </c>
      <c r="E200" t="s">
        <v>18</v>
      </c>
      <c r="F200" t="s">
        <v>19</v>
      </c>
      <c r="G200" t="s">
        <v>26</v>
      </c>
      <c r="H200" t="s">
        <v>21</v>
      </c>
      <c r="I200" t="s">
        <v>70</v>
      </c>
      <c r="J200" t="s">
        <v>23</v>
      </c>
      <c r="K200">
        <v>1593</v>
      </c>
      <c r="L200" s="4">
        <v>36.190196899999997</v>
      </c>
      <c r="M200" s="4">
        <v>36.435660188890701</v>
      </c>
      <c r="N200" s="4">
        <v>0.3483527485268087</v>
      </c>
      <c r="O200" s="1" t="str">
        <f>HYPERLINK(".\sm_car_241122_0001\sm_car_241122_0001_199_Ca139TrN_MaSKD_ode23t_1.png","figure")</f>
        <v>figure</v>
      </c>
      <c r="P200" t="s">
        <v>15</v>
      </c>
      <c r="S200" t="b">
        <f>B200='2024a_240930_0021'!B198</f>
        <v>1</v>
      </c>
      <c r="T200">
        <f>K200-'2024a_240930_0021'!K198</f>
        <v>35</v>
      </c>
      <c r="U200" s="5">
        <f>T200/'2024a_240930_0021'!K198</f>
        <v>2.2464698331193838E-2</v>
      </c>
      <c r="V200" s="4">
        <f>L200-'2024a_240930_0021'!L198</f>
        <v>-20.848617000000004</v>
      </c>
      <c r="W200" s="5">
        <f>V200/'2024a_240930_0021'!L198</f>
        <v>-0.36551631379557847</v>
      </c>
    </row>
    <row r="201" spans="1:23" x14ac:dyDescent="0.25">
      <c r="A201">
        <v>200</v>
      </c>
      <c r="B201">
        <v>139</v>
      </c>
      <c r="C201" t="s">
        <v>45</v>
      </c>
      <c r="D201" t="s">
        <v>17</v>
      </c>
      <c r="E201" t="s">
        <v>18</v>
      </c>
      <c r="F201" t="s">
        <v>19</v>
      </c>
      <c r="G201" t="s">
        <v>26</v>
      </c>
      <c r="H201" t="s">
        <v>21</v>
      </c>
      <c r="I201" t="s">
        <v>71</v>
      </c>
      <c r="J201" t="s">
        <v>23</v>
      </c>
      <c r="K201">
        <v>1120</v>
      </c>
      <c r="L201" s="4">
        <v>31.582091699999999</v>
      </c>
      <c r="M201" s="4">
        <v>3.3087593536315261</v>
      </c>
      <c r="N201" s="4">
        <v>26.656556546181353</v>
      </c>
      <c r="O201" s="1" t="str">
        <f>HYPERLINK(".\sm_car_241122_0001\sm_car_241122_0001_200_Ca139TrN_MaRAD_ode23t_1.png","figure")</f>
        <v>figure</v>
      </c>
      <c r="P201" t="s">
        <v>15</v>
      </c>
      <c r="S201" t="b">
        <f>B201='2024a_240930_0021'!B199</f>
        <v>1</v>
      </c>
      <c r="T201">
        <f>K201-'2024a_240930_0021'!K199</f>
        <v>56</v>
      </c>
      <c r="U201" s="5">
        <f>T201/'2024a_240930_0021'!K199</f>
        <v>5.2631578947368418E-2</v>
      </c>
      <c r="V201" s="4">
        <f>L201-'2024a_240930_0021'!L199</f>
        <v>-20.411960700000002</v>
      </c>
      <c r="W201" s="5">
        <f>V201/'2024a_240930_0021'!L199</f>
        <v>-0.39258260816000567</v>
      </c>
    </row>
    <row r="202" spans="1:23" x14ac:dyDescent="0.25">
      <c r="A202">
        <v>201</v>
      </c>
      <c r="B202">
        <v>184</v>
      </c>
      <c r="C202" t="s">
        <v>105</v>
      </c>
      <c r="D202" t="s">
        <v>125</v>
      </c>
      <c r="E202" t="s">
        <v>49</v>
      </c>
      <c r="F202" t="s">
        <v>19</v>
      </c>
      <c r="G202" t="s">
        <v>20</v>
      </c>
      <c r="H202" t="s">
        <v>21</v>
      </c>
      <c r="I202" t="s">
        <v>70</v>
      </c>
      <c r="J202" t="s">
        <v>23</v>
      </c>
      <c r="K202">
        <v>1332</v>
      </c>
      <c r="L202" s="4">
        <v>48.092398000000003</v>
      </c>
      <c r="M202" s="4">
        <v>36.476331308089421</v>
      </c>
      <c r="N202" s="4">
        <v>0.24109185881455872</v>
      </c>
      <c r="O202" s="1" t="str">
        <f>HYPERLINK(".\sm_car_241122_0001\sm_car_241122_0001_201_Ca184TrN_MaSKD_ode23t_1.png","figure")</f>
        <v>figure</v>
      </c>
      <c r="P202" t="s">
        <v>15</v>
      </c>
      <c r="S202" t="b">
        <f>B202='2024a_240930_0021'!B200</f>
        <v>1</v>
      </c>
      <c r="T202">
        <f>K202-'2024a_240930_0021'!K200</f>
        <v>3</v>
      </c>
      <c r="U202" s="5">
        <f>T202/'2024a_240930_0021'!K200</f>
        <v>2.257336343115124E-3</v>
      </c>
      <c r="V202" s="4">
        <f>L202-'2024a_240930_0021'!L200</f>
        <v>-36.297349400000002</v>
      </c>
      <c r="W202" s="5">
        <f>V202/'2024a_240930_0021'!L200</f>
        <v>-0.43011563037336453</v>
      </c>
    </row>
    <row r="203" spans="1:23" x14ac:dyDescent="0.25">
      <c r="A203">
        <v>202</v>
      </c>
      <c r="B203">
        <v>184</v>
      </c>
      <c r="C203" t="s">
        <v>105</v>
      </c>
      <c r="D203" t="s">
        <v>125</v>
      </c>
      <c r="E203" t="s">
        <v>49</v>
      </c>
      <c r="F203" t="s">
        <v>19</v>
      </c>
      <c r="G203" t="s">
        <v>20</v>
      </c>
      <c r="H203" t="s">
        <v>21</v>
      </c>
      <c r="I203" t="s">
        <v>71</v>
      </c>
      <c r="J203" t="s">
        <v>23</v>
      </c>
      <c r="K203">
        <v>643</v>
      </c>
      <c r="L203" s="4">
        <v>21.530461599999999</v>
      </c>
      <c r="M203" s="4">
        <v>12.326067638556825</v>
      </c>
      <c r="N203" s="4">
        <v>21.751464354787551</v>
      </c>
      <c r="O203" s="1" t="str">
        <f>HYPERLINK(".\sm_car_241122_0001\sm_car_241122_0001_202_Ca184TrN_MaRAD_ode23t_1.png","figure")</f>
        <v>figure</v>
      </c>
      <c r="P203" t="s">
        <v>15</v>
      </c>
      <c r="S203" t="b">
        <f>B203='2024a_240930_0021'!B201</f>
        <v>1</v>
      </c>
      <c r="T203">
        <f>K203-'2024a_240930_0021'!K201</f>
        <v>14</v>
      </c>
      <c r="U203" s="5">
        <f>T203/'2024a_240930_0021'!K201</f>
        <v>2.2257551669316374E-2</v>
      </c>
      <c r="V203" s="4">
        <f>L203-'2024a_240930_0021'!L201</f>
        <v>-16.217481199999998</v>
      </c>
      <c r="W203" s="5">
        <f>V203/'2024a_240930_0021'!L201</f>
        <v>-0.42962556359495169</v>
      </c>
    </row>
    <row r="204" spans="1:23" x14ac:dyDescent="0.25">
      <c r="A204">
        <v>203</v>
      </c>
      <c r="B204">
        <v>198</v>
      </c>
      <c r="C204" t="s">
        <v>105</v>
      </c>
      <c r="D204" t="s">
        <v>125</v>
      </c>
      <c r="E204" t="s">
        <v>108</v>
      </c>
      <c r="F204" t="s">
        <v>19</v>
      </c>
      <c r="G204" t="s">
        <v>20</v>
      </c>
      <c r="H204" t="s">
        <v>21</v>
      </c>
      <c r="I204" t="s">
        <v>70</v>
      </c>
      <c r="J204" t="s">
        <v>23</v>
      </c>
      <c r="K204">
        <v>1451</v>
      </c>
      <c r="L204" s="4">
        <v>28.793188199999999</v>
      </c>
      <c r="M204" s="4">
        <v>36.483214822677049</v>
      </c>
      <c r="N204" s="4">
        <v>0.2407170927131643</v>
      </c>
      <c r="O204" s="1" t="str">
        <f>HYPERLINK(".\sm_car_241122_0001\sm_car_241122_0001_203_Ca198TrN_MaSKD_ode23t_1.png","figure")</f>
        <v>figure</v>
      </c>
      <c r="P204" t="s">
        <v>15</v>
      </c>
      <c r="S204" t="b">
        <f>B204='2024a_240930_0021'!B202</f>
        <v>1</v>
      </c>
      <c r="T204">
        <f>K204-'2024a_240930_0021'!K202</f>
        <v>25</v>
      </c>
      <c r="U204" s="5">
        <f>T204/'2024a_240930_0021'!K202</f>
        <v>1.7531556802244039E-2</v>
      </c>
      <c r="V204" s="4">
        <f>L204-'2024a_240930_0021'!L202</f>
        <v>-21.997548599999998</v>
      </c>
      <c r="W204" s="5">
        <f>V204/'2024a_240930_0021'!L202</f>
        <v>-0.43310158477559235</v>
      </c>
    </row>
    <row r="205" spans="1:23" x14ac:dyDescent="0.25">
      <c r="A205">
        <v>204</v>
      </c>
      <c r="B205">
        <v>198</v>
      </c>
      <c r="C205" t="s">
        <v>105</v>
      </c>
      <c r="D205" t="s">
        <v>125</v>
      </c>
      <c r="E205" t="s">
        <v>108</v>
      </c>
      <c r="F205" t="s">
        <v>19</v>
      </c>
      <c r="G205" t="s">
        <v>20</v>
      </c>
      <c r="H205" t="s">
        <v>21</v>
      </c>
      <c r="I205" t="s">
        <v>71</v>
      </c>
      <c r="J205" t="s">
        <v>23</v>
      </c>
      <c r="K205">
        <v>678</v>
      </c>
      <c r="L205" s="4">
        <v>12.882652500000001</v>
      </c>
      <c r="M205" s="4">
        <v>12.310792710679211</v>
      </c>
      <c r="N205" s="4">
        <v>21.705426376680116</v>
      </c>
      <c r="O205" s="1" t="str">
        <f>HYPERLINK(".\sm_car_241122_0001\sm_car_241122_0001_204_Ca198TrN_MaRAD_ode23t_1.png","figure")</f>
        <v>figure</v>
      </c>
      <c r="P205" t="s">
        <v>15</v>
      </c>
      <c r="S205" t="b">
        <f>B205='2024a_240930_0021'!B203</f>
        <v>1</v>
      </c>
      <c r="T205">
        <f>K205-'2024a_240930_0021'!K203</f>
        <v>9</v>
      </c>
      <c r="U205" s="5">
        <f>T205/'2024a_240930_0021'!K203</f>
        <v>1.3452914798206279E-2</v>
      </c>
      <c r="V205" s="4">
        <f>L205-'2024a_240930_0021'!L203</f>
        <v>-10.0922012</v>
      </c>
      <c r="W205" s="5">
        <f>V205/'2024a_240930_0021'!L203</f>
        <v>-0.43927161982319823</v>
      </c>
    </row>
    <row r="206" spans="1:23" x14ac:dyDescent="0.25">
      <c r="A206">
        <v>205</v>
      </c>
      <c r="B206">
        <v>156</v>
      </c>
      <c r="C206" t="s">
        <v>45</v>
      </c>
      <c r="D206" t="s">
        <v>17</v>
      </c>
      <c r="E206" t="s">
        <v>18</v>
      </c>
      <c r="F206" t="s">
        <v>19</v>
      </c>
      <c r="G206" t="s">
        <v>38</v>
      </c>
      <c r="H206" t="s">
        <v>21</v>
      </c>
      <c r="I206" t="s">
        <v>54</v>
      </c>
      <c r="J206" t="s">
        <v>23</v>
      </c>
      <c r="K206">
        <v>26150</v>
      </c>
      <c r="L206" s="4">
        <v>359.44906079999998</v>
      </c>
      <c r="M206" s="4">
        <v>19.871911630466045</v>
      </c>
      <c r="N206" s="4">
        <v>3.0388003202784399</v>
      </c>
      <c r="O206" s="1" t="str">
        <f>HYPERLINK(".\sm_car_241122_0001\sm_car_241122_0001_205_Ca156TrN_MaIPA_ode23t.png","figure")</f>
        <v>figure</v>
      </c>
      <c r="P206" t="s">
        <v>15</v>
      </c>
      <c r="S206" t="b">
        <f>B206='2024a_240930_0021'!B204</f>
        <v>1</v>
      </c>
      <c r="T206">
        <f>K206-'2024a_240930_0021'!K204</f>
        <v>-1080</v>
      </c>
      <c r="U206" s="5">
        <f>T206/'2024a_240930_0021'!K204</f>
        <v>-3.966213734851267E-2</v>
      </c>
      <c r="V206" s="4">
        <f>L206-'2024a_240930_0021'!L204</f>
        <v>-293.84185630000002</v>
      </c>
      <c r="W206" s="5">
        <f>V206/'2024a_240930_0021'!L204</f>
        <v>-0.44978714475992215</v>
      </c>
    </row>
    <row r="207" spans="1:23" x14ac:dyDescent="0.25">
      <c r="A207">
        <v>206</v>
      </c>
      <c r="B207">
        <v>130</v>
      </c>
      <c r="C207" t="s">
        <v>16</v>
      </c>
      <c r="D207" t="s">
        <v>17</v>
      </c>
      <c r="E207" t="s">
        <v>18</v>
      </c>
      <c r="F207" t="s">
        <v>19</v>
      </c>
      <c r="G207" t="s">
        <v>38</v>
      </c>
      <c r="H207" t="s">
        <v>21</v>
      </c>
      <c r="I207" t="s">
        <v>54</v>
      </c>
      <c r="J207" t="s">
        <v>23</v>
      </c>
      <c r="K207">
        <v>18171</v>
      </c>
      <c r="L207" s="4">
        <v>238.79759490000001</v>
      </c>
      <c r="M207" s="4">
        <v>16.603904219998576</v>
      </c>
      <c r="N207" s="4">
        <v>0.60008788814425662</v>
      </c>
      <c r="O207" s="1" t="str">
        <f>HYPERLINK(".\sm_car_241122_0001\sm_car_241122_0001_206_Ca130TrN_MaIPA_ode23t.png","figure")</f>
        <v>figure</v>
      </c>
      <c r="P207" t="s">
        <v>15</v>
      </c>
      <c r="S207" t="b">
        <f>B207='2024a_240930_0021'!B205</f>
        <v>1</v>
      </c>
      <c r="T207">
        <f>K207-'2024a_240930_0021'!K205</f>
        <v>-763</v>
      </c>
      <c r="U207" s="5">
        <f>T207/'2024a_240930_0021'!K205</f>
        <v>-4.0297876835322703E-2</v>
      </c>
      <c r="V207" s="4">
        <f>L207-'2024a_240930_0021'!L205</f>
        <v>-174.63384099999999</v>
      </c>
      <c r="W207" s="5">
        <f>V207/'2024a_240930_0021'!L205</f>
        <v>-0.42240097350081546</v>
      </c>
    </row>
    <row r="208" spans="1:23" x14ac:dyDescent="0.25">
      <c r="A208">
        <v>207</v>
      </c>
      <c r="B208">
        <v>171</v>
      </c>
      <c r="C208" t="s">
        <v>45</v>
      </c>
      <c r="D208" t="s">
        <v>17</v>
      </c>
      <c r="E208" t="s">
        <v>72</v>
      </c>
      <c r="F208" t="s">
        <v>19</v>
      </c>
      <c r="G208" t="s">
        <v>26</v>
      </c>
      <c r="H208" t="s">
        <v>21</v>
      </c>
      <c r="I208" t="s">
        <v>73</v>
      </c>
      <c r="J208" t="s">
        <v>23</v>
      </c>
      <c r="K208">
        <v>1358</v>
      </c>
      <c r="L208" s="4">
        <v>20.623309800000001</v>
      </c>
      <c r="M208" s="4">
        <v>347.38627671150499</v>
      </c>
      <c r="N208" s="4">
        <v>0.69998543914980416</v>
      </c>
      <c r="O208" s="1" t="str">
        <f>HYPERLINK(".\sm_car_241122_0001\sm_car_241122_0001_207_Ca171TrN_MaRDP_ode23t_1.png","figure")</f>
        <v>figure</v>
      </c>
      <c r="P208" t="s">
        <v>15</v>
      </c>
      <c r="S208" t="b">
        <f>B208='2024a_240930_0021'!B206</f>
        <v>1</v>
      </c>
      <c r="T208">
        <f>K208-'2024a_240930_0021'!K206</f>
        <v>3</v>
      </c>
      <c r="U208" s="5">
        <f>T208/'2024a_240930_0021'!K206</f>
        <v>2.2140221402214021E-3</v>
      </c>
      <c r="V208" s="4">
        <f>L208-'2024a_240930_0021'!L206</f>
        <v>-10.946363099999999</v>
      </c>
      <c r="W208" s="5">
        <f>V208/'2024a_240930_0021'!L206</f>
        <v>-0.34673666511128148</v>
      </c>
    </row>
    <row r="209" spans="1:23" x14ac:dyDescent="0.25">
      <c r="A209">
        <v>208</v>
      </c>
      <c r="B209">
        <v>172</v>
      </c>
      <c r="C209" t="s">
        <v>46</v>
      </c>
      <c r="D209" t="s">
        <v>17</v>
      </c>
      <c r="E209" t="s">
        <v>72</v>
      </c>
      <c r="F209" t="s">
        <v>19</v>
      </c>
      <c r="G209" t="s">
        <v>26</v>
      </c>
      <c r="H209" t="s">
        <v>21</v>
      </c>
      <c r="I209" t="s">
        <v>73</v>
      </c>
      <c r="J209" t="s">
        <v>23</v>
      </c>
      <c r="K209">
        <v>1325</v>
      </c>
      <c r="L209" s="4">
        <v>11.0730735</v>
      </c>
      <c r="M209" s="4">
        <v>144.04442339022808</v>
      </c>
      <c r="N209" s="4">
        <v>3.8485596092214885E-2</v>
      </c>
      <c r="O209" s="1" t="str">
        <f>HYPERLINK(".\sm_car_241122_0001\sm_car_241122_0001_208_Ca172TrN_MaRDP_ode23t_1.png","figure")</f>
        <v>figure</v>
      </c>
      <c r="P209" t="s">
        <v>15</v>
      </c>
      <c r="S209" t="b">
        <f>B209='2024a_240930_0021'!B207</f>
        <v>1</v>
      </c>
      <c r="T209">
        <f>K209-'2024a_240930_0021'!K207</f>
        <v>-33</v>
      </c>
      <c r="U209" s="5">
        <f>T209/'2024a_240930_0021'!K207</f>
        <v>-2.4300441826215022E-2</v>
      </c>
      <c r="V209" s="4">
        <f>L209-'2024a_240930_0021'!L207</f>
        <v>-5.862392100000001</v>
      </c>
      <c r="W209" s="5">
        <f>V209/'2024a_240930_0021'!L207</f>
        <v>-0.34616066888648167</v>
      </c>
    </row>
    <row r="210" spans="1:23" x14ac:dyDescent="0.25">
      <c r="A210">
        <v>209</v>
      </c>
      <c r="B210">
        <v>139</v>
      </c>
      <c r="C210" t="s">
        <v>45</v>
      </c>
      <c r="D210" t="s">
        <v>17</v>
      </c>
      <c r="E210" t="s">
        <v>18</v>
      </c>
      <c r="F210" t="s">
        <v>19</v>
      </c>
      <c r="G210" t="s">
        <v>26</v>
      </c>
      <c r="H210" t="s">
        <v>21</v>
      </c>
      <c r="I210" t="s">
        <v>74</v>
      </c>
      <c r="J210" t="s">
        <v>23</v>
      </c>
      <c r="K210">
        <v>1483</v>
      </c>
      <c r="L210" s="4">
        <v>18.1576801</v>
      </c>
      <c r="M210" s="4">
        <v>371.5284857568393</v>
      </c>
      <c r="N210" s="4">
        <v>0.80468644930337707</v>
      </c>
      <c r="O210" s="1" t="str">
        <f>HYPERLINK(".\sm_car_241122_0001\sm_car_241122_0001_209_Ca139TrN_MaZPL_ode23t_1.png","figure")</f>
        <v>figure</v>
      </c>
      <c r="P210" t="s">
        <v>15</v>
      </c>
      <c r="S210" t="b">
        <f>B210='2024a_240930_0021'!B208</f>
        <v>1</v>
      </c>
      <c r="T210">
        <f>K210-'2024a_240930_0021'!K208</f>
        <v>56</v>
      </c>
      <c r="U210" s="5">
        <f>T210/'2024a_240930_0021'!K208</f>
        <v>3.9243167484232656E-2</v>
      </c>
      <c r="V210" s="4">
        <f>L210-'2024a_240930_0021'!L208</f>
        <v>-6.9437913000000009</v>
      </c>
      <c r="W210" s="5">
        <f>V210/'2024a_240930_0021'!L208</f>
        <v>-0.27662885531084846</v>
      </c>
    </row>
    <row r="211" spans="1:23" x14ac:dyDescent="0.25">
      <c r="A211">
        <v>210</v>
      </c>
      <c r="B211">
        <v>165</v>
      </c>
      <c r="C211" t="s">
        <v>45</v>
      </c>
      <c r="D211" t="s">
        <v>35</v>
      </c>
      <c r="E211" t="s">
        <v>49</v>
      </c>
      <c r="F211" t="s">
        <v>19</v>
      </c>
      <c r="G211" t="s">
        <v>26</v>
      </c>
      <c r="H211" t="s">
        <v>21</v>
      </c>
      <c r="I211" t="s">
        <v>74</v>
      </c>
      <c r="J211" t="s">
        <v>23</v>
      </c>
      <c r="K211">
        <v>2100</v>
      </c>
      <c r="L211" s="4">
        <v>9.0567413000000005</v>
      </c>
      <c r="M211" s="4">
        <v>397.66961334069396</v>
      </c>
      <c r="N211" s="4">
        <v>0.33479369746146598</v>
      </c>
      <c r="O211" s="1" t="str">
        <f>HYPERLINK(".\sm_car_241122_0001\sm_car_241122_0001_210_Ca165TrN_MaZPL_ode23t_1.png","figure")</f>
        <v>figure</v>
      </c>
      <c r="P211" t="s">
        <v>15</v>
      </c>
      <c r="S211" t="b">
        <f>B211='2024a_240930_0021'!B209</f>
        <v>1</v>
      </c>
      <c r="T211">
        <f>K211-'2024a_240930_0021'!K209</f>
        <v>-5</v>
      </c>
      <c r="U211" s="5">
        <f>T211/'2024a_240930_0021'!K209</f>
        <v>-2.3752969121140144E-3</v>
      </c>
      <c r="V211" s="4">
        <f>L211-'2024a_240930_0021'!L209</f>
        <v>-6.6817385999999992</v>
      </c>
      <c r="W211" s="5">
        <f>V211/'2024a_240930_0021'!L209</f>
        <v>-0.42454790058854408</v>
      </c>
    </row>
    <row r="212" spans="1:23" x14ac:dyDescent="0.25">
      <c r="A212">
        <v>211</v>
      </c>
      <c r="B212">
        <v>171</v>
      </c>
      <c r="C212" t="s">
        <v>45</v>
      </c>
      <c r="D212" t="s">
        <v>17</v>
      </c>
      <c r="E212" t="s">
        <v>72</v>
      </c>
      <c r="F212" t="s">
        <v>19</v>
      </c>
      <c r="G212" t="s">
        <v>26</v>
      </c>
      <c r="H212" t="s">
        <v>21</v>
      </c>
      <c r="I212" t="s">
        <v>74</v>
      </c>
      <c r="J212" t="s">
        <v>23</v>
      </c>
      <c r="K212">
        <v>1488</v>
      </c>
      <c r="L212" s="4">
        <v>22.860959000000001</v>
      </c>
      <c r="M212" s="4">
        <v>371.33566604540266</v>
      </c>
      <c r="N212" s="4">
        <v>0.77583682825388955</v>
      </c>
      <c r="O212" s="1" t="str">
        <f>HYPERLINK(".\sm_car_241122_0001\sm_car_241122_0001_211_Ca171TrN_MaZPL_ode23t_1.png","figure")</f>
        <v>figure</v>
      </c>
      <c r="P212" t="s">
        <v>15</v>
      </c>
      <c r="S212" t="b">
        <f>B212='2024a_240930_0021'!B210</f>
        <v>1</v>
      </c>
      <c r="T212">
        <f>K212-'2024a_240930_0021'!K210</f>
        <v>54</v>
      </c>
      <c r="U212" s="5">
        <f>T212/'2024a_240930_0021'!K210</f>
        <v>3.7656903765690378E-2</v>
      </c>
      <c r="V212" s="4">
        <f>L212-'2024a_240930_0021'!L210</f>
        <v>-10.248122500000001</v>
      </c>
      <c r="W212" s="5">
        <f>V212/'2024a_240930_0021'!L210</f>
        <v>-0.30952602837985704</v>
      </c>
    </row>
    <row r="213" spans="1:23" x14ac:dyDescent="0.25">
      <c r="A213">
        <v>212</v>
      </c>
      <c r="B213">
        <v>165</v>
      </c>
      <c r="C213" t="s">
        <v>45</v>
      </c>
      <c r="D213" t="s">
        <v>35</v>
      </c>
      <c r="E213" t="s">
        <v>49</v>
      </c>
      <c r="F213" t="s">
        <v>19</v>
      </c>
      <c r="G213" t="s">
        <v>26</v>
      </c>
      <c r="H213" t="s">
        <v>21</v>
      </c>
      <c r="I213" t="s">
        <v>75</v>
      </c>
      <c r="J213" t="s">
        <v>23</v>
      </c>
      <c r="K213">
        <v>499</v>
      </c>
      <c r="L213" s="4">
        <v>3.7859307000000002</v>
      </c>
      <c r="M213" s="4">
        <v>378.34121597647885</v>
      </c>
      <c r="N213" s="4">
        <v>0.32215398673078488</v>
      </c>
      <c r="O213" s="1" t="str">
        <f>HYPERLINK(".\sm_car_241122_0001\sm_car_241122_0001_212_Ca165TrN_MaCPL_ode23t_1.png","figure")</f>
        <v>figure</v>
      </c>
      <c r="P213" t="s">
        <v>15</v>
      </c>
      <c r="S213" t="b">
        <f>B213='2024a_240930_0021'!B211</f>
        <v>1</v>
      </c>
      <c r="T213">
        <f>K213-'2024a_240930_0021'!K211</f>
        <v>-20</v>
      </c>
      <c r="U213" s="5">
        <f>T213/'2024a_240930_0021'!K211</f>
        <v>-3.8535645472061654E-2</v>
      </c>
      <c r="V213" s="4">
        <f>L213-'2024a_240930_0021'!L211</f>
        <v>-3.5680688999999997</v>
      </c>
      <c r="W213" s="5">
        <f>V213/'2024a_240930_0021'!L211</f>
        <v>-0.48518752978991181</v>
      </c>
    </row>
    <row r="214" spans="1:23" x14ac:dyDescent="0.25">
      <c r="A214">
        <v>213</v>
      </c>
      <c r="B214">
        <v>171</v>
      </c>
      <c r="C214" t="s">
        <v>45</v>
      </c>
      <c r="D214" t="s">
        <v>17</v>
      </c>
      <c r="E214" t="s">
        <v>72</v>
      </c>
      <c r="F214" t="s">
        <v>19</v>
      </c>
      <c r="G214" t="s">
        <v>26</v>
      </c>
      <c r="H214" t="s">
        <v>21</v>
      </c>
      <c r="I214" t="s">
        <v>75</v>
      </c>
      <c r="J214" t="s">
        <v>23</v>
      </c>
      <c r="K214">
        <v>428</v>
      </c>
      <c r="L214" s="4">
        <v>14.7583553</v>
      </c>
      <c r="M214" s="4">
        <v>347.99950580007987</v>
      </c>
      <c r="N214" s="4">
        <v>0.80462123031621058</v>
      </c>
      <c r="O214" s="1" t="str">
        <f>HYPERLINK(".\sm_car_241122_0001\sm_car_241122_0001_213_Ca171TrN_MaCPL_ode23t_1.png","figure")</f>
        <v>figure</v>
      </c>
      <c r="P214" t="s">
        <v>15</v>
      </c>
      <c r="S214" t="b">
        <f>B214='2024a_240930_0021'!B212</f>
        <v>1</v>
      </c>
      <c r="T214">
        <f>K214-'2024a_240930_0021'!K212</f>
        <v>26</v>
      </c>
      <c r="U214" s="5">
        <f>T214/'2024a_240930_0021'!K212</f>
        <v>6.4676616915422883E-2</v>
      </c>
      <c r="V214" s="4">
        <f>L214-'2024a_240930_0021'!L212</f>
        <v>-6.9720053000000011</v>
      </c>
      <c r="W214" s="5">
        <f>V214/'2024a_240930_0021'!L212</f>
        <v>-0.32084167531025698</v>
      </c>
    </row>
    <row r="215" spans="1:23" x14ac:dyDescent="0.25">
      <c r="A215">
        <v>214</v>
      </c>
      <c r="B215">
        <v>171</v>
      </c>
      <c r="C215" t="s">
        <v>45</v>
      </c>
      <c r="D215" t="s">
        <v>17</v>
      </c>
      <c r="E215" t="s">
        <v>72</v>
      </c>
      <c r="F215" t="s">
        <v>19</v>
      </c>
      <c r="G215" t="s">
        <v>26</v>
      </c>
      <c r="H215" t="s">
        <v>21</v>
      </c>
      <c r="I215" t="s">
        <v>76</v>
      </c>
      <c r="J215" t="s">
        <v>23</v>
      </c>
      <c r="K215">
        <v>2521</v>
      </c>
      <c r="L215" s="4">
        <v>37.158664100000003</v>
      </c>
      <c r="M215" s="4">
        <v>152.46254352720987</v>
      </c>
      <c r="N215" s="4">
        <v>1.9444393053885316E-3</v>
      </c>
      <c r="O215" s="1" t="str">
        <f>HYPERLINK(".\sm_car_241122_0001\sm_car_241122_0001_214_Ca171TrN_MaRDR_ode23t_1.png","figure")</f>
        <v>figure</v>
      </c>
      <c r="P215" t="s">
        <v>15</v>
      </c>
      <c r="S215" t="b">
        <f>B215='2024a_240930_0021'!B213</f>
        <v>1</v>
      </c>
      <c r="T215">
        <f>K215-'2024a_240930_0021'!K213</f>
        <v>89</v>
      </c>
      <c r="U215" s="5">
        <f>T215/'2024a_240930_0021'!K213</f>
        <v>3.6595394736842105E-2</v>
      </c>
      <c r="V215" s="4">
        <f>L215-'2024a_240930_0021'!L213</f>
        <v>-24.000504499999998</v>
      </c>
      <c r="W215" s="5">
        <f>V215/'2024a_240930_0021'!L213</f>
        <v>-0.39242692550271191</v>
      </c>
    </row>
    <row r="216" spans="1:23" x14ac:dyDescent="0.25">
      <c r="A216">
        <v>215</v>
      </c>
      <c r="B216">
        <v>172</v>
      </c>
      <c r="C216" t="s">
        <v>46</v>
      </c>
      <c r="D216" t="s">
        <v>17</v>
      </c>
      <c r="E216" t="s">
        <v>72</v>
      </c>
      <c r="F216" t="s">
        <v>19</v>
      </c>
      <c r="G216" t="s">
        <v>26</v>
      </c>
      <c r="H216" t="s">
        <v>21</v>
      </c>
      <c r="I216" t="s">
        <v>76</v>
      </c>
      <c r="J216" t="s">
        <v>23</v>
      </c>
      <c r="K216">
        <v>2940</v>
      </c>
      <c r="L216" s="4">
        <v>25.945608100000001</v>
      </c>
      <c r="M216" s="4">
        <v>146.54018604070518</v>
      </c>
      <c r="N216" s="4">
        <v>-4.7443691368035277E-3</v>
      </c>
      <c r="O216" s="1" t="str">
        <f>HYPERLINK(".\sm_car_241122_0001\sm_car_241122_0001_215_Ca172TrN_MaRDR_ode23t_1.png","figure")</f>
        <v>figure</v>
      </c>
      <c r="P216" t="s">
        <v>15</v>
      </c>
      <c r="S216" t="b">
        <f>B216='2024a_240930_0021'!B214</f>
        <v>1</v>
      </c>
      <c r="T216">
        <f>K216-'2024a_240930_0021'!K214</f>
        <v>118</v>
      </c>
      <c r="U216" s="5">
        <f>T216/'2024a_240930_0021'!K214</f>
        <v>4.1814316087880936E-2</v>
      </c>
      <c r="V216" s="4">
        <f>L216-'2024a_240930_0021'!L214</f>
        <v>-14.859412399999997</v>
      </c>
      <c r="W216" s="5">
        <f>V216/'2024a_240930_0021'!L214</f>
        <v>-0.36415647432403564</v>
      </c>
    </row>
    <row r="217" spans="1:23" x14ac:dyDescent="0.25">
      <c r="A217">
        <v>216</v>
      </c>
      <c r="B217">
        <v>139</v>
      </c>
      <c r="C217" t="s">
        <v>45</v>
      </c>
      <c r="D217" t="s">
        <v>17</v>
      </c>
      <c r="E217" t="s">
        <v>18</v>
      </c>
      <c r="F217" t="s">
        <v>19</v>
      </c>
      <c r="G217" t="s">
        <v>26</v>
      </c>
      <c r="H217" t="s">
        <v>21</v>
      </c>
      <c r="I217" t="s">
        <v>77</v>
      </c>
      <c r="J217" t="s">
        <v>23</v>
      </c>
      <c r="K217">
        <v>3028</v>
      </c>
      <c r="L217" s="4">
        <v>33.6626014</v>
      </c>
      <c r="M217" s="4">
        <v>176.57532442643731</v>
      </c>
      <c r="N217" s="4">
        <v>8.5138245797518732E-4</v>
      </c>
      <c r="O217" s="1" t="str">
        <f>HYPERLINK(".\sm_car_241122_0001\sm_car_241122_0001_216_Ca139TrN_MaZRR_ode23t_1.png","figure")</f>
        <v>figure</v>
      </c>
      <c r="P217" t="s">
        <v>15</v>
      </c>
      <c r="S217" t="b">
        <f>B217='2024a_240930_0021'!B215</f>
        <v>1</v>
      </c>
      <c r="T217">
        <f>K217-'2024a_240930_0021'!K215</f>
        <v>138</v>
      </c>
      <c r="U217" s="5">
        <f>T217/'2024a_240930_0021'!K215</f>
        <v>4.7750865051903117E-2</v>
      </c>
      <c r="V217" s="4">
        <f>L217-'2024a_240930_0021'!L215</f>
        <v>-20.9877672</v>
      </c>
      <c r="W217" s="5">
        <f>V217/'2024a_240930_0021'!L215</f>
        <v>-0.38403706576280988</v>
      </c>
    </row>
    <row r="218" spans="1:23" x14ac:dyDescent="0.25">
      <c r="A218">
        <v>217</v>
      </c>
      <c r="B218">
        <v>165</v>
      </c>
      <c r="C218" t="s">
        <v>45</v>
      </c>
      <c r="D218" t="s">
        <v>35</v>
      </c>
      <c r="E218" t="s">
        <v>49</v>
      </c>
      <c r="F218" t="s">
        <v>19</v>
      </c>
      <c r="G218" t="s">
        <v>26</v>
      </c>
      <c r="H218" t="s">
        <v>21</v>
      </c>
      <c r="I218" t="s">
        <v>77</v>
      </c>
      <c r="J218" t="s">
        <v>23</v>
      </c>
      <c r="K218">
        <v>3568</v>
      </c>
      <c r="L218" s="4">
        <v>18.9635715</v>
      </c>
      <c r="M218" s="4">
        <v>176.84772083073483</v>
      </c>
      <c r="N218" s="4">
        <v>8.1594146035936983E-5</v>
      </c>
      <c r="O218" s="1" t="str">
        <f>HYPERLINK(".\sm_car_241122_0001\sm_car_241122_0001_217_Ca165TrN_MaZRR_ode23t_1.png","figure")</f>
        <v>figure</v>
      </c>
      <c r="P218" t="s">
        <v>15</v>
      </c>
      <c r="S218" t="b">
        <f>B218='2024a_240930_0021'!B216</f>
        <v>1</v>
      </c>
      <c r="T218">
        <f>K218-'2024a_240930_0021'!K216</f>
        <v>-3</v>
      </c>
      <c r="U218" s="5">
        <f>T218/'2024a_240930_0021'!K216</f>
        <v>-8.4010081209745166E-4</v>
      </c>
      <c r="V218" s="4">
        <f>L218-'2024a_240930_0021'!L216</f>
        <v>-17.129285199999998</v>
      </c>
      <c r="W218" s="5">
        <f>V218/'2024a_240930_0021'!L216</f>
        <v>-0.47458934443390843</v>
      </c>
    </row>
    <row r="219" spans="1:23" x14ac:dyDescent="0.25">
      <c r="A219">
        <v>218</v>
      </c>
      <c r="B219">
        <v>171</v>
      </c>
      <c r="C219" t="s">
        <v>45</v>
      </c>
      <c r="D219" t="s">
        <v>17</v>
      </c>
      <c r="E219" t="s">
        <v>72</v>
      </c>
      <c r="F219" t="s">
        <v>19</v>
      </c>
      <c r="G219" t="s">
        <v>26</v>
      </c>
      <c r="H219" t="s">
        <v>21</v>
      </c>
      <c r="I219" t="s">
        <v>77</v>
      </c>
      <c r="J219" t="s">
        <v>23</v>
      </c>
      <c r="K219">
        <v>3035</v>
      </c>
      <c r="L219" s="4">
        <v>47.166776200000001</v>
      </c>
      <c r="M219" s="4">
        <v>176.58455241141093</v>
      </c>
      <c r="N219" s="4">
        <v>8.7474463149783612E-4</v>
      </c>
      <c r="O219" s="1" t="str">
        <f>HYPERLINK(".\sm_car_241122_0001\sm_car_241122_0001_218_Ca171TrN_MaZRR_ode23t_1.png","figure")</f>
        <v>figure</v>
      </c>
      <c r="P219" t="s">
        <v>15</v>
      </c>
      <c r="S219" t="b">
        <f>B219='2024a_240930_0021'!B217</f>
        <v>1</v>
      </c>
      <c r="T219">
        <f>K219-'2024a_240930_0021'!K217</f>
        <v>113</v>
      </c>
      <c r="U219" s="5">
        <f>T219/'2024a_240930_0021'!K217</f>
        <v>3.867214236824093E-2</v>
      </c>
      <c r="V219" s="4">
        <f>L219-'2024a_240930_0021'!L217</f>
        <v>-28.538087899999994</v>
      </c>
      <c r="W219" s="5">
        <f>V219/'2024a_240930_0021'!L217</f>
        <v>-0.3769650502549412</v>
      </c>
    </row>
    <row r="220" spans="1:23" x14ac:dyDescent="0.25">
      <c r="A220">
        <v>219</v>
      </c>
      <c r="B220">
        <v>170</v>
      </c>
      <c r="C220" t="s">
        <v>45</v>
      </c>
      <c r="D220" t="s">
        <v>35</v>
      </c>
      <c r="E220" t="s">
        <v>49</v>
      </c>
      <c r="F220" t="s">
        <v>19</v>
      </c>
      <c r="G220" t="s">
        <v>20</v>
      </c>
      <c r="H220" t="s">
        <v>21</v>
      </c>
      <c r="I220" t="s">
        <v>78</v>
      </c>
      <c r="J220" t="s">
        <v>23</v>
      </c>
      <c r="K220">
        <v>5134</v>
      </c>
      <c r="L220" s="4">
        <v>16.285223299999998</v>
      </c>
      <c r="M220" s="4">
        <v>-5.9993663604697343</v>
      </c>
      <c r="N220" s="4">
        <v>2.9037244938445268E-3</v>
      </c>
      <c r="O220" s="1" t="str">
        <f>HYPERLINK(".\sm_car_241122_0001\sm_car_241122_0001_219_Ca170TrN_MaCMP_ode23t_1.png","figure")</f>
        <v>figure</v>
      </c>
      <c r="P220" t="s">
        <v>15</v>
      </c>
      <c r="S220" t="b">
        <f>B220='2024a_240930_0021'!B218</f>
        <v>1</v>
      </c>
      <c r="T220">
        <f>K220-'2024a_240930_0021'!K218</f>
        <v>85</v>
      </c>
      <c r="U220" s="5">
        <f>T220/'2024a_240930_0021'!K218</f>
        <v>1.6835016835016835E-2</v>
      </c>
      <c r="V220" s="4">
        <f>L220-'2024a_240930_0021'!L218</f>
        <v>-14.8793325</v>
      </c>
      <c r="W220" s="5">
        <f>V220/'2024a_240930_0021'!L218</f>
        <v>-0.47744407446359305</v>
      </c>
    </row>
    <row r="221" spans="1:23" x14ac:dyDescent="0.25">
      <c r="A221">
        <v>220</v>
      </c>
      <c r="B221">
        <v>170</v>
      </c>
      <c r="C221" t="s">
        <v>45</v>
      </c>
      <c r="D221" t="s">
        <v>35</v>
      </c>
      <c r="E221" t="s">
        <v>49</v>
      </c>
      <c r="F221" t="s">
        <v>19</v>
      </c>
      <c r="G221" t="s">
        <v>20</v>
      </c>
      <c r="H221" t="s">
        <v>21</v>
      </c>
      <c r="I221" t="s">
        <v>79</v>
      </c>
      <c r="J221" t="s">
        <v>23</v>
      </c>
      <c r="K221">
        <v>1811</v>
      </c>
      <c r="L221" s="4">
        <v>10.4228998</v>
      </c>
      <c r="M221" s="4">
        <v>-5.9989539923306694</v>
      </c>
      <c r="N221" s="4">
        <v>2.877992535847541E-3</v>
      </c>
      <c r="O221" s="1" t="str">
        <f>HYPERLINK(".\sm_car_241122_0001\sm_car_241122_0001_220_Ca170TrN_MaCMF_ode23t_1.png","figure")</f>
        <v>figure</v>
      </c>
      <c r="P221" t="s">
        <v>15</v>
      </c>
      <c r="S221" t="b">
        <f>B221='2024a_240930_0021'!B219</f>
        <v>1</v>
      </c>
      <c r="T221">
        <f>K221-'2024a_240930_0021'!K219</f>
        <v>-15</v>
      </c>
      <c r="U221" s="5">
        <f>T221/'2024a_240930_0021'!K219</f>
        <v>-8.2146768893756848E-3</v>
      </c>
      <c r="V221" s="4">
        <f>L221-'2024a_240930_0021'!L219</f>
        <v>-10.327960700000002</v>
      </c>
      <c r="W221" s="5">
        <f>V221/'2024a_240930_0021'!L219</f>
        <v>-0.49771240570963315</v>
      </c>
    </row>
    <row r="222" spans="1:23" x14ac:dyDescent="0.25">
      <c r="A222">
        <v>221</v>
      </c>
      <c r="B222">
        <v>170</v>
      </c>
      <c r="C222" t="s">
        <v>45</v>
      </c>
      <c r="D222" t="s">
        <v>35</v>
      </c>
      <c r="E222" t="s">
        <v>49</v>
      </c>
      <c r="F222" t="s">
        <v>19</v>
      </c>
      <c r="G222" t="s">
        <v>20</v>
      </c>
      <c r="H222" t="s">
        <v>21</v>
      </c>
      <c r="I222" t="s">
        <v>80</v>
      </c>
      <c r="J222" t="s">
        <v>23</v>
      </c>
      <c r="K222">
        <v>4629</v>
      </c>
      <c r="L222" s="4">
        <v>32.346715099999997</v>
      </c>
      <c r="M222" s="4">
        <v>-329.53452364299972</v>
      </c>
      <c r="N222" s="4">
        <v>6.1280134387842597</v>
      </c>
      <c r="O222" s="1" t="str">
        <f>HYPERLINK(".\sm_car_241122_0001\sm_car_241122_0001_221_Ca170TrN_MaMPO_ode23t_1.png","figure")</f>
        <v>figure</v>
      </c>
      <c r="P222" t="s">
        <v>15</v>
      </c>
      <c r="S222" t="b">
        <f>B222='2024a_240930_0021'!B220</f>
        <v>1</v>
      </c>
      <c r="T222">
        <f>K222-'2024a_240930_0021'!K220</f>
        <v>4</v>
      </c>
      <c r="U222" s="5">
        <f>T222/'2024a_240930_0021'!K220</f>
        <v>8.6486486486486486E-4</v>
      </c>
      <c r="V222" s="4">
        <f>L222-'2024a_240930_0021'!L220</f>
        <v>-36.743400100000002</v>
      </c>
      <c r="W222" s="5">
        <f>V222/'2024a_240930_0021'!L220</f>
        <v>-0.53181848074266924</v>
      </c>
    </row>
    <row r="223" spans="1:23" x14ac:dyDescent="0.25">
      <c r="A223">
        <v>222</v>
      </c>
      <c r="B223">
        <v>170</v>
      </c>
      <c r="C223" t="s">
        <v>45</v>
      </c>
      <c r="D223" t="s">
        <v>35</v>
      </c>
      <c r="E223" t="s">
        <v>49</v>
      </c>
      <c r="F223" t="s">
        <v>19</v>
      </c>
      <c r="G223" t="s">
        <v>20</v>
      </c>
      <c r="H223" t="s">
        <v>21</v>
      </c>
      <c r="I223" t="s">
        <v>81</v>
      </c>
      <c r="J223" t="s">
        <v>23</v>
      </c>
      <c r="K223">
        <v>1206</v>
      </c>
      <c r="L223" s="4">
        <v>8.6387847999999998</v>
      </c>
      <c r="M223" s="4">
        <v>-13.871399348139057</v>
      </c>
      <c r="N223" s="4">
        <v>0.2221665699456139</v>
      </c>
      <c r="O223" s="1" t="str">
        <f>HYPERLINK(".\sm_car_241122_0001\sm_car_241122_0001_222_Ca170TrN_MaMCI_ode23t_1.png","figure")</f>
        <v>figure</v>
      </c>
      <c r="P223" t="s">
        <v>15</v>
      </c>
      <c r="S223" t="b">
        <f>B223='2024a_240930_0021'!B221</f>
        <v>1</v>
      </c>
      <c r="T223">
        <f>K223-'2024a_240930_0021'!K221</f>
        <v>1</v>
      </c>
      <c r="U223" s="5">
        <f>T223/'2024a_240930_0021'!K221</f>
        <v>8.2987551867219915E-4</v>
      </c>
      <c r="V223" s="4">
        <f>L223-'2024a_240930_0021'!L221</f>
        <v>-10.95702</v>
      </c>
      <c r="W223" s="5">
        <f>V223/'2024a_240930_0021'!L221</f>
        <v>-0.55915131385672923</v>
      </c>
    </row>
    <row r="224" spans="1:23" x14ac:dyDescent="0.25">
      <c r="A224">
        <v>223</v>
      </c>
      <c r="B224">
        <v>170</v>
      </c>
      <c r="C224" t="s">
        <v>45</v>
      </c>
      <c r="D224" t="s">
        <v>35</v>
      </c>
      <c r="E224" t="s">
        <v>49</v>
      </c>
      <c r="F224" t="s">
        <v>19</v>
      </c>
      <c r="G224" t="s">
        <v>20</v>
      </c>
      <c r="H224" t="s">
        <v>21</v>
      </c>
      <c r="I224" t="s">
        <v>111</v>
      </c>
      <c r="J224" t="s">
        <v>23</v>
      </c>
      <c r="K224">
        <v>5788</v>
      </c>
      <c r="L224" s="4">
        <v>16.328408899999999</v>
      </c>
      <c r="M224" s="4">
        <v>-5.9992725915411791</v>
      </c>
      <c r="N224" s="4">
        <v>-4.4775335255764527E-3</v>
      </c>
      <c r="O224" s="1" t="str">
        <f>HYPERLINK(".\sm_car_241122_0001\sm_car_241122_0001_223_Ca170TrN_MaCHO_ode23t_1.png","figure")</f>
        <v>figure</v>
      </c>
      <c r="P224" t="s">
        <v>15</v>
      </c>
      <c r="S224" t="b">
        <f>B224='2024a_240930_0021'!B222</f>
        <v>1</v>
      </c>
      <c r="T224">
        <f>K224-'2024a_240930_0021'!K222</f>
        <v>-181</v>
      </c>
      <c r="U224" s="5">
        <f>T224/'2024a_240930_0021'!K222</f>
        <v>-3.0323337242419167E-2</v>
      </c>
      <c r="V224" s="4">
        <f>L224-'2024a_240930_0021'!L222</f>
        <v>-18.015863600000003</v>
      </c>
      <c r="W224" s="5">
        <f>V224/'2024a_240930_0021'!L222</f>
        <v>-0.5245667556358925</v>
      </c>
    </row>
    <row r="225" spans="1:23" x14ac:dyDescent="0.25">
      <c r="A225">
        <v>224</v>
      </c>
      <c r="B225">
        <v>170</v>
      </c>
      <c r="C225" t="s">
        <v>45</v>
      </c>
      <c r="D225" t="s">
        <v>35</v>
      </c>
      <c r="E225" t="s">
        <v>49</v>
      </c>
      <c r="F225" t="s">
        <v>19</v>
      </c>
      <c r="G225" t="s">
        <v>20</v>
      </c>
      <c r="H225" t="s">
        <v>21</v>
      </c>
      <c r="I225" t="s">
        <v>112</v>
      </c>
      <c r="J225" t="s">
        <v>23</v>
      </c>
      <c r="K225">
        <v>3420</v>
      </c>
      <c r="L225" s="4">
        <v>15.579241</v>
      </c>
      <c r="M225" s="4">
        <v>-5.9983247558354869</v>
      </c>
      <c r="N225" s="4">
        <v>-4.4962108292958079E-3</v>
      </c>
      <c r="O225" s="1" t="str">
        <f>HYPERLINK(".\sm_car_241122_0001\sm_car_241122_0001_224_Ca170TrN_MaCHF_ode23t_1.png","figure")</f>
        <v>figure</v>
      </c>
      <c r="P225" t="s">
        <v>15</v>
      </c>
      <c r="S225" t="b">
        <f>B225='2024a_240930_0021'!B223</f>
        <v>1</v>
      </c>
      <c r="T225">
        <f>K225-'2024a_240930_0021'!K223</f>
        <v>-4</v>
      </c>
      <c r="U225" s="5">
        <f>T225/'2024a_240930_0021'!K223</f>
        <v>-1.1682242990654205E-3</v>
      </c>
      <c r="V225" s="4">
        <f>L225-'2024a_240930_0021'!L223</f>
        <v>-16.496278900000004</v>
      </c>
      <c r="W225" s="5">
        <f>V225/'2024a_240930_0021'!L223</f>
        <v>-0.51429498107683058</v>
      </c>
    </row>
    <row r="226" spans="1:23" x14ac:dyDescent="0.25">
      <c r="A226">
        <v>225</v>
      </c>
      <c r="B226">
        <v>170</v>
      </c>
      <c r="C226" t="s">
        <v>45</v>
      </c>
      <c r="D226" t="s">
        <v>35</v>
      </c>
      <c r="E226" t="s">
        <v>49</v>
      </c>
      <c r="F226" t="s">
        <v>19</v>
      </c>
      <c r="G226" t="s">
        <v>20</v>
      </c>
      <c r="H226" t="s">
        <v>21</v>
      </c>
      <c r="I226" t="s">
        <v>82</v>
      </c>
      <c r="J226" t="s">
        <v>23</v>
      </c>
      <c r="K226">
        <v>7120</v>
      </c>
      <c r="L226" s="4">
        <v>26.8367273</v>
      </c>
      <c r="M226" s="4">
        <v>-752.11424744338444</v>
      </c>
      <c r="N226" s="4">
        <v>628.45218765200252</v>
      </c>
      <c r="O226" s="1" t="str">
        <f>HYPERLINK(".\sm_car_241122_0001\sm_car_241122_0001_225_Ca170TrN_MaCKY_ode23t_1.png","figure")</f>
        <v>figure</v>
      </c>
      <c r="P226" t="s">
        <v>15</v>
      </c>
      <c r="S226" t="b">
        <f>B226='2024a_240930_0021'!B224</f>
        <v>1</v>
      </c>
      <c r="T226">
        <f>K226-'2024a_240930_0021'!K224</f>
        <v>17</v>
      </c>
      <c r="U226" s="5">
        <f>T226/'2024a_240930_0021'!K224</f>
        <v>2.3933549204561452E-3</v>
      </c>
      <c r="V226" s="4">
        <f>L226-'2024a_240930_0021'!L224</f>
        <v>-24.441242500000001</v>
      </c>
      <c r="W226" s="5">
        <f>V226/'2024a_240930_0021'!L224</f>
        <v>-0.47664216417554034</v>
      </c>
    </row>
    <row r="227" spans="1:23" x14ac:dyDescent="0.25">
      <c r="A227">
        <v>226</v>
      </c>
      <c r="B227">
        <v>170</v>
      </c>
      <c r="C227" t="s">
        <v>45</v>
      </c>
      <c r="D227" t="s">
        <v>35</v>
      </c>
      <c r="E227" t="s">
        <v>49</v>
      </c>
      <c r="F227" t="s">
        <v>19</v>
      </c>
      <c r="G227" t="s">
        <v>20</v>
      </c>
      <c r="H227" t="s">
        <v>21</v>
      </c>
      <c r="I227" t="s">
        <v>83</v>
      </c>
      <c r="J227" t="s">
        <v>23</v>
      </c>
      <c r="K227">
        <v>2155</v>
      </c>
      <c r="L227" s="4">
        <v>13.365386600000001</v>
      </c>
      <c r="M227" s="4">
        <v>-758.74751009372778</v>
      </c>
      <c r="N227" s="4">
        <v>632.74597114070832</v>
      </c>
      <c r="O227" s="1" t="str">
        <f>HYPERLINK(".\sm_car_241122_0001\sm_car_241122_0001_226_Ca170TrN_MaCKF_ode23t_1.png","figure")</f>
        <v>figure</v>
      </c>
      <c r="P227" t="s">
        <v>15</v>
      </c>
      <c r="S227" t="b">
        <f>B227='2024a_240930_0021'!B225</f>
        <v>1</v>
      </c>
      <c r="T227">
        <f>K227-'2024a_240930_0021'!K225</f>
        <v>27</v>
      </c>
      <c r="U227" s="5">
        <f>T227/'2024a_240930_0021'!K225</f>
        <v>1.2687969924812029E-2</v>
      </c>
      <c r="V227" s="4">
        <f>L227-'2024a_240930_0021'!L225</f>
        <v>-12.026633099999998</v>
      </c>
      <c r="W227" s="5">
        <f>V227/'2024a_240930_0021'!L225</f>
        <v>-0.4736383021946064</v>
      </c>
    </row>
    <row r="228" spans="1:23" x14ac:dyDescent="0.25">
      <c r="A228">
        <v>227</v>
      </c>
      <c r="B228">
        <v>170</v>
      </c>
      <c r="C228" t="s">
        <v>45</v>
      </c>
      <c r="D228" t="s">
        <v>35</v>
      </c>
      <c r="E228" t="s">
        <v>49</v>
      </c>
      <c r="F228" t="s">
        <v>19</v>
      </c>
      <c r="G228" t="s">
        <v>20</v>
      </c>
      <c r="H228" t="s">
        <v>21</v>
      </c>
      <c r="I228" t="s">
        <v>84</v>
      </c>
      <c r="J228" t="s">
        <v>23</v>
      </c>
      <c r="K228">
        <v>2826</v>
      </c>
      <c r="L228" s="4">
        <v>14.0970832</v>
      </c>
      <c r="M228" s="4">
        <v>177.34509209027519</v>
      </c>
      <c r="N228" s="4">
        <v>288.25146099871347</v>
      </c>
      <c r="O228" s="1" t="str">
        <f>HYPERLINK(".\sm_car_241122_0001\sm_car_241122_0001_227_Ca170TrN_MaCNN_ode23t_1.png","figure")</f>
        <v>figure</v>
      </c>
      <c r="P228" t="s">
        <v>15</v>
      </c>
      <c r="S228" t="b">
        <f>B228='2024a_240930_0021'!B226</f>
        <v>1</v>
      </c>
      <c r="T228">
        <f>K228-'2024a_240930_0021'!K226</f>
        <v>-4</v>
      </c>
      <c r="U228" s="5">
        <f>T228/'2024a_240930_0021'!K226</f>
        <v>-1.4134275618374558E-3</v>
      </c>
      <c r="V228" s="4">
        <f>L228-'2024a_240930_0021'!L226</f>
        <v>-15.202294999999999</v>
      </c>
      <c r="W228" s="5">
        <f>V228/'2024a_240930_0021'!L226</f>
        <v>-0.51886066988274859</v>
      </c>
    </row>
    <row r="229" spans="1:23" x14ac:dyDescent="0.25">
      <c r="A229">
        <v>228</v>
      </c>
      <c r="B229">
        <v>170</v>
      </c>
      <c r="C229" t="s">
        <v>45</v>
      </c>
      <c r="D229" t="s">
        <v>35</v>
      </c>
      <c r="E229" t="s">
        <v>49</v>
      </c>
      <c r="F229" t="s">
        <v>19</v>
      </c>
      <c r="G229" t="s">
        <v>20</v>
      </c>
      <c r="H229" t="s">
        <v>21</v>
      </c>
      <c r="I229" t="s">
        <v>85</v>
      </c>
      <c r="J229" t="s">
        <v>23</v>
      </c>
      <c r="K229">
        <v>4390</v>
      </c>
      <c r="L229" s="4">
        <v>54.556472599999999</v>
      </c>
      <c r="M229" s="4">
        <v>2994.8755220891894</v>
      </c>
      <c r="N229" s="4">
        <v>-3064.8911528474741</v>
      </c>
      <c r="O229" s="1" t="str">
        <f>HYPERLINK(".\sm_car_241122_0001\sm_car_241122_0001_228_Ca170TrN_MaCNF_ode23t_1.png","figure")</f>
        <v>figure</v>
      </c>
      <c r="P229" t="s">
        <v>15</v>
      </c>
      <c r="S229" t="b">
        <f>B229='2024a_240930_0021'!B227</f>
        <v>1</v>
      </c>
      <c r="T229">
        <f>K229-'2024a_240930_0021'!K227</f>
        <v>70</v>
      </c>
      <c r="U229" s="5">
        <f>T229/'2024a_240930_0021'!K227</f>
        <v>1.6203703703703703E-2</v>
      </c>
      <c r="V229" s="4">
        <f>L229-'2024a_240930_0021'!L227</f>
        <v>-60.203152899999999</v>
      </c>
      <c r="W229" s="5">
        <f>V229/'2024a_240930_0021'!L227</f>
        <v>-0.52460220776861977</v>
      </c>
    </row>
    <row r="230" spans="1:23" x14ac:dyDescent="0.25">
      <c r="A230">
        <v>229</v>
      </c>
      <c r="B230">
        <v>170</v>
      </c>
      <c r="C230" t="s">
        <v>45</v>
      </c>
      <c r="D230" t="s">
        <v>35</v>
      </c>
      <c r="E230" t="s">
        <v>49</v>
      </c>
      <c r="F230" t="s">
        <v>19</v>
      </c>
      <c r="G230" t="s">
        <v>20</v>
      </c>
      <c r="H230" t="s">
        <v>21</v>
      </c>
      <c r="I230" t="s">
        <v>86</v>
      </c>
      <c r="J230" t="s">
        <v>23</v>
      </c>
      <c r="K230">
        <v>2957</v>
      </c>
      <c r="L230" s="4">
        <v>12.1428809</v>
      </c>
      <c r="M230" s="4">
        <v>522.24180054858095</v>
      </c>
      <c r="N230" s="4">
        <v>-164.33037572020785</v>
      </c>
      <c r="O230" s="1" t="str">
        <f>HYPERLINK(".\sm_car_241122_0001\sm_car_241122_0001_229_Ca170TrN_MaCSZ_ode23t_1.png","figure")</f>
        <v>figure</v>
      </c>
      <c r="P230" t="s">
        <v>15</v>
      </c>
      <c r="S230" t="b">
        <f>B230='2024a_240930_0021'!B228</f>
        <v>1</v>
      </c>
      <c r="T230">
        <f>K230-'2024a_240930_0021'!K228</f>
        <v>8</v>
      </c>
      <c r="U230" s="5">
        <f>T230/'2024a_240930_0021'!K228</f>
        <v>2.7127839945744322E-3</v>
      </c>
      <c r="V230" s="4">
        <f>L230-'2024a_240930_0021'!L228</f>
        <v>-13.751306600000001</v>
      </c>
      <c r="W230" s="5">
        <f>V230/'2024a_240930_0021'!L228</f>
        <v>-0.53105765917544234</v>
      </c>
    </row>
    <row r="231" spans="1:23" x14ac:dyDescent="0.25">
      <c r="A231">
        <v>230</v>
      </c>
      <c r="B231">
        <v>170</v>
      </c>
      <c r="C231" t="s">
        <v>45</v>
      </c>
      <c r="D231" t="s">
        <v>35</v>
      </c>
      <c r="E231" t="s">
        <v>49</v>
      </c>
      <c r="F231" t="s">
        <v>19</v>
      </c>
      <c r="G231" t="s">
        <v>20</v>
      </c>
      <c r="H231" t="s">
        <v>21</v>
      </c>
      <c r="I231" t="s">
        <v>87</v>
      </c>
      <c r="J231" t="s">
        <v>23</v>
      </c>
      <c r="K231">
        <v>5697</v>
      </c>
      <c r="L231" s="4">
        <v>71.163388900000001</v>
      </c>
      <c r="M231" s="4">
        <v>-8.9656680082501214</v>
      </c>
      <c r="N231" s="4">
        <v>1.0003004396622307E-2</v>
      </c>
      <c r="O231" s="1" t="str">
        <f>HYPERLINK(".\sm_car_241122_0001\sm_car_241122_0001_230_Ca170TrN_MaCSF_ode23t_1.png","figure")</f>
        <v>figure</v>
      </c>
      <c r="P231" t="s">
        <v>15</v>
      </c>
      <c r="S231" t="b">
        <f>B231='2024a_240930_0021'!B229</f>
        <v>1</v>
      </c>
      <c r="T231">
        <f>K231-'2024a_240930_0021'!K229</f>
        <v>9</v>
      </c>
      <c r="U231" s="5">
        <f>T231/'2024a_240930_0021'!K229</f>
        <v>1.5822784810126582E-3</v>
      </c>
      <c r="V231" s="4">
        <f>L231-'2024a_240930_0021'!L229</f>
        <v>-86.464921400000009</v>
      </c>
      <c r="W231" s="5">
        <f>V231/'2024a_240930_0021'!L229</f>
        <v>-0.54853675228414855</v>
      </c>
    </row>
    <row r="232" spans="1:23" x14ac:dyDescent="0.25">
      <c r="A232">
        <v>231</v>
      </c>
      <c r="B232">
        <v>170</v>
      </c>
      <c r="C232" t="s">
        <v>45</v>
      </c>
      <c r="D232" t="s">
        <v>35</v>
      </c>
      <c r="E232" t="s">
        <v>49</v>
      </c>
      <c r="F232" t="s">
        <v>19</v>
      </c>
      <c r="G232" t="s">
        <v>20</v>
      </c>
      <c r="H232" t="s">
        <v>21</v>
      </c>
      <c r="I232" t="s">
        <v>88</v>
      </c>
      <c r="J232" t="s">
        <v>23</v>
      </c>
      <c r="K232">
        <v>2040</v>
      </c>
      <c r="L232" s="4">
        <v>12.040943800000001</v>
      </c>
      <c r="M232" s="4">
        <v>209.02244120983042</v>
      </c>
      <c r="N232" s="4">
        <v>379.24615281822742</v>
      </c>
      <c r="O232" s="1" t="str">
        <f>HYPERLINK(".\sm_car_241122_0001\sm_car_241122_0001_231_Ca170TrN_MaCPU_ode23t_1.png","figure")</f>
        <v>figure</v>
      </c>
      <c r="P232" t="s">
        <v>15</v>
      </c>
      <c r="S232" t="b">
        <f>B232='2024a_240930_0021'!B230</f>
        <v>1</v>
      </c>
      <c r="T232">
        <f>K232-'2024a_240930_0021'!K230</f>
        <v>-142</v>
      </c>
      <c r="U232" s="5">
        <f>T232/'2024a_240930_0021'!K230</f>
        <v>-6.5077910174152154E-2</v>
      </c>
      <c r="V232" s="4">
        <f>L232-'2024a_240930_0021'!L230</f>
        <v>-18.028547799999998</v>
      </c>
      <c r="W232" s="5">
        <f>V232/'2024a_240930_0021'!L230</f>
        <v>-0.59956277411753778</v>
      </c>
    </row>
    <row r="233" spans="1:23" x14ac:dyDescent="0.25">
      <c r="A233">
        <v>232</v>
      </c>
      <c r="B233">
        <v>170</v>
      </c>
      <c r="C233" t="s">
        <v>45</v>
      </c>
      <c r="D233" t="s">
        <v>35</v>
      </c>
      <c r="E233" t="s">
        <v>49</v>
      </c>
      <c r="F233" t="s">
        <v>19</v>
      </c>
      <c r="G233" t="s">
        <v>20</v>
      </c>
      <c r="H233" t="s">
        <v>21</v>
      </c>
      <c r="I233" t="s">
        <v>89</v>
      </c>
      <c r="J233" t="s">
        <v>23</v>
      </c>
      <c r="K233">
        <v>2589</v>
      </c>
      <c r="L233" s="4">
        <v>14.599555199999999</v>
      </c>
      <c r="M233" s="4">
        <v>183.03257378028661</v>
      </c>
      <c r="N233" s="4">
        <v>-170.24457901970891</v>
      </c>
      <c r="O233" s="1" t="str">
        <f>HYPERLINK(".\sm_car_241122_0001\sm_car_241122_0001_232_Ca170TrN_MaCPD_ode23t_1.png","figure")</f>
        <v>figure</v>
      </c>
      <c r="P233" t="s">
        <v>15</v>
      </c>
      <c r="S233" t="b">
        <f>B233='2024a_240930_0021'!B231</f>
        <v>1</v>
      </c>
      <c r="T233">
        <f>K233-'2024a_240930_0021'!K231</f>
        <v>-25</v>
      </c>
      <c r="U233" s="5">
        <f>T233/'2024a_240930_0021'!K231</f>
        <v>-9.5638867635807184E-3</v>
      </c>
      <c r="V233" s="4">
        <f>L233-'2024a_240930_0021'!L231</f>
        <v>-15.776726200000001</v>
      </c>
      <c r="W233" s="5">
        <f>V233/'2024a_240930_0021'!L231</f>
        <v>-0.51937648299505157</v>
      </c>
    </row>
    <row r="234" spans="1:23" x14ac:dyDescent="0.25">
      <c r="A234">
        <v>233</v>
      </c>
      <c r="B234">
        <v>202</v>
      </c>
      <c r="C234" t="s">
        <v>45</v>
      </c>
      <c r="D234" t="s">
        <v>35</v>
      </c>
      <c r="E234" t="s">
        <v>108</v>
      </c>
      <c r="F234" t="s">
        <v>19</v>
      </c>
      <c r="G234" t="s">
        <v>20</v>
      </c>
      <c r="H234" t="s">
        <v>21</v>
      </c>
      <c r="I234" t="s">
        <v>79</v>
      </c>
      <c r="J234" t="s">
        <v>23</v>
      </c>
      <c r="K234">
        <v>1833</v>
      </c>
      <c r="L234" s="4">
        <v>3.7461527999999999</v>
      </c>
      <c r="M234" s="4">
        <v>-5.9992060519496455</v>
      </c>
      <c r="N234" s="4">
        <v>2.854592736124532E-3</v>
      </c>
      <c r="O234" s="1" t="str">
        <f>HYPERLINK(".\sm_car_241122_0001\sm_car_241122_0001_233_Ca202TrN_MaCMF_ode23t_1.png","figure")</f>
        <v>figure</v>
      </c>
      <c r="P234" t="s">
        <v>15</v>
      </c>
      <c r="S234" t="b">
        <f>B234='2024a_240930_0021'!B232</f>
        <v>1</v>
      </c>
      <c r="T234">
        <f>K234-'2024a_240930_0021'!K232</f>
        <v>23</v>
      </c>
      <c r="U234" s="5">
        <f>T234/'2024a_240930_0021'!K232</f>
        <v>1.270718232044199E-2</v>
      </c>
      <c r="V234" s="4">
        <f>L234-'2024a_240930_0021'!L232</f>
        <v>-4.4549186999999995</v>
      </c>
      <c r="W234" s="5">
        <f>V234/'2024a_240930_0021'!L232</f>
        <v>-0.54321178641108048</v>
      </c>
    </row>
    <row r="235" spans="1:23" x14ac:dyDescent="0.25">
      <c r="A235">
        <v>234</v>
      </c>
      <c r="B235">
        <v>202</v>
      </c>
      <c r="C235" t="s">
        <v>45</v>
      </c>
      <c r="D235" t="s">
        <v>35</v>
      </c>
      <c r="E235" t="s">
        <v>108</v>
      </c>
      <c r="F235" t="s">
        <v>19</v>
      </c>
      <c r="G235" t="s">
        <v>20</v>
      </c>
      <c r="H235" t="s">
        <v>21</v>
      </c>
      <c r="I235" t="s">
        <v>80</v>
      </c>
      <c r="J235" t="s">
        <v>23</v>
      </c>
      <c r="K235">
        <v>4516</v>
      </c>
      <c r="L235" s="4">
        <v>20.018447599999998</v>
      </c>
      <c r="M235" s="4">
        <v>-329.52903004929163</v>
      </c>
      <c r="N235" s="4">
        <v>6.1140173141356184</v>
      </c>
      <c r="O235" s="1" t="str">
        <f>HYPERLINK(".\sm_car_241122_0001\sm_car_241122_0001_234_Ca202TrN_MaMPO_ode23t_1.png","figure")</f>
        <v>figure</v>
      </c>
      <c r="P235" t="s">
        <v>15</v>
      </c>
      <c r="S235" t="b">
        <f>B235='2024a_240930_0021'!B233</f>
        <v>1</v>
      </c>
      <c r="T235">
        <f>K235-'2024a_240930_0021'!K233</f>
        <v>-36</v>
      </c>
      <c r="U235" s="5">
        <f>T235/'2024a_240930_0021'!K233</f>
        <v>-7.9086115992970125E-3</v>
      </c>
      <c r="V235" s="4">
        <f>L235-'2024a_240930_0021'!L233</f>
        <v>-21.762071200000005</v>
      </c>
      <c r="W235" s="5">
        <f>V235/'2024a_240930_0021'!L233</f>
        <v>-0.52086646659830382</v>
      </c>
    </row>
    <row r="236" spans="1:23" x14ac:dyDescent="0.25">
      <c r="A236">
        <v>235</v>
      </c>
      <c r="B236">
        <v>202</v>
      </c>
      <c r="C236" t="s">
        <v>45</v>
      </c>
      <c r="D236" t="s">
        <v>35</v>
      </c>
      <c r="E236" t="s">
        <v>108</v>
      </c>
      <c r="F236" t="s">
        <v>19</v>
      </c>
      <c r="G236" t="s">
        <v>20</v>
      </c>
      <c r="H236" t="s">
        <v>21</v>
      </c>
      <c r="I236" t="s">
        <v>81</v>
      </c>
      <c r="J236" t="s">
        <v>23</v>
      </c>
      <c r="K236">
        <v>1196</v>
      </c>
      <c r="L236" s="4">
        <v>5.2100467000000004</v>
      </c>
      <c r="M236" s="4">
        <v>-13.865174707496607</v>
      </c>
      <c r="N236" s="4">
        <v>0.22605105232142364</v>
      </c>
      <c r="O236" s="1" t="str">
        <f>HYPERLINK(".\sm_car_241122_0001\sm_car_241122_0001_235_Ca202TrN_MaMCI_ode23t_1.png","figure")</f>
        <v>figure</v>
      </c>
      <c r="P236" t="s">
        <v>15</v>
      </c>
      <c r="S236" t="b">
        <f>B236='2024a_240930_0021'!B234</f>
        <v>1</v>
      </c>
      <c r="T236">
        <f>K236-'2024a_240930_0021'!K234</f>
        <v>2</v>
      </c>
      <c r="U236" s="5">
        <f>T236/'2024a_240930_0021'!K234</f>
        <v>1.6750418760469012E-3</v>
      </c>
      <c r="V236" s="4">
        <f>L236-'2024a_240930_0021'!L234</f>
        <v>-6.5712549000000005</v>
      </c>
      <c r="W236" s="5">
        <f>V236/'2024a_240930_0021'!L234</f>
        <v>-0.55776985626104336</v>
      </c>
    </row>
    <row r="237" spans="1:23" x14ac:dyDescent="0.25">
      <c r="A237">
        <v>236</v>
      </c>
      <c r="B237">
        <v>202</v>
      </c>
      <c r="C237" t="s">
        <v>45</v>
      </c>
      <c r="D237" t="s">
        <v>35</v>
      </c>
      <c r="E237" t="s">
        <v>108</v>
      </c>
      <c r="F237" t="s">
        <v>19</v>
      </c>
      <c r="G237" t="s">
        <v>20</v>
      </c>
      <c r="H237" t="s">
        <v>21</v>
      </c>
      <c r="I237" t="s">
        <v>83</v>
      </c>
      <c r="J237" t="s">
        <v>23</v>
      </c>
      <c r="K237">
        <v>3604</v>
      </c>
      <c r="L237" s="4">
        <v>8.5287509000000004</v>
      </c>
      <c r="M237" s="4">
        <v>-5.9991348085524541</v>
      </c>
      <c r="N237" s="4">
        <v>-7.2217868045486352E-3</v>
      </c>
      <c r="O237" s="1" t="str">
        <f>HYPERLINK(".\sm_car_241122_0001\sm_car_241122_0001_236_Ca202TrN_MaCKF_ode23t_1.png","figure")</f>
        <v>figure</v>
      </c>
      <c r="P237" t="s">
        <v>15</v>
      </c>
      <c r="S237" t="b">
        <f>B237='2024a_240930_0021'!B235</f>
        <v>1</v>
      </c>
      <c r="T237">
        <f>K237-'2024a_240930_0021'!K235</f>
        <v>-4</v>
      </c>
      <c r="U237" s="5">
        <f>T237/'2024a_240930_0021'!K235</f>
        <v>-1.1086474501108647E-3</v>
      </c>
      <c r="V237" s="4">
        <f>L237-'2024a_240930_0021'!L235</f>
        <v>-10.148698699999999</v>
      </c>
      <c r="W237" s="5">
        <f>V237/'2024a_240930_0021'!L235</f>
        <v>-0.54336640801322245</v>
      </c>
    </row>
    <row r="238" spans="1:23" x14ac:dyDescent="0.25">
      <c r="A238">
        <v>237</v>
      </c>
      <c r="B238">
        <v>202</v>
      </c>
      <c r="C238" t="s">
        <v>45</v>
      </c>
      <c r="D238" t="s">
        <v>35</v>
      </c>
      <c r="E238" t="s">
        <v>108</v>
      </c>
      <c r="F238" t="s">
        <v>19</v>
      </c>
      <c r="G238" t="s">
        <v>20</v>
      </c>
      <c r="H238" t="s">
        <v>21</v>
      </c>
      <c r="I238" t="s">
        <v>85</v>
      </c>
      <c r="J238" t="s">
        <v>23</v>
      </c>
      <c r="K238">
        <v>10318</v>
      </c>
      <c r="L238" s="4">
        <v>84.706625900000006</v>
      </c>
      <c r="M238" s="4">
        <v>-8.9888091262615575</v>
      </c>
      <c r="N238" s="4">
        <v>4.7020759764764344E-2</v>
      </c>
      <c r="O238" s="1" t="str">
        <f>HYPERLINK(".\sm_car_241122_0001\sm_car_241122_0001_237_Ca202TrN_MaCNF_ode23t_1.png","figure")</f>
        <v>figure</v>
      </c>
      <c r="P238" t="s">
        <v>15</v>
      </c>
      <c r="S238" t="b">
        <f>B238='2024a_240930_0021'!B236</f>
        <v>1</v>
      </c>
      <c r="T238">
        <f>K238-'2024a_240930_0021'!K236</f>
        <v>140</v>
      </c>
      <c r="U238" s="5">
        <f>T238/'2024a_240930_0021'!K236</f>
        <v>1.3755158184319119E-2</v>
      </c>
      <c r="V238" s="4">
        <f>L238-'2024a_240930_0021'!L236</f>
        <v>-101.0386512</v>
      </c>
      <c r="W238" s="5">
        <f>V238/'2024a_240930_0021'!L236</f>
        <v>-0.54396350086254763</v>
      </c>
    </row>
    <row r="239" spans="1:23" x14ac:dyDescent="0.25">
      <c r="A239">
        <v>238</v>
      </c>
      <c r="B239">
        <v>202</v>
      </c>
      <c r="C239" t="s">
        <v>45</v>
      </c>
      <c r="D239" t="s">
        <v>35</v>
      </c>
      <c r="E239" t="s">
        <v>108</v>
      </c>
      <c r="F239" t="s">
        <v>19</v>
      </c>
      <c r="G239" t="s">
        <v>20</v>
      </c>
      <c r="H239" t="s">
        <v>21</v>
      </c>
      <c r="I239" t="s">
        <v>87</v>
      </c>
      <c r="J239" t="s">
        <v>23</v>
      </c>
      <c r="K239">
        <v>5740</v>
      </c>
      <c r="L239" s="4">
        <v>41.651259600000003</v>
      </c>
      <c r="M239" s="4">
        <v>-8.9571486132992533</v>
      </c>
      <c r="N239" s="4">
        <v>9.936272673557919E-3</v>
      </c>
      <c r="O239" s="1" t="str">
        <f>HYPERLINK(".\sm_car_241122_0001\sm_car_241122_0001_238_Ca202TrN_MaCSF_ode23t_1.png","figure")</f>
        <v>figure</v>
      </c>
      <c r="P239" t="s">
        <v>15</v>
      </c>
      <c r="S239" t="b">
        <f>B239='2024a_240930_0021'!B237</f>
        <v>1</v>
      </c>
      <c r="T239">
        <f>K239-'2024a_240930_0021'!K237</f>
        <v>1</v>
      </c>
      <c r="U239" s="5">
        <f>T239/'2024a_240930_0021'!K237</f>
        <v>1.7424638438752395E-4</v>
      </c>
      <c r="V239" s="4">
        <f>L239-'2024a_240930_0021'!L237</f>
        <v>-51.857472399999992</v>
      </c>
      <c r="W239" s="5">
        <f>V239/'2024a_240930_0021'!L237</f>
        <v>-0.55457358142766811</v>
      </c>
    </row>
    <row r="240" spans="1:23" x14ac:dyDescent="0.25">
      <c r="A240">
        <v>239</v>
      </c>
      <c r="B240">
        <v>202</v>
      </c>
      <c r="C240" t="s">
        <v>45</v>
      </c>
      <c r="D240" t="s">
        <v>35</v>
      </c>
      <c r="E240" t="s">
        <v>108</v>
      </c>
      <c r="F240" t="s">
        <v>19</v>
      </c>
      <c r="G240" t="s">
        <v>20</v>
      </c>
      <c r="H240" t="s">
        <v>21</v>
      </c>
      <c r="I240" t="s">
        <v>78</v>
      </c>
      <c r="J240" t="s">
        <v>23</v>
      </c>
      <c r="K240">
        <v>5549</v>
      </c>
      <c r="L240" s="4">
        <v>17.248610500000002</v>
      </c>
      <c r="M240" s="4">
        <v>-5.9991612247549346</v>
      </c>
      <c r="N240" s="4">
        <v>2.9793002447769412E-3</v>
      </c>
      <c r="O240" s="1" t="str">
        <f>HYPERLINK(".\sm_car_241122_0001\sm_car_241122_0001_239_Ca202TrN_MaCMP_ode23t_1.png","figure")</f>
        <v>figure</v>
      </c>
      <c r="P240" t="s">
        <v>15</v>
      </c>
      <c r="S240" t="b">
        <f>B240='2024a_240930_0021'!B238</f>
        <v>1</v>
      </c>
      <c r="T240">
        <f>K240-'2024a_240930_0021'!K238</f>
        <v>22</v>
      </c>
      <c r="U240" s="5">
        <f>T240/'2024a_240930_0021'!K238</f>
        <v>3.9804595621494481E-3</v>
      </c>
      <c r="V240" s="4">
        <f>L240-'2024a_240930_0021'!L238</f>
        <v>-19.754567300000001</v>
      </c>
      <c r="W240" s="5">
        <f>V240/'2024a_240930_0021'!L238</f>
        <v>-0.53386137284673962</v>
      </c>
    </row>
    <row r="241" spans="1:23" x14ac:dyDescent="0.25">
      <c r="A241">
        <v>240</v>
      </c>
      <c r="B241">
        <v>202</v>
      </c>
      <c r="C241" t="s">
        <v>45</v>
      </c>
      <c r="D241" t="s">
        <v>35</v>
      </c>
      <c r="E241" t="s">
        <v>108</v>
      </c>
      <c r="F241" t="s">
        <v>19</v>
      </c>
      <c r="G241" t="s">
        <v>20</v>
      </c>
      <c r="H241" t="s">
        <v>21</v>
      </c>
      <c r="I241" t="s">
        <v>82</v>
      </c>
      <c r="J241" t="s">
        <v>23</v>
      </c>
      <c r="K241">
        <v>14988</v>
      </c>
      <c r="L241" s="4">
        <v>48.384096</v>
      </c>
      <c r="M241" s="4">
        <v>-5.9960606730688264</v>
      </c>
      <c r="N241" s="4">
        <v>-8.9185621972918978E-3</v>
      </c>
      <c r="O241" s="1" t="str">
        <f>HYPERLINK(".\sm_car_241122_0001\sm_car_241122_0001_240_Ca202TrN_MaCKY_ode23t_1.png","figure")</f>
        <v>figure</v>
      </c>
      <c r="P241" t="s">
        <v>15</v>
      </c>
      <c r="S241" t="b">
        <f>B241='2024a_240930_0021'!B239</f>
        <v>1</v>
      </c>
      <c r="T241">
        <f>K241-'2024a_240930_0021'!K239</f>
        <v>-74</v>
      </c>
      <c r="U241" s="5">
        <f>T241/'2024a_240930_0021'!K239</f>
        <v>-4.9130261585446817E-3</v>
      </c>
      <c r="V241" s="4">
        <f>L241-'2024a_240930_0021'!L239</f>
        <v>-62.024319700000007</v>
      </c>
      <c r="W241" s="5">
        <f>V241/'2024a_240930_0021'!L239</f>
        <v>-0.56177166665022626</v>
      </c>
    </row>
    <row r="242" spans="1:23" x14ac:dyDescent="0.25">
      <c r="A242">
        <v>241</v>
      </c>
      <c r="B242">
        <v>202</v>
      </c>
      <c r="C242" t="s">
        <v>45</v>
      </c>
      <c r="D242" t="s">
        <v>35</v>
      </c>
      <c r="E242" t="s">
        <v>108</v>
      </c>
      <c r="F242" t="s">
        <v>19</v>
      </c>
      <c r="G242" t="s">
        <v>20</v>
      </c>
      <c r="H242" t="s">
        <v>21</v>
      </c>
      <c r="I242" t="s">
        <v>75</v>
      </c>
      <c r="J242" t="s">
        <v>23</v>
      </c>
      <c r="K242">
        <v>454</v>
      </c>
      <c r="L242" s="4">
        <v>2.3608717000000001</v>
      </c>
      <c r="M242" s="4">
        <v>381.37278207713604</v>
      </c>
      <c r="N242" s="4">
        <v>0.32873488124669442</v>
      </c>
      <c r="O242" s="1" t="str">
        <f>HYPERLINK(".\sm_car_241122_0001\sm_car_241122_0001_241_Ca202TrN_MaCPL_ode23t_1.png","figure")</f>
        <v>figure</v>
      </c>
      <c r="P242" t="s">
        <v>15</v>
      </c>
      <c r="S242" t="b">
        <f>B242='2024a_240930_0021'!B240</f>
        <v>1</v>
      </c>
      <c r="T242">
        <f>K242-'2024a_240930_0021'!K240</f>
        <v>2</v>
      </c>
      <c r="U242" s="5">
        <f>T242/'2024a_240930_0021'!K240</f>
        <v>4.4247787610619468E-3</v>
      </c>
      <c r="V242" s="4">
        <f>L242-'2024a_240930_0021'!L240</f>
        <v>-1.9994416999999998</v>
      </c>
      <c r="W242" s="5">
        <f>V242/'2024a_240930_0021'!L240</f>
        <v>-0.45855458463146248</v>
      </c>
    </row>
    <row r="243" spans="1:23" x14ac:dyDescent="0.25">
      <c r="A243">
        <v>242</v>
      </c>
      <c r="B243">
        <v>140</v>
      </c>
      <c r="C243" t="s">
        <v>45</v>
      </c>
      <c r="D243" t="s">
        <v>17</v>
      </c>
      <c r="E243" t="s">
        <v>49</v>
      </c>
      <c r="F243" t="s">
        <v>19</v>
      </c>
      <c r="G243" t="s">
        <v>26</v>
      </c>
      <c r="H243" t="s">
        <v>21</v>
      </c>
      <c r="I243" t="s">
        <v>113</v>
      </c>
      <c r="J243" t="s">
        <v>23</v>
      </c>
      <c r="K243">
        <v>2822</v>
      </c>
      <c r="L243" s="4">
        <v>38.8117953</v>
      </c>
      <c r="M243" s="4">
        <v>176.38069330115553</v>
      </c>
      <c r="N243" s="4">
        <v>7.5053857277554577E-4</v>
      </c>
      <c r="O243" s="1" t="str">
        <f>HYPERLINK(".\sm_car_241122_0001\sm_car_241122_0001_242_Ca140TrN_MaCRR_ode23t_1.png","figure")</f>
        <v>figure</v>
      </c>
      <c r="P243" t="s">
        <v>15</v>
      </c>
      <c r="S243" t="b">
        <f>B243='2024a_240930_0021'!B241</f>
        <v>1</v>
      </c>
      <c r="T243">
        <f>K243-'2024a_240930_0021'!K241</f>
        <v>206</v>
      </c>
      <c r="U243" s="5">
        <f>T243/'2024a_240930_0021'!K241</f>
        <v>7.8746177370030576E-2</v>
      </c>
      <c r="V243" s="4">
        <f>L243-'2024a_240930_0021'!L241</f>
        <v>-21.885594900000001</v>
      </c>
      <c r="W243" s="5">
        <f>V243/'2024a_240930_0021'!L241</f>
        <v>-0.36056896067337013</v>
      </c>
    </row>
    <row r="244" spans="1:23" x14ac:dyDescent="0.25">
      <c r="A244">
        <v>243</v>
      </c>
      <c r="B244">
        <v>189</v>
      </c>
      <c r="C244" t="s">
        <v>45</v>
      </c>
      <c r="D244" t="s">
        <v>17</v>
      </c>
      <c r="E244" t="s">
        <v>108</v>
      </c>
      <c r="F244" t="s">
        <v>19</v>
      </c>
      <c r="G244" t="s">
        <v>26</v>
      </c>
      <c r="H244" t="s">
        <v>21</v>
      </c>
      <c r="I244" t="s">
        <v>113</v>
      </c>
      <c r="J244" t="s">
        <v>23</v>
      </c>
      <c r="K244">
        <v>3393</v>
      </c>
      <c r="L244" s="4">
        <v>35.007034699999998</v>
      </c>
      <c r="M244" s="4">
        <v>176.43848783244971</v>
      </c>
      <c r="N244" s="4">
        <v>7.8466589216789266E-4</v>
      </c>
      <c r="O244" s="1" t="str">
        <f>HYPERLINK(".\sm_car_241122_0001\sm_car_241122_0001_243_Ca189TrN_MaCRR_ode23t_1.png","figure")</f>
        <v>figure</v>
      </c>
      <c r="P244" t="s">
        <v>15</v>
      </c>
      <c r="S244" t="b">
        <f>B244='2024a_240930_0021'!B242</f>
        <v>1</v>
      </c>
      <c r="T244">
        <f>K244-'2024a_240930_0021'!K242</f>
        <v>266</v>
      </c>
      <c r="U244" s="5">
        <f>T244/'2024a_240930_0021'!K242</f>
        <v>8.5065558042852568E-2</v>
      </c>
      <c r="V244" s="4">
        <f>L244-'2024a_240930_0021'!L242</f>
        <v>-29.153034800000007</v>
      </c>
      <c r="W244" s="5">
        <f>V244/'2024a_240930_0021'!L242</f>
        <v>-0.45437972600699889</v>
      </c>
    </row>
    <row r="245" spans="1:23" x14ac:dyDescent="0.25">
      <c r="A245">
        <v>244</v>
      </c>
      <c r="B245">
        <v>173</v>
      </c>
      <c r="C245" t="s">
        <v>45</v>
      </c>
      <c r="D245" t="s">
        <v>35</v>
      </c>
      <c r="E245" t="s">
        <v>49</v>
      </c>
      <c r="F245" t="s">
        <v>19</v>
      </c>
      <c r="G245" t="s">
        <v>90</v>
      </c>
      <c r="H245" t="s">
        <v>21</v>
      </c>
      <c r="I245" t="s">
        <v>91</v>
      </c>
      <c r="J245" t="s">
        <v>92</v>
      </c>
      <c r="K245">
        <v>1588</v>
      </c>
      <c r="L245" s="4">
        <v>67.088337999999993</v>
      </c>
      <c r="M245" s="4">
        <v>51.299838907290415</v>
      </c>
      <c r="N245" s="4">
        <v>9.0085651612820186E-3</v>
      </c>
      <c r="O245" s="1" t="str">
        <f>HYPERLINK(".\sm_car_241122_0001\sm_car_241122_0001_244_Ca173TrN_MaDCA_daessc_1.png","figure")</f>
        <v>figure</v>
      </c>
      <c r="P245" t="s">
        <v>15</v>
      </c>
      <c r="S245" t="b">
        <f>B245='2024a_240930_0021'!B243</f>
        <v>1</v>
      </c>
      <c r="T245">
        <f>K245-'2024a_240930_0021'!K243</f>
        <v>-105</v>
      </c>
      <c r="U245" s="5">
        <f>T245/'2024a_240930_0021'!K243</f>
        <v>-6.2020082693443591E-2</v>
      </c>
      <c r="V245" s="4">
        <f>L245-'2024a_240930_0021'!L243</f>
        <v>-57.900930900000006</v>
      </c>
      <c r="W245" s="5">
        <f>V245/'2024a_240930_0021'!L243</f>
        <v>-0.46324721641763283</v>
      </c>
    </row>
    <row r="246" spans="1:23" x14ac:dyDescent="0.25">
      <c r="A246">
        <v>245</v>
      </c>
      <c r="B246">
        <v>173</v>
      </c>
      <c r="C246" t="s">
        <v>45</v>
      </c>
      <c r="D246" t="s">
        <v>35</v>
      </c>
      <c r="E246" t="s">
        <v>49</v>
      </c>
      <c r="F246" t="s">
        <v>19</v>
      </c>
      <c r="G246" t="s">
        <v>90</v>
      </c>
      <c r="H246" t="s">
        <v>21</v>
      </c>
      <c r="I246" t="s">
        <v>93</v>
      </c>
      <c r="J246" t="s">
        <v>92</v>
      </c>
      <c r="K246">
        <v>4087</v>
      </c>
      <c r="L246" s="4">
        <v>105.47229710000001</v>
      </c>
      <c r="M246" s="4">
        <v>980.46776592268725</v>
      </c>
      <c r="N246" s="4">
        <v>0.72235907911669417</v>
      </c>
      <c r="O246" s="1" t="str">
        <f>HYPERLINK(".\sm_car_241122_0001\sm_car_241122_0001_245_Ca173TrN_MaDC1_daessc_1.png","figure")</f>
        <v>figure</v>
      </c>
      <c r="P246" t="s">
        <v>15</v>
      </c>
      <c r="S246" t="b">
        <f>B246='2024a_240930_0021'!B244</f>
        <v>1</v>
      </c>
      <c r="T246">
        <f>K246-'2024a_240930_0021'!K244</f>
        <v>-127</v>
      </c>
      <c r="U246" s="5">
        <f>T246/'2024a_240930_0021'!K244</f>
        <v>-3.0137636449928808E-2</v>
      </c>
      <c r="V246" s="4">
        <f>L246-'2024a_240930_0021'!L244</f>
        <v>-86.981649700000006</v>
      </c>
      <c r="W246" s="5">
        <f>V246/'2024a_240930_0021'!L244</f>
        <v>-0.45196085165451128</v>
      </c>
    </row>
    <row r="247" spans="1:23" x14ac:dyDescent="0.25">
      <c r="A247">
        <v>246</v>
      </c>
      <c r="B247">
        <v>165</v>
      </c>
      <c r="C247" t="s">
        <v>45</v>
      </c>
      <c r="D247" t="s">
        <v>35</v>
      </c>
      <c r="E247" t="s">
        <v>49</v>
      </c>
      <c r="F247" t="s">
        <v>19</v>
      </c>
      <c r="G247" t="s">
        <v>26</v>
      </c>
      <c r="H247" t="s">
        <v>21</v>
      </c>
      <c r="I247" t="s">
        <v>91</v>
      </c>
      <c r="J247" t="s">
        <v>23</v>
      </c>
      <c r="K247">
        <v>323</v>
      </c>
      <c r="L247" s="4">
        <v>2.8320455999999998</v>
      </c>
      <c r="M247" s="4">
        <v>53.509316050623006</v>
      </c>
      <c r="N247" s="4">
        <v>9.7568491871109827E-3</v>
      </c>
      <c r="O247" s="1" t="str">
        <f>HYPERLINK(".\sm_car_241122_0001\sm_car_241122_0001_246_Ca165TrN_MaDCA_ode23t_1.png","figure")</f>
        <v>figure</v>
      </c>
      <c r="P247" t="s">
        <v>15</v>
      </c>
      <c r="S247" t="b">
        <f>B247='2024a_240930_0021'!B245</f>
        <v>1</v>
      </c>
      <c r="T247">
        <f>K247-'2024a_240930_0021'!K245</f>
        <v>-9</v>
      </c>
      <c r="U247" s="5">
        <f>T247/'2024a_240930_0021'!K245</f>
        <v>-2.710843373493976E-2</v>
      </c>
      <c r="V247" s="4">
        <f>L247-'2024a_240930_0021'!L245</f>
        <v>-1.7101246000000003</v>
      </c>
      <c r="W247" s="5">
        <f>V247/'2024a_240930_0021'!L245</f>
        <v>-0.37649945393944073</v>
      </c>
    </row>
    <row r="248" spans="1:23" x14ac:dyDescent="0.25">
      <c r="A248">
        <v>247</v>
      </c>
      <c r="B248">
        <v>165</v>
      </c>
      <c r="C248" t="s">
        <v>45</v>
      </c>
      <c r="D248" t="s">
        <v>35</v>
      </c>
      <c r="E248" t="s">
        <v>49</v>
      </c>
      <c r="F248" t="s">
        <v>19</v>
      </c>
      <c r="G248" t="s">
        <v>26</v>
      </c>
      <c r="H248" t="s">
        <v>21</v>
      </c>
      <c r="I248" t="s">
        <v>93</v>
      </c>
      <c r="J248" t="s">
        <v>23</v>
      </c>
      <c r="K248">
        <v>1198</v>
      </c>
      <c r="L248" s="4">
        <v>6.5186903999999997</v>
      </c>
      <c r="M248" s="4">
        <v>992.65441250671449</v>
      </c>
      <c r="N248" s="4">
        <v>0.70456822599955649</v>
      </c>
      <c r="O248" s="1" t="str">
        <f>HYPERLINK(".\sm_car_241122_0001\sm_car_241122_0001_247_Ca165TrN_MaDC1_ode23t_1.png","figure")</f>
        <v>figure</v>
      </c>
      <c r="P248" t="s">
        <v>15</v>
      </c>
      <c r="S248" t="b">
        <f>B248='2024a_240930_0021'!B246</f>
        <v>1</v>
      </c>
      <c r="T248">
        <f>K248-'2024a_240930_0021'!K246</f>
        <v>-10</v>
      </c>
      <c r="U248" s="5">
        <f>T248/'2024a_240930_0021'!K246</f>
        <v>-8.2781456953642391E-3</v>
      </c>
      <c r="V248" s="4">
        <f>L248-'2024a_240930_0021'!L246</f>
        <v>-4.6356533999999998</v>
      </c>
      <c r="W248" s="5">
        <f>V248/'2024a_240930_0021'!L246</f>
        <v>-0.41559176255621599</v>
      </c>
    </row>
    <row r="249" spans="1:23" x14ac:dyDescent="0.25">
      <c r="A249">
        <v>248</v>
      </c>
      <c r="B249">
        <v>196</v>
      </c>
      <c r="C249" t="s">
        <v>45</v>
      </c>
      <c r="D249" t="s">
        <v>35</v>
      </c>
      <c r="E249" t="s">
        <v>108</v>
      </c>
      <c r="F249" t="s">
        <v>19</v>
      </c>
      <c r="G249" t="s">
        <v>90</v>
      </c>
      <c r="H249" t="s">
        <v>21</v>
      </c>
      <c r="I249" t="s">
        <v>93</v>
      </c>
      <c r="J249" t="s">
        <v>92</v>
      </c>
      <c r="K249">
        <v>4216</v>
      </c>
      <c r="L249" s="4">
        <v>58.890890200000001</v>
      </c>
      <c r="M249" s="4">
        <v>980.46174495750881</v>
      </c>
      <c r="N249" s="4">
        <v>0.72244866271658759</v>
      </c>
      <c r="O249" s="1" t="str">
        <f>HYPERLINK(".\sm_car_241122_0001\sm_car_241122_0001_248_Ca196TrN_MaDC1_daessc_1.png","figure")</f>
        <v>figure</v>
      </c>
      <c r="P249" t="s">
        <v>15</v>
      </c>
      <c r="S249" t="b">
        <f>B249='2024a_240930_0021'!B247</f>
        <v>1</v>
      </c>
      <c r="T249">
        <f>K249-'2024a_240930_0021'!K247</f>
        <v>-28</v>
      </c>
      <c r="U249" s="5">
        <f>T249/'2024a_240930_0021'!K247</f>
        <v>-6.5975494816211122E-3</v>
      </c>
      <c r="V249" s="4">
        <f>L249-'2024a_240930_0021'!L247</f>
        <v>-39.000031800000002</v>
      </c>
      <c r="W249" s="5">
        <f>V249/'2024a_240930_0021'!L247</f>
        <v>-0.39840294690451483</v>
      </c>
    </row>
    <row r="250" spans="1:23" x14ac:dyDescent="0.25">
      <c r="A250">
        <v>249</v>
      </c>
      <c r="B250">
        <v>179</v>
      </c>
      <c r="C250" t="s">
        <v>45</v>
      </c>
      <c r="D250" t="s">
        <v>57</v>
      </c>
      <c r="E250" t="s">
        <v>18</v>
      </c>
      <c r="F250" t="s">
        <v>19</v>
      </c>
      <c r="G250" t="s">
        <v>26</v>
      </c>
      <c r="H250" t="s">
        <v>21</v>
      </c>
      <c r="I250" t="s">
        <v>22</v>
      </c>
      <c r="J250" t="s">
        <v>23</v>
      </c>
      <c r="K250">
        <v>487</v>
      </c>
      <c r="L250" s="4">
        <v>4.5309141000000004</v>
      </c>
      <c r="M250" s="4">
        <v>147.81878569962564</v>
      </c>
      <c r="N250" s="4">
        <v>9.4803710459352625E-2</v>
      </c>
      <c r="O250" s="1" t="str">
        <f>HYPERLINK(".\sm_car_241122_0001\sm_car_241122_0001_249_Ca179TrN_MaWOT_ode23t_1.png","figure")</f>
        <v>figure</v>
      </c>
      <c r="P250" t="s">
        <v>15</v>
      </c>
      <c r="S250" t="b">
        <f>B250='2024a_240930_0021'!B248</f>
        <v>1</v>
      </c>
      <c r="T250">
        <f>K250-'2024a_240930_0021'!K248</f>
        <v>8</v>
      </c>
      <c r="U250" s="5">
        <f>T250/'2024a_240930_0021'!K248</f>
        <v>1.6701461377870562E-2</v>
      </c>
      <c r="V250" s="4">
        <f>L250-'2024a_240930_0021'!L248</f>
        <v>-2.7039532999999993</v>
      </c>
      <c r="W250" s="5">
        <f>V250/'2024a_240930_0021'!L248</f>
        <v>-0.37373916486707132</v>
      </c>
    </row>
    <row r="251" spans="1:23" x14ac:dyDescent="0.25">
      <c r="A251">
        <v>250</v>
      </c>
      <c r="B251">
        <v>180</v>
      </c>
      <c r="C251" t="s">
        <v>45</v>
      </c>
      <c r="D251" t="s">
        <v>57</v>
      </c>
      <c r="E251" t="s">
        <v>49</v>
      </c>
      <c r="F251" t="s">
        <v>19</v>
      </c>
      <c r="G251" t="s">
        <v>26</v>
      </c>
      <c r="H251" t="s">
        <v>21</v>
      </c>
      <c r="I251" t="s">
        <v>22</v>
      </c>
      <c r="J251" t="s">
        <v>23</v>
      </c>
      <c r="K251">
        <v>521</v>
      </c>
      <c r="L251" s="4">
        <v>5.9022094000000003</v>
      </c>
      <c r="M251" s="4">
        <v>147.86066249527934</v>
      </c>
      <c r="N251" s="4">
        <v>9.4529968691258945E-2</v>
      </c>
      <c r="O251" s="1" t="str">
        <f>HYPERLINK(".\sm_car_241122_0001\sm_car_241122_0001_250_Ca180TrN_MaWOT_ode23t_1.png","figure")</f>
        <v>figure</v>
      </c>
      <c r="P251" t="s">
        <v>15</v>
      </c>
      <c r="S251" t="b">
        <f>B251='2024a_240930_0021'!B249</f>
        <v>1</v>
      </c>
      <c r="T251">
        <f>K251-'2024a_240930_0021'!K249</f>
        <v>20</v>
      </c>
      <c r="U251" s="5">
        <f>T251/'2024a_240930_0021'!K249</f>
        <v>3.9920159680638723E-2</v>
      </c>
      <c r="V251" s="4">
        <f>L251-'2024a_240930_0021'!L249</f>
        <v>-4.2885305999999996</v>
      </c>
      <c r="W251" s="5">
        <f>V251/'2024a_240930_0021'!L249</f>
        <v>-0.42082622066699765</v>
      </c>
    </row>
    <row r="252" spans="1:23" x14ac:dyDescent="0.25">
      <c r="A252">
        <v>251</v>
      </c>
      <c r="B252">
        <v>197</v>
      </c>
      <c r="C252" t="s">
        <v>45</v>
      </c>
      <c r="D252" t="s">
        <v>57</v>
      </c>
      <c r="E252" t="s">
        <v>108</v>
      </c>
      <c r="F252" t="s">
        <v>19</v>
      </c>
      <c r="G252" t="s">
        <v>26</v>
      </c>
      <c r="H252" t="s">
        <v>21</v>
      </c>
      <c r="I252" t="s">
        <v>22</v>
      </c>
      <c r="J252" t="s">
        <v>23</v>
      </c>
      <c r="K252">
        <v>470</v>
      </c>
      <c r="L252" s="4">
        <v>1.8063800000000001</v>
      </c>
      <c r="M252" s="4">
        <v>147.86098940060162</v>
      </c>
      <c r="N252" s="4">
        <v>9.4534723479776414E-2</v>
      </c>
      <c r="O252" s="1" t="str">
        <f>HYPERLINK(".\sm_car_241122_0001\sm_car_241122_0001_251_Ca197TrN_MaWOT_ode23t_1.png","figure")</f>
        <v>figure</v>
      </c>
      <c r="P252" t="s">
        <v>15</v>
      </c>
      <c r="S252" t="b">
        <f>B252='2024a_240930_0021'!B250</f>
        <v>1</v>
      </c>
      <c r="T252">
        <f>K252-'2024a_240930_0021'!K250</f>
        <v>9</v>
      </c>
      <c r="U252" s="5">
        <f>T252/'2024a_240930_0021'!K250</f>
        <v>1.9522776572668113E-2</v>
      </c>
      <c r="V252" s="4">
        <f>L252-'2024a_240930_0021'!L250</f>
        <v>-1.1814238999999997</v>
      </c>
      <c r="W252" s="5">
        <f>V252/'2024a_240930_0021'!L250</f>
        <v>-0.39541547556049439</v>
      </c>
    </row>
    <row r="253" spans="1:23" x14ac:dyDescent="0.25">
      <c r="A253">
        <v>252</v>
      </c>
      <c r="B253">
        <v>182</v>
      </c>
      <c r="C253" t="s">
        <v>45</v>
      </c>
      <c r="D253" t="s">
        <v>17</v>
      </c>
      <c r="E253" t="s">
        <v>49</v>
      </c>
      <c r="F253" t="s">
        <v>19</v>
      </c>
      <c r="G253" t="s">
        <v>26</v>
      </c>
      <c r="H253" t="s">
        <v>21</v>
      </c>
      <c r="I253" t="s">
        <v>64</v>
      </c>
      <c r="J253" t="s">
        <v>23</v>
      </c>
      <c r="K253">
        <v>429</v>
      </c>
      <c r="L253" s="4">
        <v>11.2804547</v>
      </c>
      <c r="M253" s="4">
        <v>63.224542181835275</v>
      </c>
      <c r="N253" s="4">
        <v>-25.37640964199278</v>
      </c>
      <c r="O253" s="1" t="str">
        <f>HYPERLINK(".\sm_car_241122_0001\sm_car_241122_0001_252_Ca182TrN_MaTUR_ode23t_1.png","figure")</f>
        <v>figure</v>
      </c>
      <c r="P253" t="s">
        <v>15</v>
      </c>
      <c r="S253" t="b">
        <f>B253='2024a_240930_0021'!B251</f>
        <v>1</v>
      </c>
      <c r="T253">
        <f>K253-'2024a_240930_0021'!K251</f>
        <v>8</v>
      </c>
      <c r="U253" s="5">
        <f>T253/'2024a_240930_0021'!K251</f>
        <v>1.9002375296912115E-2</v>
      </c>
      <c r="V253" s="4">
        <f>L253-'2024a_240930_0021'!L251</f>
        <v>-7.5828951999999994</v>
      </c>
      <c r="W253" s="5">
        <f>V253/'2024a_240930_0021'!L251</f>
        <v>-0.40199091042678481</v>
      </c>
    </row>
    <row r="254" spans="1:23" x14ac:dyDescent="0.25">
      <c r="A254">
        <v>253</v>
      </c>
      <c r="B254">
        <v>203</v>
      </c>
      <c r="C254" t="s">
        <v>45</v>
      </c>
      <c r="D254" t="s">
        <v>17</v>
      </c>
      <c r="E254" t="s">
        <v>108</v>
      </c>
      <c r="F254" t="s">
        <v>19</v>
      </c>
      <c r="G254" t="s">
        <v>26</v>
      </c>
      <c r="H254" t="s">
        <v>21</v>
      </c>
      <c r="I254" t="s">
        <v>64</v>
      </c>
      <c r="J254" t="s">
        <v>23</v>
      </c>
      <c r="K254">
        <v>360</v>
      </c>
      <c r="L254" s="4">
        <v>4.1054865999999999</v>
      </c>
      <c r="M254" s="4">
        <v>63.228745644772744</v>
      </c>
      <c r="N254" s="4">
        <v>-25.392755749521481</v>
      </c>
      <c r="O254" s="1" t="str">
        <f>HYPERLINK(".\sm_car_241122_0001\sm_car_241122_0001_253_Ca203TrN_MaTUR_ode23t_1.png","figure")</f>
        <v>figure</v>
      </c>
      <c r="P254" t="s">
        <v>15</v>
      </c>
      <c r="S254" t="b">
        <f>B254='2024a_240930_0021'!B252</f>
        <v>1</v>
      </c>
      <c r="T254">
        <f>K254-'2024a_240930_0021'!K252</f>
        <v>17</v>
      </c>
      <c r="U254" s="5">
        <f>T254/'2024a_240930_0021'!K252</f>
        <v>4.9562682215743441E-2</v>
      </c>
      <c r="V254" s="4">
        <f>L254-'2024a_240930_0021'!L252</f>
        <v>-2.3337010000000005</v>
      </c>
      <c r="W254" s="5">
        <f>V254/'2024a_240930_0021'!L252</f>
        <v>-0.36242165083061106</v>
      </c>
    </row>
    <row r="255" spans="1:23" x14ac:dyDescent="0.25">
      <c r="A255">
        <v>254</v>
      </c>
      <c r="B255">
        <v>185</v>
      </c>
      <c r="C255" t="s">
        <v>45</v>
      </c>
      <c r="D255" t="s">
        <v>17</v>
      </c>
      <c r="E255" t="s">
        <v>18</v>
      </c>
      <c r="F255" t="s">
        <v>19</v>
      </c>
      <c r="G255" t="s">
        <v>26</v>
      </c>
      <c r="H255" t="s">
        <v>21</v>
      </c>
      <c r="I255" t="s">
        <v>64</v>
      </c>
      <c r="J255" t="s">
        <v>23</v>
      </c>
      <c r="K255">
        <v>507</v>
      </c>
      <c r="L255" s="4">
        <v>18.521516099999999</v>
      </c>
      <c r="M255" s="4">
        <v>114.15599823684838</v>
      </c>
      <c r="N255" s="4">
        <v>-80.771806793798063</v>
      </c>
      <c r="O255" s="1" t="str">
        <f>HYPERLINK(".\sm_car_241122_0001\sm_car_241122_0001_254_Ca185TrN_MaTUR_ode23t_1.png","figure")</f>
        <v>figure</v>
      </c>
      <c r="P255" t="s">
        <v>15</v>
      </c>
      <c r="S255" t="b">
        <f>B255='2024a_240930_0021'!B253</f>
        <v>1</v>
      </c>
      <c r="T255">
        <f>K255-'2024a_240930_0021'!K253</f>
        <v>84</v>
      </c>
      <c r="U255" s="5">
        <f>T255/'2024a_240930_0021'!K253</f>
        <v>0.19858156028368795</v>
      </c>
      <c r="V255" s="4">
        <f>L255-'2024a_240930_0021'!L253</f>
        <v>-1.8184165999999991</v>
      </c>
      <c r="W255" s="5">
        <f>V255/'2024a_240930_0021'!L253</f>
        <v>-8.9401308589383832E-2</v>
      </c>
    </row>
    <row r="256" spans="1:23" x14ac:dyDescent="0.25">
      <c r="A256">
        <v>255</v>
      </c>
      <c r="B256">
        <v>188</v>
      </c>
      <c r="C256" t="s">
        <v>45</v>
      </c>
      <c r="D256" t="s">
        <v>114</v>
      </c>
      <c r="E256" t="s">
        <v>49</v>
      </c>
      <c r="F256" t="s">
        <v>19</v>
      </c>
      <c r="G256" t="s">
        <v>26</v>
      </c>
      <c r="H256" t="s">
        <v>21</v>
      </c>
      <c r="I256" t="s">
        <v>64</v>
      </c>
      <c r="J256" t="s">
        <v>23</v>
      </c>
      <c r="K256">
        <v>542</v>
      </c>
      <c r="L256" s="4">
        <v>6.1380457000000002</v>
      </c>
      <c r="M256" s="4">
        <v>140.6484414063172</v>
      </c>
      <c r="N256" s="4">
        <v>-71.767114050175778</v>
      </c>
      <c r="O256" s="1" t="str">
        <f>HYPERLINK(".\sm_car_241122_0001\sm_car_241122_0001_255_Ca188TrN_MaTUR_ode23t_1.png","figure")</f>
        <v>figure</v>
      </c>
      <c r="P256" t="s">
        <v>15</v>
      </c>
      <c r="S256" t="b">
        <f>B256='2024a_240930_0021'!B254</f>
        <v>1</v>
      </c>
      <c r="T256">
        <f>K256-'2024a_240930_0021'!K254</f>
        <v>-13</v>
      </c>
      <c r="U256" s="5">
        <f>T256/'2024a_240930_0021'!K254</f>
        <v>-2.3423423423423424E-2</v>
      </c>
      <c r="V256" s="4">
        <f>L256-'2024a_240930_0021'!L254</f>
        <v>-4.6788333999999994</v>
      </c>
      <c r="W256" s="5">
        <f>V256/'2024a_240930_0021'!L254</f>
        <v>-0.43254929233701056</v>
      </c>
    </row>
    <row r="257" spans="1:23" x14ac:dyDescent="0.25">
      <c r="A257">
        <v>256</v>
      </c>
      <c r="B257" t="s">
        <v>94</v>
      </c>
      <c r="C257" t="s">
        <v>95</v>
      </c>
      <c r="D257" t="s">
        <v>35</v>
      </c>
      <c r="E257" t="s">
        <v>18</v>
      </c>
      <c r="F257" t="s">
        <v>19</v>
      </c>
      <c r="G257" t="s">
        <v>96</v>
      </c>
      <c r="H257" t="s">
        <v>21</v>
      </c>
      <c r="I257" t="s">
        <v>22</v>
      </c>
      <c r="J257" t="s">
        <v>23</v>
      </c>
      <c r="K257">
        <v>438</v>
      </c>
      <c r="L257" s="4">
        <v>13.8382307</v>
      </c>
      <c r="M257" s="4">
        <v>79.219542366997288</v>
      </c>
      <c r="N257" s="4">
        <v>-0.33383675790894024</v>
      </c>
      <c r="O257" s="1" t="str">
        <f>HYPERLINK(".\sm_car_241122_0001\sm_car_Axle3_241122_0001_256_CaAxle3_000TrN_MaWOT_ode23t_1.png","figure")</f>
        <v>figure</v>
      </c>
      <c r="P257" t="s">
        <v>15</v>
      </c>
      <c r="S257" t="b">
        <f>B257='2024a_240930_0021'!B255</f>
        <v>1</v>
      </c>
      <c r="T257">
        <f>K257-'2024a_240930_0021'!K255</f>
        <v>1</v>
      </c>
      <c r="U257" s="5">
        <f>T257/'2024a_240930_0021'!K255</f>
        <v>2.2883295194508009E-3</v>
      </c>
      <c r="V257" s="4">
        <f>L257-'2024a_240930_0021'!L255</f>
        <v>-7.0575009999999985</v>
      </c>
      <c r="W257" s="5">
        <f>V257/'2024a_240930_0021'!L255</f>
        <v>-0.33774845032107675</v>
      </c>
    </row>
    <row r="258" spans="1:23" x14ac:dyDescent="0.25">
      <c r="A258">
        <v>257</v>
      </c>
      <c r="B258" t="s">
        <v>99</v>
      </c>
      <c r="C258" t="s">
        <v>100</v>
      </c>
      <c r="D258" t="s">
        <v>35</v>
      </c>
      <c r="E258" t="s">
        <v>18</v>
      </c>
      <c r="F258" t="s">
        <v>19</v>
      </c>
      <c r="G258" t="s">
        <v>96</v>
      </c>
      <c r="H258" t="s">
        <v>21</v>
      </c>
      <c r="I258" t="s">
        <v>22</v>
      </c>
      <c r="J258" t="s">
        <v>23</v>
      </c>
      <c r="K258">
        <v>498</v>
      </c>
      <c r="L258" s="4">
        <v>13.124669000000001</v>
      </c>
      <c r="M258" s="4">
        <v>69.133372940784071</v>
      </c>
      <c r="N258" s="4">
        <v>8.3860847378028749E-2</v>
      </c>
      <c r="O258" s="1" t="str">
        <f>HYPERLINK(".\sm_car_241122_0001\sm_car_Axle3_241122_0001_257_CaAxle3_008TrN_MaWOT_ode23t_1.png","figure")</f>
        <v>figure</v>
      </c>
      <c r="P258" t="s">
        <v>15</v>
      </c>
      <c r="S258" t="b">
        <f>B258='2024a_240930_0021'!B256</f>
        <v>1</v>
      </c>
      <c r="T258">
        <f>K258-'2024a_240930_0021'!K256</f>
        <v>16</v>
      </c>
      <c r="U258" s="5">
        <f>T258/'2024a_240930_0021'!K256</f>
        <v>3.3195020746887967E-2</v>
      </c>
      <c r="V258" s="4">
        <f>L258-'2024a_240930_0021'!L256</f>
        <v>-8.0314113999999996</v>
      </c>
      <c r="W258" s="5">
        <f>V258/'2024a_240930_0021'!L256</f>
        <v>-0.37962662497728072</v>
      </c>
    </row>
    <row r="259" spans="1:23" x14ac:dyDescent="0.25">
      <c r="A259">
        <v>258</v>
      </c>
      <c r="B259" t="s">
        <v>97</v>
      </c>
      <c r="C259" t="s">
        <v>95</v>
      </c>
      <c r="D259" t="s">
        <v>35</v>
      </c>
      <c r="E259" t="s">
        <v>49</v>
      </c>
      <c r="F259" t="s">
        <v>19</v>
      </c>
      <c r="G259" t="s">
        <v>98</v>
      </c>
      <c r="H259" t="s">
        <v>21</v>
      </c>
      <c r="I259" t="s">
        <v>22</v>
      </c>
      <c r="J259" t="s">
        <v>23</v>
      </c>
      <c r="K259">
        <v>426</v>
      </c>
      <c r="L259" s="4">
        <v>10.972750700000001</v>
      </c>
      <c r="M259" s="4">
        <v>79.26753082601013</v>
      </c>
      <c r="N259" s="4">
        <v>-0.31346583892466412</v>
      </c>
      <c r="O259" s="1" t="str">
        <f>HYPERLINK(".\sm_car_241122_0001\sm_car_Axle3_241122_0001_258_CaAxle3_003TrN_MaWOT_ode23t_1.png","figure")</f>
        <v>figure</v>
      </c>
      <c r="P259" t="s">
        <v>15</v>
      </c>
      <c r="S259" t="b">
        <f>B259='2024a_240930_0021'!B257</f>
        <v>1</v>
      </c>
      <c r="T259">
        <f>K259-'2024a_240930_0021'!K257</f>
        <v>0</v>
      </c>
      <c r="U259" s="5">
        <f>T259/'2024a_240930_0021'!K257</f>
        <v>0</v>
      </c>
      <c r="V259" s="4">
        <f>L259-'2024a_240930_0021'!L257</f>
        <v>-5.5073531999999989</v>
      </c>
      <c r="W259" s="5">
        <f>V259/'2024a_240930_0021'!L257</f>
        <v>-0.33418194651066485</v>
      </c>
    </row>
    <row r="260" spans="1:23" x14ac:dyDescent="0.25">
      <c r="A260">
        <v>259</v>
      </c>
      <c r="B260" t="s">
        <v>115</v>
      </c>
      <c r="C260" t="s">
        <v>95</v>
      </c>
      <c r="D260" t="s">
        <v>35</v>
      </c>
      <c r="E260" t="s">
        <v>108</v>
      </c>
      <c r="F260" t="s">
        <v>19</v>
      </c>
      <c r="G260" t="s">
        <v>98</v>
      </c>
      <c r="H260" t="s">
        <v>21</v>
      </c>
      <c r="I260" t="s">
        <v>22</v>
      </c>
      <c r="J260" t="s">
        <v>23</v>
      </c>
      <c r="K260">
        <v>438</v>
      </c>
      <c r="L260" s="4">
        <v>1.8051280999999999</v>
      </c>
      <c r="M260" s="4">
        <v>80.149536181477046</v>
      </c>
      <c r="N260" s="4">
        <v>-0.31965340500242301</v>
      </c>
      <c r="O260" s="1" t="str">
        <f>HYPERLINK(".\sm_car_241122_0001\sm_car_Axle3_241122_0001_259_CaAxle3_017TrN_MaWOT_ode23t_1.png","figure")</f>
        <v>figure</v>
      </c>
      <c r="P260" t="s">
        <v>15</v>
      </c>
      <c r="S260" t="b">
        <f>B260='2024a_240930_0021'!B258</f>
        <v>1</v>
      </c>
      <c r="T260">
        <f>K260-'2024a_240930_0021'!K258</f>
        <v>7</v>
      </c>
      <c r="U260" s="5">
        <f>T260/'2024a_240930_0021'!K258</f>
        <v>1.6241299303944315E-2</v>
      </c>
      <c r="V260" s="4">
        <f>L260-'2024a_240930_0021'!L258</f>
        <v>-1.1379542</v>
      </c>
      <c r="W260" s="5">
        <f>V260/'2024a_240930_0021'!L258</f>
        <v>-0.3866538832434282</v>
      </c>
    </row>
    <row r="261" spans="1:23" x14ac:dyDescent="0.25">
      <c r="A261">
        <v>260</v>
      </c>
      <c r="B261" t="s">
        <v>101</v>
      </c>
      <c r="C261" t="s">
        <v>100</v>
      </c>
      <c r="D261" t="s">
        <v>35</v>
      </c>
      <c r="E261" t="s">
        <v>49</v>
      </c>
      <c r="F261" t="s">
        <v>19</v>
      </c>
      <c r="G261" t="s">
        <v>96</v>
      </c>
      <c r="H261" t="s">
        <v>102</v>
      </c>
      <c r="I261" t="s">
        <v>22</v>
      </c>
      <c r="J261" t="s">
        <v>23</v>
      </c>
      <c r="K261">
        <v>379</v>
      </c>
      <c r="L261" s="4">
        <v>25.221961400000001</v>
      </c>
      <c r="M261" s="4">
        <v>23.326591154260509</v>
      </c>
      <c r="N261" s="4">
        <v>2.4825691196431639E-3</v>
      </c>
      <c r="O261" s="1" t="str">
        <f>HYPERLINK(".\sm_car_241122_0001\sm_car_Axle3_241122_0001_260_CaAxle3_010TrK_MaWOT_ode23t_1.png","figure")</f>
        <v>figure</v>
      </c>
      <c r="P261" t="s">
        <v>15</v>
      </c>
      <c r="S261" t="b">
        <f>B261='2024a_240930_0021'!B259</f>
        <v>1</v>
      </c>
      <c r="T261">
        <f>K261-'2024a_240930_0021'!K259</f>
        <v>-1</v>
      </c>
      <c r="U261" s="5">
        <f>T261/'2024a_240930_0021'!K259</f>
        <v>-2.631578947368421E-3</v>
      </c>
      <c r="V261" s="4">
        <f>L261-'2024a_240930_0021'!L259</f>
        <v>-14.243219100000001</v>
      </c>
      <c r="W261" s="5">
        <f>V261/'2024a_240930_0021'!L259</f>
        <v>-0.36090596620988469</v>
      </c>
    </row>
    <row r="262" spans="1:23" x14ac:dyDescent="0.25">
      <c r="A262">
        <v>261</v>
      </c>
      <c r="B262" t="s">
        <v>101</v>
      </c>
      <c r="C262" t="s">
        <v>100</v>
      </c>
      <c r="D262" t="s">
        <v>35</v>
      </c>
      <c r="E262" t="s">
        <v>49</v>
      </c>
      <c r="F262" t="s">
        <v>19</v>
      </c>
      <c r="G262" t="s">
        <v>96</v>
      </c>
      <c r="H262" t="s">
        <v>102</v>
      </c>
      <c r="I262" t="s">
        <v>22</v>
      </c>
      <c r="J262" t="s">
        <v>23</v>
      </c>
      <c r="K262">
        <v>404</v>
      </c>
      <c r="L262" s="4">
        <v>26.251380600000001</v>
      </c>
      <c r="M262" s="4">
        <v>23.441154051369235</v>
      </c>
      <c r="N262" s="4">
        <v>2.5318378727670898E-3</v>
      </c>
      <c r="O262" s="1" t="str">
        <f>HYPERLINK(".\sm_car_241122_0001\sm_car_Axle3_241122_0001_261_CaAxle3_010TrK_MaWOT_ode23t_1.png","figure")</f>
        <v>figure</v>
      </c>
      <c r="P262" t="s">
        <v>15</v>
      </c>
      <c r="S262" t="b">
        <f>B262='2024a_240930_0021'!B260</f>
        <v>1</v>
      </c>
      <c r="T262">
        <f>K262-'2024a_240930_0021'!K260</f>
        <v>2</v>
      </c>
      <c r="U262" s="5">
        <f>T262/'2024a_240930_0021'!K260</f>
        <v>4.9751243781094526E-3</v>
      </c>
      <c r="V262" s="4">
        <f>L262-'2024a_240930_0021'!L260</f>
        <v>-14.309292299999999</v>
      </c>
      <c r="W262" s="5">
        <f>V262/'2024a_240930_0021'!L260</f>
        <v>-0.35278734983708809</v>
      </c>
    </row>
    <row r="263" spans="1:23" x14ac:dyDescent="0.25">
      <c r="A263">
        <v>262</v>
      </c>
      <c r="B263" t="s">
        <v>116</v>
      </c>
      <c r="C263" t="s">
        <v>100</v>
      </c>
      <c r="D263" t="s">
        <v>35</v>
      </c>
      <c r="E263" t="s">
        <v>108</v>
      </c>
      <c r="F263" t="s">
        <v>19</v>
      </c>
      <c r="G263" t="s">
        <v>96</v>
      </c>
      <c r="H263" t="s">
        <v>102</v>
      </c>
      <c r="I263" t="s">
        <v>22</v>
      </c>
      <c r="J263" t="s">
        <v>23</v>
      </c>
      <c r="K263">
        <v>395</v>
      </c>
      <c r="L263" s="4">
        <v>2.2024371999999999</v>
      </c>
      <c r="M263" s="4">
        <v>26.915041029821563</v>
      </c>
      <c r="N263" s="4">
        <v>3.6189163614937514E-3</v>
      </c>
      <c r="O263" s="1" t="str">
        <f>HYPERLINK(".\sm_car_241122_0001\sm_car_Axle3_241122_0001_262_CaAxle3_019TrK_MaWOT_ode23t_1.png","figure")</f>
        <v>figure</v>
      </c>
      <c r="P263" t="s">
        <v>15</v>
      </c>
      <c r="S263" t="b">
        <f>B263='2024a_240930_0021'!B261</f>
        <v>1</v>
      </c>
      <c r="T263">
        <f>K263-'2024a_240930_0021'!K261</f>
        <v>0</v>
      </c>
      <c r="U263" s="5">
        <f>T263/'2024a_240930_0021'!K261</f>
        <v>0</v>
      </c>
      <c r="V263" s="4">
        <f>L263-'2024a_240930_0021'!L261</f>
        <v>-1.1433438000000002</v>
      </c>
      <c r="W263" s="5">
        <f>V263/'2024a_240930_0021'!L261</f>
        <v>-0.34172702875651462</v>
      </c>
    </row>
    <row r="264" spans="1:23" x14ac:dyDescent="0.25">
      <c r="A264">
        <v>263</v>
      </c>
      <c r="B264" t="s">
        <v>116</v>
      </c>
      <c r="C264" t="s">
        <v>100</v>
      </c>
      <c r="D264" t="s">
        <v>35</v>
      </c>
      <c r="E264" t="s">
        <v>108</v>
      </c>
      <c r="F264" t="s">
        <v>19</v>
      </c>
      <c r="G264" t="s">
        <v>96</v>
      </c>
      <c r="H264" t="s">
        <v>102</v>
      </c>
      <c r="I264" t="s">
        <v>22</v>
      </c>
      <c r="J264" t="s">
        <v>23</v>
      </c>
      <c r="K264">
        <v>396</v>
      </c>
      <c r="L264" s="4">
        <v>2.3106952000000001</v>
      </c>
      <c r="M264" s="4">
        <v>26.904146124473968</v>
      </c>
      <c r="N264" s="4">
        <v>3.611462807766589E-3</v>
      </c>
      <c r="O264" s="1" t="str">
        <f>HYPERLINK(".\sm_car_241122_0001\sm_car_Axle3_241122_0001_263_CaAxle3_019TrK_MaWOT_ode23t_1.png","figure")</f>
        <v>figure</v>
      </c>
      <c r="P264" t="s">
        <v>15</v>
      </c>
      <c r="S264" t="b">
        <f>B264='2024a_240930_0021'!B262</f>
        <v>1</v>
      </c>
      <c r="T264">
        <f>K264-'2024a_240930_0021'!K262</f>
        <v>0</v>
      </c>
      <c r="U264" s="5">
        <f>T264/'2024a_240930_0021'!K262</f>
        <v>0</v>
      </c>
      <c r="V264" s="4">
        <f>L264-'2024a_240930_0021'!L262</f>
        <v>-1.1320581999999999</v>
      </c>
      <c r="W264" s="5">
        <f>V264/'2024a_240930_0021'!L262</f>
        <v>-0.32882349342825423</v>
      </c>
    </row>
    <row r="265" spans="1:23" x14ac:dyDescent="0.25">
      <c r="A265">
        <v>264</v>
      </c>
      <c r="B265" t="s">
        <v>103</v>
      </c>
      <c r="C265" t="s">
        <v>100</v>
      </c>
      <c r="D265" t="s">
        <v>35</v>
      </c>
      <c r="E265" t="s">
        <v>18</v>
      </c>
      <c r="F265" t="s">
        <v>19</v>
      </c>
      <c r="G265" t="s">
        <v>104</v>
      </c>
      <c r="H265" t="s">
        <v>102</v>
      </c>
      <c r="I265" t="s">
        <v>53</v>
      </c>
      <c r="J265" t="s">
        <v>23</v>
      </c>
      <c r="K265">
        <v>673</v>
      </c>
      <c r="L265" s="4">
        <v>16.554432299999998</v>
      </c>
      <c r="M265" s="4">
        <v>253.22417415981357</v>
      </c>
      <c r="N265" s="4">
        <v>-9.6950185964230329E-2</v>
      </c>
      <c r="O265" s="1" t="str">
        <f>HYPERLINK(".\sm_car_241122_0001\sm_car_Axle3_241122_0001_264_CaAxle3_012TrK_MaDLC_ode23t_1.png","figure")</f>
        <v>figure</v>
      </c>
      <c r="P265" t="s">
        <v>15</v>
      </c>
      <c r="S265" t="b">
        <f>B265='2024a_240930_0021'!B263</f>
        <v>1</v>
      </c>
      <c r="T265">
        <f>K265-'2024a_240930_0021'!K263</f>
        <v>4</v>
      </c>
      <c r="U265" s="5">
        <f>T265/'2024a_240930_0021'!K263</f>
        <v>5.9790732436472349E-3</v>
      </c>
      <c r="V265" s="4">
        <f>L265-'2024a_240930_0021'!L263</f>
        <v>-11.2208501</v>
      </c>
      <c r="W265" s="5">
        <f>V265/'2024a_240930_0021'!L263</f>
        <v>-0.40398689519714842</v>
      </c>
    </row>
    <row r="266" spans="1:23" x14ac:dyDescent="0.25">
      <c r="A266">
        <v>265</v>
      </c>
      <c r="B266" t="s">
        <v>103</v>
      </c>
      <c r="C266" t="s">
        <v>100</v>
      </c>
      <c r="D266" t="s">
        <v>35</v>
      </c>
      <c r="E266" t="s">
        <v>18</v>
      </c>
      <c r="F266" t="s">
        <v>19</v>
      </c>
      <c r="G266" t="s">
        <v>104</v>
      </c>
      <c r="H266" t="s">
        <v>102</v>
      </c>
      <c r="I266" t="s">
        <v>53</v>
      </c>
      <c r="J266" t="s">
        <v>23</v>
      </c>
      <c r="K266">
        <v>762</v>
      </c>
      <c r="L266" s="4">
        <v>19.607338899999998</v>
      </c>
      <c r="M266" s="4">
        <v>254.33897902999882</v>
      </c>
      <c r="N266" s="4">
        <v>-9.8776899394407813E-2</v>
      </c>
      <c r="O266" s="1" t="str">
        <f>HYPERLINK(".\sm_car_241122_0001\sm_car_Axle3_241122_0001_265_CaAxle3_012TrK_MaDLC_ode23t_1.png","figure")</f>
        <v>figure</v>
      </c>
      <c r="P266" t="s">
        <v>15</v>
      </c>
      <c r="S266" t="b">
        <f>B266='2024a_240930_0021'!B264</f>
        <v>1</v>
      </c>
      <c r="T266">
        <f>K266-'2024a_240930_0021'!K264</f>
        <v>5</v>
      </c>
      <c r="U266" s="5">
        <f>T266/'2024a_240930_0021'!K264</f>
        <v>6.6050198150594455E-3</v>
      </c>
      <c r="V266" s="4">
        <f>L266-'2024a_240930_0021'!L264</f>
        <v>-12.718698499999999</v>
      </c>
      <c r="W266" s="5">
        <f>V266/'2024a_240930_0021'!L264</f>
        <v>-0.39345059039002411</v>
      </c>
    </row>
    <row r="267" spans="1:23" x14ac:dyDescent="0.25">
      <c r="A267">
        <v>266</v>
      </c>
      <c r="B267" t="s">
        <v>103</v>
      </c>
      <c r="C267" t="s">
        <v>100</v>
      </c>
      <c r="D267" t="s">
        <v>35</v>
      </c>
      <c r="E267" t="s">
        <v>18</v>
      </c>
      <c r="F267" t="s">
        <v>19</v>
      </c>
      <c r="G267" t="s">
        <v>104</v>
      </c>
      <c r="H267" t="s">
        <v>102</v>
      </c>
      <c r="I267" t="s">
        <v>53</v>
      </c>
      <c r="J267" t="s">
        <v>23</v>
      </c>
      <c r="K267">
        <v>662</v>
      </c>
      <c r="L267" s="4">
        <v>16.7032715</v>
      </c>
      <c r="M267" s="4">
        <v>255.00899822141128</v>
      </c>
      <c r="N267" s="4">
        <v>-0.10254757216731392</v>
      </c>
      <c r="O267" s="1" t="str">
        <f>HYPERLINK(".\sm_car_241122_0001\sm_car_Axle3_241122_0001_266_CaAxle3_012TrK_MaDLC_ode23t_1.png","figure")</f>
        <v>figure</v>
      </c>
      <c r="P267" t="s">
        <v>15</v>
      </c>
      <c r="S267" t="b">
        <f>B267='2024a_240930_0021'!B265</f>
        <v>1</v>
      </c>
      <c r="T267">
        <f>K267-'2024a_240930_0021'!K265</f>
        <v>-5</v>
      </c>
      <c r="U267" s="5">
        <f>T267/'2024a_240930_0021'!K265</f>
        <v>-7.4962518740629685E-3</v>
      </c>
      <c r="V267" s="4">
        <f>L267-'2024a_240930_0021'!L265</f>
        <v>-10.0336</v>
      </c>
      <c r="W267" s="5">
        <f>V267/'2024a_240930_0021'!L265</f>
        <v>-0.37527202836726803</v>
      </c>
    </row>
    <row r="268" spans="1:23" x14ac:dyDescent="0.25">
      <c r="A268">
        <v>267</v>
      </c>
      <c r="B268" t="s">
        <v>103</v>
      </c>
      <c r="C268" t="s">
        <v>100</v>
      </c>
      <c r="D268" t="s">
        <v>35</v>
      </c>
      <c r="E268" t="s">
        <v>18</v>
      </c>
      <c r="F268" t="s">
        <v>19</v>
      </c>
      <c r="G268" t="s">
        <v>104</v>
      </c>
      <c r="H268" t="s">
        <v>102</v>
      </c>
      <c r="I268" t="s">
        <v>53</v>
      </c>
      <c r="J268" t="s">
        <v>23</v>
      </c>
      <c r="K268">
        <v>935</v>
      </c>
      <c r="L268" s="4">
        <v>20.819749300000002</v>
      </c>
      <c r="M268" s="4">
        <v>253.20541603714798</v>
      </c>
      <c r="N268" s="4">
        <v>-8.8705993421958951E-2</v>
      </c>
      <c r="O268" s="1" t="str">
        <f>HYPERLINK(".\sm_car_241122_0001\sm_car_Axle3_241122_0001_267_CaAxle3_012TrK_MaDLC_ode23t_1.png","figure")</f>
        <v>figure</v>
      </c>
      <c r="P268" t="s">
        <v>15</v>
      </c>
      <c r="S268" t="b">
        <f>B268='2024a_240930_0021'!B266</f>
        <v>1</v>
      </c>
      <c r="T268">
        <f>K268-'2024a_240930_0021'!K266</f>
        <v>-4</v>
      </c>
      <c r="U268" s="5">
        <f>T268/'2024a_240930_0021'!K266</f>
        <v>-4.2598509052183178E-3</v>
      </c>
      <c r="V268" s="4">
        <f>L268-'2024a_240930_0021'!L266</f>
        <v>-12.914128099999996</v>
      </c>
      <c r="W268" s="5">
        <f>V268/'2024a_240930_0021'!L266</f>
        <v>-0.38282371003103238</v>
      </c>
    </row>
    <row r="269" spans="1:23" x14ac:dyDescent="0.25">
      <c r="U269" s="5"/>
      <c r="V269" s="4"/>
      <c r="W269" s="5"/>
    </row>
    <row r="270" spans="1:23" x14ac:dyDescent="0.25">
      <c r="U270" s="5"/>
      <c r="V270" s="4"/>
      <c r="W27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233B6-2B53-410A-AA8C-5905CE2055C2}">
  <dimension ref="A1:R268"/>
  <sheetViews>
    <sheetView tabSelected="1" workbookViewId="0">
      <selection activeCell="G22" sqref="G22"/>
    </sheetView>
  </sheetViews>
  <sheetFormatPr defaultRowHeight="15" x14ac:dyDescent="0.25"/>
  <cols>
    <col min="1" max="1" width="4.42578125" bestFit="1" customWidth="1"/>
    <col min="2" max="2" width="10" bestFit="1" customWidth="1"/>
    <col min="3" max="3" width="14" bestFit="1" customWidth="1"/>
    <col min="4" max="4" width="12.42578125" bestFit="1" customWidth="1"/>
    <col min="5" max="5" width="11.85546875" bestFit="1" customWidth="1"/>
    <col min="6" max="6" width="8.85546875" bestFit="1" customWidth="1"/>
    <col min="7" max="7" width="16.85546875" bestFit="1" customWidth="1"/>
    <col min="8" max="8" width="8.5703125" bestFit="1" customWidth="1"/>
    <col min="9" max="9" width="27.140625" bestFit="1" customWidth="1"/>
    <col min="10" max="10" width="7.140625" bestFit="1" customWidth="1"/>
    <col min="11" max="11" width="7.28515625" bestFit="1" customWidth="1"/>
    <col min="12" max="12" width="7.5703125" bestFit="1" customWidth="1"/>
    <col min="13" max="13" width="8.5703125" bestFit="1" customWidth="1"/>
    <col min="14" max="14" width="9.28515625" bestFit="1" customWidth="1"/>
    <col min="15" max="15" width="6.5703125" bestFit="1" customWidth="1"/>
    <col min="16" max="16" width="4.85546875" bestFit="1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2" t="s">
        <v>132</v>
      </c>
    </row>
    <row r="2" spans="1:18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398</v>
      </c>
      <c r="L2" s="4">
        <v>6.9961345000000001</v>
      </c>
      <c r="M2" s="4">
        <v>233.89307510091533</v>
      </c>
      <c r="N2" s="4">
        <v>1.0261622524691431E-2</v>
      </c>
      <c r="O2" s="1" t="str">
        <f>HYPERLINK(".\sm_car_241122_2356\sm_car_241122_2356_001_Ca000TrN_MaWOT_ode23t.png","figure")</f>
        <v>figure</v>
      </c>
      <c r="P2" t="s">
        <v>15</v>
      </c>
      <c r="R2" s="2" t="s">
        <v>117</v>
      </c>
    </row>
    <row r="3" spans="1:18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23</v>
      </c>
      <c r="K3">
        <v>530</v>
      </c>
      <c r="L3" s="4">
        <v>7.2218828999999998</v>
      </c>
      <c r="M3" s="4">
        <v>71.996409601859298</v>
      </c>
      <c r="N3" s="4">
        <v>-0.5494756169917614</v>
      </c>
      <c r="O3" s="1" t="str">
        <f>HYPERLINK(".\sm_car_241122_2356\sm_car_241122_2356_002_Ca000TrN_MaLSS_ode23t.png","figure")</f>
        <v>figure</v>
      </c>
      <c r="P3" t="s">
        <v>15</v>
      </c>
      <c r="R3" s="2" t="s">
        <v>119</v>
      </c>
    </row>
    <row r="4" spans="1:18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23</v>
      </c>
      <c r="K4">
        <v>401</v>
      </c>
      <c r="L4" s="4">
        <v>6.8508896999999997</v>
      </c>
      <c r="M4" s="4">
        <v>232.86502208791688</v>
      </c>
      <c r="N4" s="4">
        <v>5.2256072038858856E-4</v>
      </c>
      <c r="O4" s="1" t="str">
        <f>HYPERLINK(".\sm_car_241122_2356\sm_car_241122_2356_003_Ca001TrN_MaWOT_ode23t.png","figure")</f>
        <v>figure</v>
      </c>
      <c r="P4" t="s">
        <v>15</v>
      </c>
      <c r="R4" s="2" t="s">
        <v>118</v>
      </c>
    </row>
    <row r="5" spans="1:18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23</v>
      </c>
      <c r="K5">
        <v>510</v>
      </c>
      <c r="L5" s="4">
        <v>8.0374003999999992</v>
      </c>
      <c r="M5" s="4">
        <v>71.688916575799709</v>
      </c>
      <c r="N5" s="4">
        <v>-0.54608187912515971</v>
      </c>
      <c r="O5" s="1" t="str">
        <f>HYPERLINK(".\sm_car_241122_2356\sm_car_241122_2356_004_Ca001TrN_MaLSS_ode23t.png","figure")</f>
        <v>figure</v>
      </c>
      <c r="P5" t="s">
        <v>15</v>
      </c>
      <c r="R5" t="s">
        <v>133</v>
      </c>
    </row>
    <row r="6" spans="1:18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23</v>
      </c>
      <c r="K6">
        <v>423</v>
      </c>
      <c r="L6" s="4">
        <v>9.0090233000000008</v>
      </c>
      <c r="M6" s="4">
        <v>232.75066307143658</v>
      </c>
      <c r="N6" s="4">
        <v>6.5329223607285547E-2</v>
      </c>
      <c r="O6" s="1" t="str">
        <f>HYPERLINK(".\sm_car_241122_2356\sm_car_241122_2356_005_Ca002TrN_MaWOT_ode23t.png","figure")</f>
        <v>figure</v>
      </c>
      <c r="P6" t="s">
        <v>15</v>
      </c>
    </row>
    <row r="7" spans="1:18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23</v>
      </c>
      <c r="K7">
        <v>534</v>
      </c>
      <c r="L7" s="4">
        <v>11.0192423</v>
      </c>
      <c r="M7" s="4">
        <v>71.689885736740607</v>
      </c>
      <c r="N7" s="4">
        <v>-0.54363172188917508</v>
      </c>
      <c r="O7" s="1" t="str">
        <f>HYPERLINK(".\sm_car_241122_2356\sm_car_241122_2356_006_Ca002TrN_MaLSS_ode23t.png","figure")</f>
        <v>figure</v>
      </c>
      <c r="P7" t="s">
        <v>15</v>
      </c>
    </row>
    <row r="8" spans="1:18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23</v>
      </c>
      <c r="K8">
        <v>475</v>
      </c>
      <c r="L8" s="4">
        <v>12.8837416</v>
      </c>
      <c r="M8" s="4">
        <v>232.15670821378404</v>
      </c>
      <c r="N8" s="4">
        <v>6.1564381344187513E-2</v>
      </c>
      <c r="O8" s="1" t="str">
        <f>HYPERLINK(".\sm_car_241122_2356\sm_car_241122_2356_007_Ca003TrN_MaWOT_ode23t.png","figure")</f>
        <v>figure</v>
      </c>
      <c r="P8" t="s">
        <v>15</v>
      </c>
    </row>
    <row r="9" spans="1:18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23</v>
      </c>
      <c r="K9">
        <v>551</v>
      </c>
      <c r="L9" s="4">
        <v>12.9582633</v>
      </c>
      <c r="M9" s="4">
        <v>71.552403860442467</v>
      </c>
      <c r="N9" s="4">
        <v>-0.54148398476713311</v>
      </c>
      <c r="O9" s="1" t="str">
        <f>HYPERLINK(".\sm_car_241122_2356\sm_car_241122_2356_008_Ca003TrN_MaLSS_ode23t.png","figure")</f>
        <v>figure</v>
      </c>
      <c r="P9" t="s">
        <v>15</v>
      </c>
    </row>
    <row r="10" spans="1:18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23</v>
      </c>
      <c r="K10">
        <v>1109</v>
      </c>
      <c r="L10" s="4">
        <v>11.182192199999999</v>
      </c>
      <c r="M10" s="4">
        <v>233.62910536538573</v>
      </c>
      <c r="N10" s="4">
        <v>9.3775246734322353E-3</v>
      </c>
      <c r="O10" s="1" t="str">
        <f>HYPERLINK(".\sm_car_241122_2356\sm_car_241122_2356_009_Ca004TrN_MaWOT_ode23t.png","figure")</f>
        <v>figure</v>
      </c>
      <c r="P10" t="s">
        <v>15</v>
      </c>
    </row>
    <row r="11" spans="1:18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23</v>
      </c>
      <c r="K11">
        <v>1245</v>
      </c>
      <c r="L11" s="4">
        <v>13.426936</v>
      </c>
      <c r="M11" s="4">
        <v>71.991828445987537</v>
      </c>
      <c r="N11" s="4">
        <v>-0.5563934118894851</v>
      </c>
      <c r="O11" s="1" t="str">
        <f>HYPERLINK(".\sm_car_241122_2356\sm_car_241122_2356_010_Ca004TrN_MaLSS_ode23t.png","figure")</f>
        <v>figure</v>
      </c>
      <c r="P11" t="s">
        <v>15</v>
      </c>
    </row>
    <row r="12" spans="1:18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23</v>
      </c>
      <c r="K12">
        <v>1106</v>
      </c>
      <c r="L12" s="4">
        <v>13.2708531</v>
      </c>
      <c r="M12" s="4">
        <v>232.76042384703018</v>
      </c>
      <c r="N12" s="4">
        <v>1.8513350714324506E-3</v>
      </c>
      <c r="O12" s="1" t="str">
        <f>HYPERLINK(".\sm_car_241122_2356\sm_car_241122_2356_011_Ca005TrN_MaWOT_ode23t.png","figure")</f>
        <v>figure</v>
      </c>
      <c r="P12" t="s">
        <v>15</v>
      </c>
    </row>
    <row r="13" spans="1:18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23</v>
      </c>
      <c r="K13">
        <v>1242</v>
      </c>
      <c r="L13" s="4">
        <v>14.0052369</v>
      </c>
      <c r="M13" s="4">
        <v>71.702490964550122</v>
      </c>
      <c r="N13" s="4">
        <v>-0.55050908617817518</v>
      </c>
      <c r="O13" s="1" t="str">
        <f>HYPERLINK(".\sm_car_241122_2356\sm_car_241122_2356_012_Ca005TrN_MaLSS_ode23t.png","figure")</f>
        <v>figure</v>
      </c>
      <c r="P13" t="s">
        <v>15</v>
      </c>
    </row>
    <row r="14" spans="1:18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23</v>
      </c>
      <c r="K14">
        <v>1184</v>
      </c>
      <c r="L14" s="4">
        <v>14.4111741</v>
      </c>
      <c r="M14" s="4">
        <v>232.78422164447858</v>
      </c>
      <c r="N14" s="4">
        <v>7.1965306722618527E-2</v>
      </c>
      <c r="O14" s="1" t="str">
        <f>HYPERLINK(".\sm_car_241122_2356\sm_car_241122_2356_013_Ca006TrN_MaWOT_ode23t.png","figure")</f>
        <v>figure</v>
      </c>
      <c r="P14" t="s">
        <v>15</v>
      </c>
    </row>
    <row r="15" spans="1:18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23</v>
      </c>
      <c r="K15">
        <v>1277</v>
      </c>
      <c r="L15" s="4">
        <v>15.5514215</v>
      </c>
      <c r="M15" s="4">
        <v>71.689819310723863</v>
      </c>
      <c r="N15" s="4">
        <v>-0.54375756627388383</v>
      </c>
      <c r="O15" s="1" t="str">
        <f>HYPERLINK(".\sm_car_241122_2356\sm_car_241122_2356_014_Ca006TrN_MaLSS_ode23t.png","figure")</f>
        <v>figure</v>
      </c>
      <c r="P15" t="s">
        <v>15</v>
      </c>
    </row>
    <row r="16" spans="1:18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23</v>
      </c>
      <c r="K16">
        <v>1185</v>
      </c>
      <c r="L16" s="4">
        <v>15.735232999999999</v>
      </c>
      <c r="M16" s="4">
        <v>232.40930966904614</v>
      </c>
      <c r="N16" s="4">
        <v>6.713818911679667E-2</v>
      </c>
      <c r="O16" s="1" t="str">
        <f>HYPERLINK(".\sm_car_241122_2356\sm_car_241122_2356_015_Ca007TrN_MaWOT_ode23t.png","figure")</f>
        <v>figure</v>
      </c>
      <c r="P16" t="s">
        <v>15</v>
      </c>
    </row>
    <row r="17" spans="1:16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23</v>
      </c>
      <c r="K17">
        <v>1266</v>
      </c>
      <c r="L17" s="4">
        <v>15.289203199999999</v>
      </c>
      <c r="M17" s="4">
        <v>71.565183182750332</v>
      </c>
      <c r="N17" s="4">
        <v>-0.54191769153690916</v>
      </c>
      <c r="O17" s="1" t="str">
        <f>HYPERLINK(".\sm_car_241122_2356\sm_car_241122_2356_016_Ca007TrN_MaLSS_ode23t.png","figure")</f>
        <v>figure</v>
      </c>
      <c r="P17" t="s">
        <v>15</v>
      </c>
    </row>
    <row r="18" spans="1:16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>
        <v>407</v>
      </c>
      <c r="L18" s="4">
        <v>5.3465306000000004</v>
      </c>
      <c r="M18" s="4">
        <v>234.4033208477359</v>
      </c>
      <c r="N18" s="4">
        <v>-7.1285932608867481E-2</v>
      </c>
      <c r="O18" s="1" t="str">
        <f>HYPERLINK(".\sm_car_241122_2356\sm_car_241122_2356_017_Ca016TrN_MaWOT_ode23t.png","figure")</f>
        <v>figure</v>
      </c>
      <c r="P18" t="s">
        <v>15</v>
      </c>
    </row>
    <row r="19" spans="1:16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23</v>
      </c>
      <c r="K19">
        <v>494</v>
      </c>
      <c r="L19" s="4">
        <v>5.5802756999999996</v>
      </c>
      <c r="M19" s="4">
        <v>72.260638314079159</v>
      </c>
      <c r="N19" s="4">
        <v>-2.1654947843563699E-2</v>
      </c>
      <c r="O19" s="1" t="str">
        <f>HYPERLINK(".\sm_car_241122_2356\sm_car_241122_2356_018_Ca016TrN_MaLSS_ode23t.png","figure")</f>
        <v>figure</v>
      </c>
      <c r="P19" t="s">
        <v>15</v>
      </c>
    </row>
    <row r="20" spans="1:16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>
        <v>399</v>
      </c>
      <c r="L20" s="4">
        <v>7.0556536999999997</v>
      </c>
      <c r="M20" s="4">
        <v>233.86989271524681</v>
      </c>
      <c r="N20" s="4">
        <v>1.9758754011097335E-2</v>
      </c>
      <c r="O20" s="1" t="str">
        <f>HYPERLINK(".\sm_car_241122_2356\sm_car_241122_2356_019_Ca032TrN_MaWOT_ode23t.png","figure")</f>
        <v>figure</v>
      </c>
      <c r="P20" t="s">
        <v>15</v>
      </c>
    </row>
    <row r="21" spans="1:16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23</v>
      </c>
      <c r="K21">
        <v>514</v>
      </c>
      <c r="L21" s="4">
        <v>7.8678395999999999</v>
      </c>
      <c r="M21" s="4">
        <v>71.988949724106291</v>
      </c>
      <c r="N21" s="4">
        <v>-0.53236618908367572</v>
      </c>
      <c r="O21" s="1" t="str">
        <f>HYPERLINK(".\sm_car_241122_2356\sm_car_241122_2356_020_Ca032TrN_MaLSS_ode23t.png","figure")</f>
        <v>figure</v>
      </c>
      <c r="P21" t="s">
        <v>15</v>
      </c>
    </row>
    <row r="22" spans="1:16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>
        <v>411</v>
      </c>
      <c r="L22" s="4">
        <v>7.5842520000000002</v>
      </c>
      <c r="M22" s="4">
        <v>233.76976897594068</v>
      </c>
      <c r="N22" s="4">
        <v>-5.7063822112780804E-3</v>
      </c>
      <c r="O22" s="1" t="str">
        <f>HYPERLINK(".\sm_car_241122_2356\sm_car_241122_2356_021_Ca048TrN_MaWOT_ode23t.png","figure")</f>
        <v>figure</v>
      </c>
      <c r="P22" t="s">
        <v>15</v>
      </c>
    </row>
    <row r="23" spans="1:16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23</v>
      </c>
      <c r="K23">
        <v>522</v>
      </c>
      <c r="L23" s="4">
        <v>8.6686429</v>
      </c>
      <c r="M23" s="4">
        <v>71.995765081100743</v>
      </c>
      <c r="N23" s="4">
        <v>-0.53974793897238071</v>
      </c>
      <c r="O23" s="1" t="str">
        <f>HYPERLINK(".\sm_car_241122_2356\sm_car_241122_2356_022_Ca048TrN_MaLSS_ode23t.png","figure")</f>
        <v>figure</v>
      </c>
      <c r="P23" t="s">
        <v>15</v>
      </c>
    </row>
    <row r="24" spans="1:16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>
        <v>422</v>
      </c>
      <c r="L24" s="4">
        <v>8.3425957000000004</v>
      </c>
      <c r="M24" s="4">
        <v>233.88977294109276</v>
      </c>
      <c r="N24" s="4">
        <v>2.0019299992676289E-2</v>
      </c>
      <c r="O24" s="1" t="str">
        <f>HYPERLINK(".\sm_car_241122_2356\sm_car_241122_2356_023_Ca064TrN_MaWOT_ode23t.png","figure")</f>
        <v>figure</v>
      </c>
      <c r="P24" t="s">
        <v>15</v>
      </c>
    </row>
    <row r="25" spans="1:16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23</v>
      </c>
      <c r="K25">
        <v>508</v>
      </c>
      <c r="L25" s="4">
        <v>8.9212807000000005</v>
      </c>
      <c r="M25" s="4">
        <v>72.005534584979202</v>
      </c>
      <c r="N25" s="4">
        <v>-0.52596955107441834</v>
      </c>
      <c r="O25" s="1" t="str">
        <f>HYPERLINK(".\sm_car_241122_2356\sm_car_241122_2356_024_Ca064TrN_MaLSS_ode23t.png","figure")</f>
        <v>figure</v>
      </c>
      <c r="P25" t="s">
        <v>15</v>
      </c>
    </row>
    <row r="26" spans="1:16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>
        <v>404</v>
      </c>
      <c r="L26" s="4">
        <v>8.6183879999999995</v>
      </c>
      <c r="M26" s="4">
        <v>233.72038199436577</v>
      </c>
      <c r="N26" s="4">
        <v>-6.0025544910578136E-3</v>
      </c>
      <c r="O26" s="1" t="str">
        <f>HYPERLINK(".\sm_car_241122_2356\sm_car_241122_2356_025_Ca080TrN_MaWOT_ode23t.png","figure")</f>
        <v>figure</v>
      </c>
      <c r="P26" t="s">
        <v>15</v>
      </c>
    </row>
    <row r="27" spans="1:16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23</v>
      </c>
      <c r="K27">
        <v>522</v>
      </c>
      <c r="L27" s="4">
        <v>8.9694473000000006</v>
      </c>
      <c r="M27" s="4">
        <v>71.986971244897362</v>
      </c>
      <c r="N27" s="4">
        <v>-0.5390554287178122</v>
      </c>
      <c r="O27" s="1" t="str">
        <f>HYPERLINK(".\sm_car_241122_2356\sm_car_241122_2356_026_Ca080TrN_MaLSS_ode23t.png","figure")</f>
        <v>figure</v>
      </c>
      <c r="P27" t="s">
        <v>15</v>
      </c>
    </row>
    <row r="28" spans="1:16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>
        <v>417</v>
      </c>
      <c r="L28" s="4">
        <v>6.1500915000000003</v>
      </c>
      <c r="M28" s="4">
        <v>235.58608439819207</v>
      </c>
      <c r="N28" s="4">
        <v>3.264232570084484E-2</v>
      </c>
      <c r="O28" s="1" t="str">
        <f>HYPERLINK(".\sm_car_241122_2356\sm_car_241122_2356_027_Ca096TrN_MaWOT_ode23t.png","figure")</f>
        <v>figure</v>
      </c>
      <c r="P28" t="s">
        <v>15</v>
      </c>
    </row>
    <row r="29" spans="1:16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23</v>
      </c>
      <c r="K29">
        <v>512</v>
      </c>
      <c r="L29" s="4">
        <v>6.8572614999999999</v>
      </c>
      <c r="M29" s="4">
        <v>72.511955923052653</v>
      </c>
      <c r="N29" s="4">
        <v>-0.53781557010692771</v>
      </c>
      <c r="O29" s="1" t="str">
        <f>HYPERLINK(".\sm_car_241122_2356\sm_car_241122_2356_028_Ca096TrN_MaLSS_ode23t.png","figure")</f>
        <v>figure</v>
      </c>
      <c r="P29" t="s">
        <v>15</v>
      </c>
    </row>
    <row r="30" spans="1:16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>
        <v>380</v>
      </c>
      <c r="L30" s="4">
        <v>2.5444718000000002</v>
      </c>
      <c r="M30" s="4">
        <v>242.6089250266231</v>
      </c>
      <c r="N30" s="4">
        <v>0.23450595985822392</v>
      </c>
      <c r="O30" s="1" t="str">
        <f>HYPERLINK(".\sm_car_241122_2356\sm_car_241122_2356_029_Ca112TrN_MaWOT_ode23t.png","figure")</f>
        <v>figure</v>
      </c>
      <c r="P30" t="s">
        <v>15</v>
      </c>
    </row>
    <row r="31" spans="1:16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23</v>
      </c>
      <c r="K31">
        <v>472</v>
      </c>
      <c r="L31" s="4">
        <v>2.6872378000000001</v>
      </c>
      <c r="M31" s="4">
        <v>74.659635890023381</v>
      </c>
      <c r="N31" s="4">
        <v>-0.33799621506860861</v>
      </c>
      <c r="O31" s="1" t="str">
        <f>HYPERLINK(".\sm_car_241122_2356\sm_car_241122_2356_030_Ca112TrN_MaLSS_ode23t.png","figure")</f>
        <v>figure</v>
      </c>
      <c r="P31" t="s">
        <v>15</v>
      </c>
    </row>
    <row r="32" spans="1:16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23</v>
      </c>
      <c r="K32">
        <v>366</v>
      </c>
      <c r="L32" s="4">
        <v>2.9269514999999999</v>
      </c>
      <c r="M32" s="4">
        <v>241.49880149911601</v>
      </c>
      <c r="N32" s="4">
        <v>0.22933555890724622</v>
      </c>
      <c r="O32" s="1" t="str">
        <f>HYPERLINK(".\sm_car_241122_2356\sm_car_241122_2356_031_Ca113TrN_MaWOT_ode23t.png","figure")</f>
        <v>figure</v>
      </c>
      <c r="P32" t="s">
        <v>15</v>
      </c>
    </row>
    <row r="33" spans="1:16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23</v>
      </c>
      <c r="K33">
        <v>487</v>
      </c>
      <c r="L33" s="4">
        <v>3.3228523000000001</v>
      </c>
      <c r="M33" s="4">
        <v>74.346228062681817</v>
      </c>
      <c r="N33" s="4">
        <v>-0.33396938399784559</v>
      </c>
      <c r="O33" s="1" t="str">
        <f>HYPERLINK(".\sm_car_241122_2356\sm_car_241122_2356_032_Ca113TrN_MaLSS_ode23t.png","figure")</f>
        <v>figure</v>
      </c>
      <c r="P33" t="s">
        <v>15</v>
      </c>
    </row>
    <row r="34" spans="1:16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23</v>
      </c>
      <c r="K34">
        <v>382</v>
      </c>
      <c r="L34" s="4">
        <v>3.1043661</v>
      </c>
      <c r="M34" s="4">
        <v>241.61378277209207</v>
      </c>
      <c r="N34" s="4">
        <v>0.23021245244501903</v>
      </c>
      <c r="O34" s="1" t="str">
        <f>HYPERLINK(".\sm_car_241122_2356\sm_car_241122_2356_033_Ca114TrN_MaWOT_ode23t.png","figure")</f>
        <v>figure</v>
      </c>
      <c r="P34" t="s">
        <v>15</v>
      </c>
    </row>
    <row r="35" spans="1:16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23</v>
      </c>
      <c r="K35">
        <v>482</v>
      </c>
      <c r="L35" s="4">
        <v>3.3250342000000002</v>
      </c>
      <c r="M35" s="4">
        <v>74.351409358906011</v>
      </c>
      <c r="N35" s="4">
        <v>-0.33420060419010328</v>
      </c>
      <c r="O35" s="1" t="str">
        <f>HYPERLINK(".\sm_car_241122_2356\sm_car_241122_2356_034_Ca114TrN_MaLSS_ode23t.png","figure")</f>
        <v>figure</v>
      </c>
      <c r="P35" t="s">
        <v>15</v>
      </c>
    </row>
    <row r="36" spans="1:16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23</v>
      </c>
      <c r="K36">
        <v>394</v>
      </c>
      <c r="L36" s="4">
        <v>3.1969306999999998</v>
      </c>
      <c r="M36" s="4">
        <v>241.17294486789336</v>
      </c>
      <c r="N36" s="4">
        <v>0.22843004969485575</v>
      </c>
      <c r="O36" s="1" t="str">
        <f>HYPERLINK(".\sm_car_241122_2356\sm_car_241122_2356_035_Ca115TrN_MaWOT_ode23t.png","figure")</f>
        <v>figure</v>
      </c>
      <c r="P36" t="s">
        <v>15</v>
      </c>
    </row>
    <row r="37" spans="1:16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23</v>
      </c>
      <c r="K37">
        <v>505</v>
      </c>
      <c r="L37" s="4">
        <v>3.3784782</v>
      </c>
      <c r="M37" s="4">
        <v>74.209226032839169</v>
      </c>
      <c r="N37" s="4">
        <v>-0.3316804496625117</v>
      </c>
      <c r="O37" s="1" t="str">
        <f>HYPERLINK(".\sm_car_241122_2356\sm_car_241122_2356_036_Ca115TrN_MaLSS_ode23t.png","figure")</f>
        <v>figure</v>
      </c>
      <c r="P37" t="s">
        <v>15</v>
      </c>
    </row>
    <row r="38" spans="1:16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23</v>
      </c>
      <c r="K38">
        <v>943</v>
      </c>
      <c r="L38" s="4">
        <v>4.7795626000000002</v>
      </c>
      <c r="M38" s="4">
        <v>242.63118630005806</v>
      </c>
      <c r="N38" s="4">
        <v>0.2327919371692862</v>
      </c>
      <c r="O38" s="1" t="str">
        <f>HYPERLINK(".\sm_car_241122_2356\sm_car_241122_2356_037_Ca116TrN_MaWOT_ode23t.png","figure")</f>
        <v>figure</v>
      </c>
      <c r="P38" t="s">
        <v>15</v>
      </c>
    </row>
    <row r="39" spans="1:16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23</v>
      </c>
      <c r="K39">
        <v>1060</v>
      </c>
      <c r="L39" s="4">
        <v>4.9559986</v>
      </c>
      <c r="M39" s="4">
        <v>74.660234080632137</v>
      </c>
      <c r="N39" s="4">
        <v>-0.34043153147504285</v>
      </c>
      <c r="O39" s="1" t="str">
        <f>HYPERLINK(".\sm_car_241122_2356\sm_car_241122_2356_038_Ca116TrN_MaLSS_ode23t.png","figure")</f>
        <v>figure</v>
      </c>
      <c r="P39" t="s">
        <v>15</v>
      </c>
    </row>
    <row r="40" spans="1:16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23</v>
      </c>
      <c r="K40">
        <v>951</v>
      </c>
      <c r="L40" s="4">
        <v>5.0012166999999996</v>
      </c>
      <c r="M40" s="4">
        <v>241.56097975248917</v>
      </c>
      <c r="N40" s="4">
        <v>0.22971380339965491</v>
      </c>
      <c r="O40" s="1" t="str">
        <f>HYPERLINK(".\sm_car_241122_2356\sm_car_241122_2356_039_Ca117TrN_MaWOT_ode23t.png","figure")</f>
        <v>figure</v>
      </c>
      <c r="P40" t="s">
        <v>15</v>
      </c>
    </row>
    <row r="41" spans="1:16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23</v>
      </c>
      <c r="K41">
        <v>1068</v>
      </c>
      <c r="L41" s="4">
        <v>5.4741925</v>
      </c>
      <c r="M41" s="4">
        <v>74.350658147491714</v>
      </c>
      <c r="N41" s="4">
        <v>-0.33660139121906185</v>
      </c>
      <c r="O41" s="1" t="str">
        <f>HYPERLINK(".\sm_car_241122_2356\sm_car_241122_2356_040_Ca117TrN_MaLSS_ode23t.png","figure")</f>
        <v>figure</v>
      </c>
      <c r="P41" t="s">
        <v>15</v>
      </c>
    </row>
    <row r="42" spans="1:16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23</v>
      </c>
      <c r="K42">
        <v>941</v>
      </c>
      <c r="L42" s="4">
        <v>5.2689190999999997</v>
      </c>
      <c r="M42" s="4">
        <v>241.36830230630156</v>
      </c>
      <c r="N42" s="4">
        <v>0.23049915345602534</v>
      </c>
      <c r="O42" s="1" t="str">
        <f>HYPERLINK(".\sm_car_241122_2356\sm_car_241122_2356_041_Ca118TrN_MaWOT_ode23t.png","figure")</f>
        <v>figure</v>
      </c>
      <c r="P42" t="s">
        <v>15</v>
      </c>
    </row>
    <row r="43" spans="1:16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23</v>
      </c>
      <c r="K43">
        <v>1055</v>
      </c>
      <c r="L43" s="4">
        <v>5.9931869000000004</v>
      </c>
      <c r="M43" s="4">
        <v>74.35119559538083</v>
      </c>
      <c r="N43" s="4">
        <v>-0.33387549857144455</v>
      </c>
      <c r="O43" s="1" t="str">
        <f>HYPERLINK(".\sm_car_241122_2356\sm_car_241122_2356_042_Ca118TrN_MaLSS_ode23t.png","figure")</f>
        <v>figure</v>
      </c>
      <c r="P43" t="s">
        <v>15</v>
      </c>
    </row>
    <row r="44" spans="1:16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23</v>
      </c>
      <c r="K44">
        <v>959</v>
      </c>
      <c r="L44" s="4">
        <v>5.5090889000000001</v>
      </c>
      <c r="M44" s="4">
        <v>241.09121609270599</v>
      </c>
      <c r="N44" s="4">
        <v>0.22835412613645201</v>
      </c>
      <c r="O44" s="1" t="str">
        <f>HYPERLINK(".\sm_car_241122_2356\sm_car_241122_2356_043_Ca119TrN_MaWOT_ode23t.png","figure")</f>
        <v>figure</v>
      </c>
      <c r="P44" t="s">
        <v>15</v>
      </c>
    </row>
    <row r="45" spans="1:16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23</v>
      </c>
      <c r="K45">
        <v>1071</v>
      </c>
      <c r="L45" s="4">
        <v>5.5947266999999998</v>
      </c>
      <c r="M45" s="4">
        <v>74.199765655429701</v>
      </c>
      <c r="N45" s="4">
        <v>-0.33204493193556511</v>
      </c>
      <c r="O45" s="1" t="str">
        <f>HYPERLINK(".\sm_car_241122_2356\sm_car_241122_2356_044_Ca119TrN_MaLSS_ode23t.png","figure")</f>
        <v>figure</v>
      </c>
      <c r="P45" t="s">
        <v>15</v>
      </c>
    </row>
    <row r="46" spans="1:16" x14ac:dyDescent="0.25">
      <c r="A46">
        <v>45</v>
      </c>
      <c r="B46">
        <v>128</v>
      </c>
      <c r="C46" t="s">
        <v>16</v>
      </c>
      <c r="D46" t="s">
        <v>17</v>
      </c>
      <c r="E46" t="s">
        <v>108</v>
      </c>
      <c r="F46" t="s">
        <v>19</v>
      </c>
      <c r="G46" t="s">
        <v>36</v>
      </c>
      <c r="H46" t="s">
        <v>21</v>
      </c>
      <c r="I46" t="s">
        <v>22</v>
      </c>
      <c r="J46" t="s">
        <v>23</v>
      </c>
      <c r="K46">
        <v>311</v>
      </c>
      <c r="L46" s="4">
        <v>5.6379267999999998</v>
      </c>
      <c r="M46" s="4">
        <v>100.61935044495536</v>
      </c>
      <c r="N46" s="4">
        <v>-1.4891059414081207E-2</v>
      </c>
      <c r="O46" s="1" t="str">
        <f>HYPERLINK(".\sm_car_241122_2356\sm_car_241122_2356_045_Ca128TrN_MaWOT_ode23t.png","figure")</f>
        <v>figure</v>
      </c>
      <c r="P46" t="s">
        <v>15</v>
      </c>
    </row>
    <row r="47" spans="1:16" x14ac:dyDescent="0.25">
      <c r="A47">
        <v>46</v>
      </c>
      <c r="B47">
        <v>128</v>
      </c>
      <c r="C47" t="s">
        <v>16</v>
      </c>
      <c r="D47" t="s">
        <v>17</v>
      </c>
      <c r="E47" t="s">
        <v>108</v>
      </c>
      <c r="F47" t="s">
        <v>19</v>
      </c>
      <c r="G47" t="s">
        <v>36</v>
      </c>
      <c r="H47" t="s">
        <v>21</v>
      </c>
      <c r="I47" t="s">
        <v>24</v>
      </c>
      <c r="J47" t="s">
        <v>23</v>
      </c>
      <c r="K47">
        <v>441</v>
      </c>
      <c r="L47" s="4">
        <v>7.0130043999999998</v>
      </c>
      <c r="M47" s="4">
        <v>37.245859457042698</v>
      </c>
      <c r="N47" s="4">
        <v>-0.13393780168743288</v>
      </c>
      <c r="O47" s="1" t="str">
        <f>HYPERLINK(".\sm_car_241122_2356\sm_car_241122_2356_046_Ca128TrN_MaLSS_ode23t.png","figure")</f>
        <v>figure</v>
      </c>
      <c r="P47" t="s">
        <v>15</v>
      </c>
    </row>
    <row r="48" spans="1:16" x14ac:dyDescent="0.25">
      <c r="A48">
        <v>47</v>
      </c>
      <c r="B48">
        <v>129</v>
      </c>
      <c r="C48" t="s">
        <v>16</v>
      </c>
      <c r="D48" t="s">
        <v>17</v>
      </c>
      <c r="E48" t="s">
        <v>108</v>
      </c>
      <c r="F48" t="s">
        <v>19</v>
      </c>
      <c r="G48" t="s">
        <v>37</v>
      </c>
      <c r="H48" t="s">
        <v>21</v>
      </c>
      <c r="I48" t="s">
        <v>22</v>
      </c>
      <c r="J48" t="s">
        <v>23</v>
      </c>
      <c r="K48">
        <v>331</v>
      </c>
      <c r="L48" s="4">
        <v>6.1412445</v>
      </c>
      <c r="M48" s="4">
        <v>232.58169832803108</v>
      </c>
      <c r="N48" s="4">
        <v>7.4988266144579485E-2</v>
      </c>
      <c r="O48" s="1" t="str">
        <f>HYPERLINK(".\sm_car_241122_2356\sm_car_241122_2356_047_Ca129TrN_MaWOT_ode23t.png","figure")</f>
        <v>figure</v>
      </c>
      <c r="P48" t="s">
        <v>15</v>
      </c>
    </row>
    <row r="49" spans="1:16" x14ac:dyDescent="0.25">
      <c r="A49">
        <v>48</v>
      </c>
      <c r="B49">
        <v>129</v>
      </c>
      <c r="C49" t="s">
        <v>16</v>
      </c>
      <c r="D49" t="s">
        <v>17</v>
      </c>
      <c r="E49" t="s">
        <v>108</v>
      </c>
      <c r="F49" t="s">
        <v>19</v>
      </c>
      <c r="G49" t="s">
        <v>37</v>
      </c>
      <c r="H49" t="s">
        <v>21</v>
      </c>
      <c r="I49" t="s">
        <v>24</v>
      </c>
      <c r="J49" t="s">
        <v>23</v>
      </c>
      <c r="K49">
        <v>484</v>
      </c>
      <c r="L49" s="4">
        <v>8.3982807000000008</v>
      </c>
      <c r="M49" s="4">
        <v>71.612929414244803</v>
      </c>
      <c r="N49" s="4">
        <v>-0.54199362602529788</v>
      </c>
      <c r="O49" s="1" t="str">
        <f>HYPERLINK(".\sm_car_241122_2356\sm_car_241122_2356_048_Ca129TrN_MaLSS_ode23t.png","figure")</f>
        <v>figure</v>
      </c>
      <c r="P49" t="s">
        <v>15</v>
      </c>
    </row>
    <row r="50" spans="1:16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23</v>
      </c>
      <c r="K50">
        <v>802</v>
      </c>
      <c r="L50" s="4">
        <v>23.670645199999999</v>
      </c>
      <c r="M50" s="4">
        <v>220.15414911419086</v>
      </c>
      <c r="N50" s="4">
        <v>-1.4665671298690044</v>
      </c>
      <c r="O50" s="1" t="str">
        <f>HYPERLINK(".\sm_car_241122_2356\sm_car_241122_2356_049_Ca130TrN_MaWOT_ode23t.png","figure")</f>
        <v>figure</v>
      </c>
      <c r="P50" t="s">
        <v>15</v>
      </c>
    </row>
    <row r="51" spans="1:16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23</v>
      </c>
      <c r="K51">
        <v>776</v>
      </c>
      <c r="L51" s="4">
        <v>21.216038399999999</v>
      </c>
      <c r="M51" s="4">
        <v>69.504368205239501</v>
      </c>
      <c r="N51" s="4">
        <v>-0.5531801596199124</v>
      </c>
      <c r="O51" s="1" t="str">
        <f>HYPERLINK(".\sm_car_241122_2356\sm_car_241122_2356_050_Ca130TrN_MaLSS_ode23t.png","figure")</f>
        <v>figure</v>
      </c>
      <c r="P51" t="s">
        <v>15</v>
      </c>
    </row>
    <row r="52" spans="1:16" x14ac:dyDescent="0.25">
      <c r="A52">
        <v>51</v>
      </c>
      <c r="B52">
        <v>131</v>
      </c>
      <c r="C52" t="s">
        <v>16</v>
      </c>
      <c r="D52" t="s">
        <v>17</v>
      </c>
      <c r="E52" t="s">
        <v>108</v>
      </c>
      <c r="F52" t="s">
        <v>19</v>
      </c>
      <c r="G52" t="s">
        <v>39</v>
      </c>
      <c r="H52" t="s">
        <v>21</v>
      </c>
      <c r="I52" t="s">
        <v>22</v>
      </c>
      <c r="J52" t="s">
        <v>23</v>
      </c>
      <c r="K52">
        <v>363</v>
      </c>
      <c r="L52" s="4">
        <v>4.8023897</v>
      </c>
      <c r="M52" s="4">
        <v>232.87338350053321</v>
      </c>
      <c r="N52" s="4">
        <v>-2.708811714464442E-2</v>
      </c>
      <c r="O52" s="1" t="str">
        <f>HYPERLINK(".\sm_car_241122_2356\sm_car_241122_2356_051_Ca131TrN_MaWOT_ode23t.png","figure")</f>
        <v>figure</v>
      </c>
      <c r="P52" t="s">
        <v>15</v>
      </c>
    </row>
    <row r="53" spans="1:16" x14ac:dyDescent="0.25">
      <c r="A53">
        <v>52</v>
      </c>
      <c r="B53">
        <v>131</v>
      </c>
      <c r="C53" t="s">
        <v>16</v>
      </c>
      <c r="D53" t="s">
        <v>17</v>
      </c>
      <c r="E53" t="s">
        <v>108</v>
      </c>
      <c r="F53" t="s">
        <v>19</v>
      </c>
      <c r="G53" t="s">
        <v>39</v>
      </c>
      <c r="H53" t="s">
        <v>21</v>
      </c>
      <c r="I53" t="s">
        <v>24</v>
      </c>
      <c r="J53" t="s">
        <v>23</v>
      </c>
      <c r="K53">
        <v>487</v>
      </c>
      <c r="L53" s="4">
        <v>5.2300583999999999</v>
      </c>
      <c r="M53" s="4">
        <v>71.699837997077253</v>
      </c>
      <c r="N53" s="4">
        <v>-0.55156584033401257</v>
      </c>
      <c r="O53" s="1" t="str">
        <f>HYPERLINK(".\sm_car_241122_2356\sm_car_241122_2356_052_Ca131TrN_MaLSS_ode23t.png","figure")</f>
        <v>figure</v>
      </c>
      <c r="P53" t="s">
        <v>15</v>
      </c>
    </row>
    <row r="54" spans="1:16" x14ac:dyDescent="0.25">
      <c r="A54">
        <v>53</v>
      </c>
      <c r="B54">
        <v>132</v>
      </c>
      <c r="C54" t="s">
        <v>16</v>
      </c>
      <c r="D54" t="s">
        <v>17</v>
      </c>
      <c r="E54" t="s">
        <v>108</v>
      </c>
      <c r="F54" t="s">
        <v>19</v>
      </c>
      <c r="G54" t="s">
        <v>40</v>
      </c>
      <c r="H54" t="s">
        <v>21</v>
      </c>
      <c r="I54" t="s">
        <v>22</v>
      </c>
      <c r="J54" t="s">
        <v>23</v>
      </c>
      <c r="K54">
        <v>339</v>
      </c>
      <c r="L54" s="4">
        <v>4.5858865</v>
      </c>
      <c r="M54" s="4">
        <v>232.88274622183411</v>
      </c>
      <c r="N54" s="4">
        <v>3.7449205833593219E-3</v>
      </c>
      <c r="O54" s="1" t="str">
        <f>HYPERLINK(".\sm_car_241122_2356\sm_car_241122_2356_053_Ca132TrN_MaWOT_ode23t.png","figure")</f>
        <v>figure</v>
      </c>
      <c r="P54" t="s">
        <v>15</v>
      </c>
    </row>
    <row r="55" spans="1:16" x14ac:dyDescent="0.25">
      <c r="A55">
        <v>54</v>
      </c>
      <c r="B55">
        <v>132</v>
      </c>
      <c r="C55" t="s">
        <v>16</v>
      </c>
      <c r="D55" t="s">
        <v>17</v>
      </c>
      <c r="E55" t="s">
        <v>108</v>
      </c>
      <c r="F55" t="s">
        <v>19</v>
      </c>
      <c r="G55" t="s">
        <v>40</v>
      </c>
      <c r="H55" t="s">
        <v>21</v>
      </c>
      <c r="I55" t="s">
        <v>24</v>
      </c>
      <c r="J55" t="s">
        <v>23</v>
      </c>
      <c r="K55">
        <v>484</v>
      </c>
      <c r="L55" s="4">
        <v>5.4705551999999997</v>
      </c>
      <c r="M55" s="4">
        <v>71.715417475150375</v>
      </c>
      <c r="N55" s="4">
        <v>-0.54837793838827675</v>
      </c>
      <c r="O55" s="1" t="str">
        <f>HYPERLINK(".\sm_car_241122_2356\sm_car_241122_2356_054_Ca132TrN_MaLSS_ode23t.png","figure")</f>
        <v>figure</v>
      </c>
      <c r="P55" t="s">
        <v>15</v>
      </c>
    </row>
    <row r="56" spans="1:16" x14ac:dyDescent="0.25">
      <c r="A56">
        <v>55</v>
      </c>
      <c r="B56">
        <v>133</v>
      </c>
      <c r="C56" t="s">
        <v>16</v>
      </c>
      <c r="D56" t="s">
        <v>17</v>
      </c>
      <c r="E56" t="s">
        <v>108</v>
      </c>
      <c r="F56" t="s">
        <v>19</v>
      </c>
      <c r="G56" t="s">
        <v>41</v>
      </c>
      <c r="H56" t="s">
        <v>21</v>
      </c>
      <c r="I56" t="s">
        <v>22</v>
      </c>
      <c r="J56" t="s">
        <v>23</v>
      </c>
      <c r="K56">
        <v>342</v>
      </c>
      <c r="L56" s="4">
        <v>4.3235010999999997</v>
      </c>
      <c r="M56" s="4">
        <v>232.62313837856166</v>
      </c>
      <c r="N56" s="4">
        <v>8.987559149041224E-4</v>
      </c>
      <c r="O56" s="1" t="str">
        <f>HYPERLINK(".\sm_car_241122_2356\sm_car_241122_2356_055_Ca133TrN_MaWOT_ode23t.png","figure")</f>
        <v>figure</v>
      </c>
      <c r="P56" t="s">
        <v>15</v>
      </c>
    </row>
    <row r="57" spans="1:16" x14ac:dyDescent="0.25">
      <c r="A57">
        <v>56</v>
      </c>
      <c r="B57">
        <v>133</v>
      </c>
      <c r="C57" t="s">
        <v>16</v>
      </c>
      <c r="D57" t="s">
        <v>17</v>
      </c>
      <c r="E57" t="s">
        <v>108</v>
      </c>
      <c r="F57" t="s">
        <v>19</v>
      </c>
      <c r="G57" t="s">
        <v>41</v>
      </c>
      <c r="H57" t="s">
        <v>21</v>
      </c>
      <c r="I57" t="s">
        <v>24</v>
      </c>
      <c r="J57" t="s">
        <v>23</v>
      </c>
      <c r="K57">
        <v>491</v>
      </c>
      <c r="L57" s="4">
        <v>5.5532643999999998</v>
      </c>
      <c r="M57" s="4">
        <v>71.713063764980177</v>
      </c>
      <c r="N57" s="4">
        <v>-0.54391836321961695</v>
      </c>
      <c r="O57" s="1" t="str">
        <f>HYPERLINK(".\sm_car_241122_2356\sm_car_241122_2356_056_Ca133TrN_MaLSS_ode23t.png","figure")</f>
        <v>figure</v>
      </c>
      <c r="P57" t="s">
        <v>15</v>
      </c>
    </row>
    <row r="58" spans="1:16" x14ac:dyDescent="0.25">
      <c r="A58">
        <v>57</v>
      </c>
      <c r="B58">
        <v>134</v>
      </c>
      <c r="C58" t="s">
        <v>16</v>
      </c>
      <c r="D58" t="s">
        <v>17</v>
      </c>
      <c r="E58" t="s">
        <v>108</v>
      </c>
      <c r="F58" t="s">
        <v>19</v>
      </c>
      <c r="G58" t="s">
        <v>42</v>
      </c>
      <c r="H58" t="s">
        <v>21</v>
      </c>
      <c r="I58" t="s">
        <v>22</v>
      </c>
      <c r="J58" t="s">
        <v>23</v>
      </c>
      <c r="K58">
        <v>354</v>
      </c>
      <c r="L58" s="4">
        <v>4.6441914000000004</v>
      </c>
      <c r="M58" s="4">
        <v>232.81072383128043</v>
      </c>
      <c r="N58" s="4">
        <v>1.7921306573148647E-3</v>
      </c>
      <c r="O58" s="1" t="str">
        <f>HYPERLINK(".\sm_car_241122_2356\sm_car_241122_2356_057_Ca134TrN_MaWOT_ode23t.png","figure")</f>
        <v>figure</v>
      </c>
      <c r="P58" t="s">
        <v>15</v>
      </c>
    </row>
    <row r="59" spans="1:16" x14ac:dyDescent="0.25">
      <c r="A59">
        <v>58</v>
      </c>
      <c r="B59">
        <v>134</v>
      </c>
      <c r="C59" t="s">
        <v>16</v>
      </c>
      <c r="D59" t="s">
        <v>17</v>
      </c>
      <c r="E59" t="s">
        <v>108</v>
      </c>
      <c r="F59" t="s">
        <v>19</v>
      </c>
      <c r="G59" t="s">
        <v>42</v>
      </c>
      <c r="H59" t="s">
        <v>21</v>
      </c>
      <c r="I59" t="s">
        <v>24</v>
      </c>
      <c r="J59" t="s">
        <v>23</v>
      </c>
      <c r="K59">
        <v>507</v>
      </c>
      <c r="L59" s="4">
        <v>5.7969815000000002</v>
      </c>
      <c r="M59" s="4">
        <v>71.712771033124156</v>
      </c>
      <c r="N59" s="4">
        <v>-0.54277909186452866</v>
      </c>
      <c r="O59" s="1" t="str">
        <f>HYPERLINK(".\sm_car_241122_2356\sm_car_241122_2356_058_Ca134TrN_MaLSS_ode23t.png","figure")</f>
        <v>figure</v>
      </c>
      <c r="P59" t="s">
        <v>15</v>
      </c>
    </row>
    <row r="60" spans="1:16" x14ac:dyDescent="0.25">
      <c r="A60">
        <v>59</v>
      </c>
      <c r="B60">
        <v>135</v>
      </c>
      <c r="C60" t="s">
        <v>16</v>
      </c>
      <c r="D60" t="s">
        <v>17</v>
      </c>
      <c r="E60" t="s">
        <v>108</v>
      </c>
      <c r="F60" t="s">
        <v>19</v>
      </c>
      <c r="G60" t="s">
        <v>43</v>
      </c>
      <c r="H60" t="s">
        <v>21</v>
      </c>
      <c r="I60" t="s">
        <v>22</v>
      </c>
      <c r="J60" t="s">
        <v>23</v>
      </c>
      <c r="K60">
        <v>357</v>
      </c>
      <c r="L60" s="4">
        <v>4.6463229000000004</v>
      </c>
      <c r="M60" s="4">
        <v>232.85838527654874</v>
      </c>
      <c r="N60" s="4">
        <v>1.4274142515244166E-3</v>
      </c>
      <c r="O60" s="1" t="str">
        <f>HYPERLINK(".\sm_car_241122_2356\sm_car_241122_2356_059_Ca135TrN_MaWOT_ode23t.png","figure")</f>
        <v>figure</v>
      </c>
      <c r="P60" t="s">
        <v>15</v>
      </c>
    </row>
    <row r="61" spans="1:16" x14ac:dyDescent="0.25">
      <c r="A61">
        <v>60</v>
      </c>
      <c r="B61">
        <v>135</v>
      </c>
      <c r="C61" t="s">
        <v>16</v>
      </c>
      <c r="D61" t="s">
        <v>17</v>
      </c>
      <c r="E61" t="s">
        <v>108</v>
      </c>
      <c r="F61" t="s">
        <v>19</v>
      </c>
      <c r="G61" t="s">
        <v>43</v>
      </c>
      <c r="H61" t="s">
        <v>21</v>
      </c>
      <c r="I61" t="s">
        <v>24</v>
      </c>
      <c r="J61" t="s">
        <v>23</v>
      </c>
      <c r="K61">
        <v>503</v>
      </c>
      <c r="L61" s="4">
        <v>5.5095761999999997</v>
      </c>
      <c r="M61" s="4">
        <v>71.706728466391198</v>
      </c>
      <c r="N61" s="4">
        <v>-0.54631651984350693</v>
      </c>
      <c r="O61" s="1" t="str">
        <f>HYPERLINK(".\sm_car_241122_2356\sm_car_241122_2356_060_Ca135TrN_MaLSS_ode23t.png","figure")</f>
        <v>figure</v>
      </c>
      <c r="P61" t="s">
        <v>15</v>
      </c>
    </row>
    <row r="62" spans="1:16" x14ac:dyDescent="0.25">
      <c r="A62">
        <v>61</v>
      </c>
      <c r="B62">
        <v>136</v>
      </c>
      <c r="C62" t="s">
        <v>16</v>
      </c>
      <c r="D62" t="s">
        <v>17</v>
      </c>
      <c r="E62" t="s">
        <v>108</v>
      </c>
      <c r="F62" t="s">
        <v>19</v>
      </c>
      <c r="G62" t="s">
        <v>44</v>
      </c>
      <c r="H62" t="s">
        <v>21</v>
      </c>
      <c r="I62" t="s">
        <v>22</v>
      </c>
      <c r="J62" t="s">
        <v>23</v>
      </c>
      <c r="K62">
        <v>371</v>
      </c>
      <c r="L62" s="4">
        <v>5.2650819000000002</v>
      </c>
      <c r="M62" s="4">
        <v>232.83408718395233</v>
      </c>
      <c r="N62" s="4">
        <v>6.5658828125836774E-2</v>
      </c>
      <c r="O62" s="1" t="str">
        <f>HYPERLINK(".\sm_car_241122_2356\sm_car_241122_2356_061_Ca136TrN_MaWOT_ode23t.png","figure")</f>
        <v>figure</v>
      </c>
      <c r="P62" t="s">
        <v>15</v>
      </c>
    </row>
    <row r="63" spans="1:16" x14ac:dyDescent="0.25">
      <c r="A63">
        <v>62</v>
      </c>
      <c r="B63">
        <v>136</v>
      </c>
      <c r="C63" t="s">
        <v>16</v>
      </c>
      <c r="D63" t="s">
        <v>17</v>
      </c>
      <c r="E63" t="s">
        <v>108</v>
      </c>
      <c r="F63" t="s">
        <v>19</v>
      </c>
      <c r="G63" t="s">
        <v>44</v>
      </c>
      <c r="H63" t="s">
        <v>21</v>
      </c>
      <c r="I63" t="s">
        <v>24</v>
      </c>
      <c r="J63" t="s">
        <v>23</v>
      </c>
      <c r="K63">
        <v>503</v>
      </c>
      <c r="L63" s="4">
        <v>6.4909483000000003</v>
      </c>
      <c r="M63" s="4">
        <v>71.703537391506799</v>
      </c>
      <c r="N63" s="4">
        <v>-0.54118680692449761</v>
      </c>
      <c r="O63" s="1" t="str">
        <f>HYPERLINK(".\sm_car_241122_2356\sm_car_241122_2356_062_Ca136TrN_MaLSS_ode23t.png","figure")</f>
        <v>figure</v>
      </c>
      <c r="P63" t="s">
        <v>15</v>
      </c>
    </row>
    <row r="64" spans="1:16" x14ac:dyDescent="0.25">
      <c r="A64">
        <v>63</v>
      </c>
      <c r="B64">
        <v>137</v>
      </c>
      <c r="C64" t="s">
        <v>16</v>
      </c>
      <c r="D64" t="s">
        <v>17</v>
      </c>
      <c r="E64" t="s">
        <v>108</v>
      </c>
      <c r="F64" t="s">
        <v>19</v>
      </c>
      <c r="G64" t="s">
        <v>20</v>
      </c>
      <c r="H64" t="s">
        <v>21</v>
      </c>
      <c r="I64" t="s">
        <v>22</v>
      </c>
      <c r="J64" t="s">
        <v>23</v>
      </c>
      <c r="K64">
        <v>324</v>
      </c>
      <c r="L64" s="4">
        <v>4.1763425999999999</v>
      </c>
      <c r="M64" s="4">
        <v>233.83971657729271</v>
      </c>
      <c r="N64" s="4">
        <v>0.14891307589143929</v>
      </c>
      <c r="O64" s="1" t="str">
        <f>HYPERLINK(".\sm_car_241122_2356\sm_car_241122_2356_063_Ca137TrN_MaWOT_ode23t.png","figure")</f>
        <v>figure</v>
      </c>
      <c r="P64" t="s">
        <v>15</v>
      </c>
    </row>
    <row r="65" spans="1:16" x14ac:dyDescent="0.25">
      <c r="A65">
        <v>64</v>
      </c>
      <c r="B65">
        <v>137</v>
      </c>
      <c r="C65" t="s">
        <v>16</v>
      </c>
      <c r="D65" t="s">
        <v>17</v>
      </c>
      <c r="E65" t="s">
        <v>108</v>
      </c>
      <c r="F65" t="s">
        <v>19</v>
      </c>
      <c r="G65" t="s">
        <v>20</v>
      </c>
      <c r="H65" t="s">
        <v>21</v>
      </c>
      <c r="I65" t="s">
        <v>24</v>
      </c>
      <c r="J65" t="s">
        <v>23</v>
      </c>
      <c r="K65">
        <v>481</v>
      </c>
      <c r="L65" s="4">
        <v>4.5013667999999996</v>
      </c>
      <c r="M65" s="4">
        <v>71.983584600730836</v>
      </c>
      <c r="N65" s="4">
        <v>-0.52615298303706548</v>
      </c>
      <c r="O65" s="1" t="str">
        <f>HYPERLINK(".\sm_car_241122_2356\sm_car_241122_2356_064_Ca137TrN_MaLSS_ode23t.png","figure")</f>
        <v>figure</v>
      </c>
      <c r="P65" t="s">
        <v>15</v>
      </c>
    </row>
    <row r="66" spans="1:16" x14ac:dyDescent="0.25">
      <c r="A66">
        <v>65</v>
      </c>
      <c r="B66">
        <v>138</v>
      </c>
      <c r="C66" t="s">
        <v>16</v>
      </c>
      <c r="D66" t="s">
        <v>17</v>
      </c>
      <c r="E66" t="s">
        <v>108</v>
      </c>
      <c r="F66" t="s">
        <v>19</v>
      </c>
      <c r="G66" t="s">
        <v>20</v>
      </c>
      <c r="H66" t="s">
        <v>21</v>
      </c>
      <c r="I66" t="s">
        <v>22</v>
      </c>
      <c r="J66" t="s">
        <v>23</v>
      </c>
      <c r="K66">
        <v>323</v>
      </c>
      <c r="L66" s="4">
        <v>5.5317802</v>
      </c>
      <c r="M66" s="4">
        <v>233.78823407780283</v>
      </c>
      <c r="N66" s="4">
        <v>0.15789886705228598</v>
      </c>
      <c r="O66" s="1" t="str">
        <f>HYPERLINK(".\sm_car_241122_2356\sm_car_241122_2356_065_Ca138TrN_MaWOT_ode23t.png","figure")</f>
        <v>figure</v>
      </c>
      <c r="P66" t="s">
        <v>15</v>
      </c>
    </row>
    <row r="67" spans="1:16" x14ac:dyDescent="0.25">
      <c r="A67">
        <v>66</v>
      </c>
      <c r="B67">
        <v>138</v>
      </c>
      <c r="C67" t="s">
        <v>16</v>
      </c>
      <c r="D67" t="s">
        <v>17</v>
      </c>
      <c r="E67" t="s">
        <v>108</v>
      </c>
      <c r="F67" t="s">
        <v>19</v>
      </c>
      <c r="G67" t="s">
        <v>20</v>
      </c>
      <c r="H67" t="s">
        <v>21</v>
      </c>
      <c r="I67" t="s">
        <v>24</v>
      </c>
      <c r="J67" t="s">
        <v>23</v>
      </c>
      <c r="K67">
        <v>485</v>
      </c>
      <c r="L67" s="4">
        <v>6.3788039000000003</v>
      </c>
      <c r="M67" s="4">
        <v>71.873064648505704</v>
      </c>
      <c r="N67" s="4">
        <v>-0.84723599882806022</v>
      </c>
      <c r="O67" s="1" t="str">
        <f>HYPERLINK(".\sm_car_241122_2356\sm_car_241122_2356_066_Ca138TrN_MaLSS_ode23t.png","figure")</f>
        <v>figure</v>
      </c>
      <c r="P67" t="s">
        <v>15</v>
      </c>
    </row>
    <row r="68" spans="1:16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23</v>
      </c>
      <c r="K68">
        <v>644</v>
      </c>
      <c r="L68" s="4">
        <v>25.794717200000001</v>
      </c>
      <c r="M68" s="4">
        <v>411.12618450350618</v>
      </c>
      <c r="N68" s="4">
        <v>1.7098205596168958</v>
      </c>
      <c r="O68" s="1" t="str">
        <f>HYPERLINK(".\sm_car_241122_2356\sm_car_241122_2356_067_Ca139TrN_MaWOT_ode23t.png","figure")</f>
        <v>figure</v>
      </c>
      <c r="P68" t="s">
        <v>15</v>
      </c>
    </row>
    <row r="69" spans="1:16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23</v>
      </c>
      <c r="K69">
        <v>599</v>
      </c>
      <c r="L69" s="4">
        <v>14.577782300000001</v>
      </c>
      <c r="M69" s="4">
        <v>157.00141164787942</v>
      </c>
      <c r="N69" s="4">
        <v>-0.55779140049381826</v>
      </c>
      <c r="O69" s="1" t="str">
        <f>HYPERLINK(".\sm_car_241122_2356\sm_car_241122_2356_068_Ca139TrN_MaLSS_ode23t.png","figure")</f>
        <v>figure</v>
      </c>
      <c r="P69" t="s">
        <v>15</v>
      </c>
    </row>
    <row r="70" spans="1:16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23</v>
      </c>
      <c r="K70">
        <v>1924</v>
      </c>
      <c r="L70" s="4">
        <v>35.278385999999998</v>
      </c>
      <c r="M70" s="4">
        <v>411.34323767138818</v>
      </c>
      <c r="N70" s="4">
        <v>1.7298809621042359</v>
      </c>
      <c r="O70" s="1" t="str">
        <f>HYPERLINK(".\sm_car_241122_2356\sm_car_241122_2356_069_Ca141TrN_MaWOT_ode23t.png","figure")</f>
        <v>figure</v>
      </c>
      <c r="P70" t="s">
        <v>15</v>
      </c>
    </row>
    <row r="71" spans="1:16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23</v>
      </c>
      <c r="K71">
        <v>1791</v>
      </c>
      <c r="L71" s="4">
        <v>22.532052499999999</v>
      </c>
      <c r="M71" s="4">
        <v>157.07860171049202</v>
      </c>
      <c r="N71" s="4">
        <v>-0.56016729762314055</v>
      </c>
      <c r="O71" s="1" t="str">
        <f>HYPERLINK(".\sm_car_241122_2356\sm_car_241122_2356_070_Ca141TrN_MaLSS_ode23t.png","figure")</f>
        <v>figure</v>
      </c>
      <c r="P71" t="s">
        <v>15</v>
      </c>
    </row>
    <row r="72" spans="1:16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23</v>
      </c>
      <c r="K72">
        <v>361</v>
      </c>
      <c r="L72" s="4">
        <v>15.6315224</v>
      </c>
      <c r="M72" s="4">
        <v>96.644230236349145</v>
      </c>
      <c r="N72" s="4">
        <v>-3.9237009402330089E-2</v>
      </c>
      <c r="O72" s="1" t="str">
        <f>HYPERLINK(".\sm_car_241122_2356\sm_car_241122_2356_071_Ca143TrN_MaWOT_ode23t.png","figure")</f>
        <v>figure</v>
      </c>
      <c r="P72" t="s">
        <v>15</v>
      </c>
    </row>
    <row r="73" spans="1:16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23</v>
      </c>
      <c r="K73">
        <v>461</v>
      </c>
      <c r="L73" s="4">
        <v>16.5130306</v>
      </c>
      <c r="M73" s="4">
        <v>25.154546676232581</v>
      </c>
      <c r="N73" s="4">
        <v>-5.4556427979588339E-2</v>
      </c>
      <c r="O73" s="1" t="str">
        <f>HYPERLINK(".\sm_car_241122_2356\sm_car_241122_2356_072_Ca143TrN_MaLSS_ode23t.png","figure")</f>
        <v>figure</v>
      </c>
      <c r="P73" t="s">
        <v>15</v>
      </c>
    </row>
    <row r="74" spans="1:16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23</v>
      </c>
      <c r="K74">
        <v>355</v>
      </c>
      <c r="L74" s="4">
        <v>11.731418700000001</v>
      </c>
      <c r="M74" s="4">
        <v>114.96896922422169</v>
      </c>
      <c r="N74" s="4">
        <v>0.53393602933088991</v>
      </c>
      <c r="O74" s="1" t="str">
        <f>HYPERLINK(".\sm_car_241122_2356\sm_car_241122_2356_073_Ca144TrN_MaWOT_ode23t.png","figure")</f>
        <v>figure</v>
      </c>
      <c r="P74" t="s">
        <v>15</v>
      </c>
    </row>
    <row r="75" spans="1:16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23</v>
      </c>
      <c r="K75">
        <v>463</v>
      </c>
      <c r="L75" s="4">
        <v>11.9382234</v>
      </c>
      <c r="M75" s="4">
        <v>35.845531130273557</v>
      </c>
      <c r="N75" s="4">
        <v>-3.4737981682825173E-2</v>
      </c>
      <c r="O75" s="1" t="str">
        <f>HYPERLINK(".\sm_car_241122_2356\sm_car_241122_2356_074_Ca144TrN_MaLSS_ode23t.png","figure")</f>
        <v>figure</v>
      </c>
      <c r="P75" t="s">
        <v>15</v>
      </c>
    </row>
    <row r="76" spans="1:16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23</v>
      </c>
      <c r="K76">
        <v>2318</v>
      </c>
      <c r="L76" s="4">
        <v>26.459138500000002</v>
      </c>
      <c r="M76" s="4">
        <v>401.21055800387597</v>
      </c>
      <c r="N76" s="4">
        <v>-62.882820165468104</v>
      </c>
      <c r="O76" s="1" t="str">
        <f>HYPERLINK(".\sm_car_241122_2356\sm_car_241122_2356_075_Ca147TrN_MaWOT_ode23t.png","figure")</f>
        <v>figure</v>
      </c>
      <c r="P76" t="s">
        <v>15</v>
      </c>
    </row>
    <row r="77" spans="1:16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23</v>
      </c>
      <c r="K77">
        <v>1316</v>
      </c>
      <c r="L77" s="4">
        <v>17.353244</v>
      </c>
      <c r="M77" s="4">
        <v>155.19729200309368</v>
      </c>
      <c r="N77" s="4">
        <v>-2.6799761568822689</v>
      </c>
      <c r="O77" s="1" t="str">
        <f>HYPERLINK(".\sm_car_241122_2356\sm_car_241122_2356_076_Ca147TrN_MaLSS_ode23t.png","figure")</f>
        <v>figure</v>
      </c>
      <c r="P77" t="s">
        <v>15</v>
      </c>
    </row>
    <row r="78" spans="1:16" x14ac:dyDescent="0.25">
      <c r="A78">
        <v>77</v>
      </c>
      <c r="B78">
        <v>183</v>
      </c>
      <c r="C78" t="s">
        <v>105</v>
      </c>
      <c r="D78" t="s">
        <v>125</v>
      </c>
      <c r="E78" t="s">
        <v>18</v>
      </c>
      <c r="F78" t="s">
        <v>19</v>
      </c>
      <c r="G78" t="s">
        <v>20</v>
      </c>
      <c r="H78" t="s">
        <v>21</v>
      </c>
      <c r="I78" t="s">
        <v>22</v>
      </c>
      <c r="J78" t="s">
        <v>23</v>
      </c>
      <c r="K78">
        <v>613</v>
      </c>
      <c r="L78" s="4">
        <v>17.688230999999998</v>
      </c>
      <c r="M78" s="4">
        <v>184.62763772127917</v>
      </c>
      <c r="N78" s="4">
        <v>1.1208368203853939E-2</v>
      </c>
      <c r="O78" s="1" t="str">
        <f>HYPERLINK(".\sm_car_241122_2356\sm_car_241122_2356_077_Ca183TrN_MaWOT_ode23t.png","figure")</f>
        <v>figure</v>
      </c>
      <c r="P78" t="s">
        <v>15</v>
      </c>
    </row>
    <row r="79" spans="1:16" x14ac:dyDescent="0.25">
      <c r="A79">
        <v>78</v>
      </c>
      <c r="B79">
        <v>183</v>
      </c>
      <c r="C79" t="s">
        <v>105</v>
      </c>
      <c r="D79" t="s">
        <v>125</v>
      </c>
      <c r="E79" t="s">
        <v>18</v>
      </c>
      <c r="F79" t="s">
        <v>19</v>
      </c>
      <c r="G79" t="s">
        <v>20</v>
      </c>
      <c r="H79" t="s">
        <v>21</v>
      </c>
      <c r="I79" t="s">
        <v>24</v>
      </c>
      <c r="J79" t="s">
        <v>23</v>
      </c>
      <c r="K79">
        <v>891</v>
      </c>
      <c r="L79" s="4">
        <v>21.184246699999999</v>
      </c>
      <c r="M79" s="4">
        <v>57.694487740477165</v>
      </c>
      <c r="N79" s="4">
        <v>9.369442335555643E-2</v>
      </c>
      <c r="O79" s="1" t="str">
        <f>HYPERLINK(".\sm_car_241122_2356\sm_car_241122_2356_078_Ca183TrN_MaLSS_ode23t.png","figure")</f>
        <v>figure</v>
      </c>
      <c r="P79" t="s">
        <v>15</v>
      </c>
    </row>
    <row r="80" spans="1:16" x14ac:dyDescent="0.25">
      <c r="A80">
        <v>79</v>
      </c>
      <c r="B80">
        <v>8</v>
      </c>
      <c r="C80" t="s">
        <v>16</v>
      </c>
      <c r="D80" t="s">
        <v>17</v>
      </c>
      <c r="E80" t="s">
        <v>49</v>
      </c>
      <c r="F80" t="s">
        <v>19</v>
      </c>
      <c r="G80" t="s">
        <v>20</v>
      </c>
      <c r="H80" t="s">
        <v>21</v>
      </c>
      <c r="I80" t="s">
        <v>22</v>
      </c>
      <c r="J80" t="s">
        <v>23</v>
      </c>
      <c r="K80">
        <v>385</v>
      </c>
      <c r="L80" s="4">
        <v>9.5388210999999998</v>
      </c>
      <c r="M80" s="4">
        <v>233.80272938572833</v>
      </c>
      <c r="N80" s="4">
        <v>8.9002270409259277E-3</v>
      </c>
      <c r="O80" s="1" t="str">
        <f>HYPERLINK(".\sm_car_241122_2356\sm_car_241122_2356_079_Ca008TrN_MaWOT_ode23t_1.png","figure")</f>
        <v>figure</v>
      </c>
      <c r="P80" t="s">
        <v>15</v>
      </c>
    </row>
    <row r="81" spans="1:16" x14ac:dyDescent="0.25">
      <c r="A81">
        <v>80</v>
      </c>
      <c r="B81">
        <v>8</v>
      </c>
      <c r="C81" t="s">
        <v>16</v>
      </c>
      <c r="D81" t="s">
        <v>17</v>
      </c>
      <c r="E81" t="s">
        <v>49</v>
      </c>
      <c r="F81" t="s">
        <v>19</v>
      </c>
      <c r="G81" t="s">
        <v>20</v>
      </c>
      <c r="H81" t="s">
        <v>21</v>
      </c>
      <c r="I81" t="s">
        <v>24</v>
      </c>
      <c r="J81" t="s">
        <v>23</v>
      </c>
      <c r="K81">
        <v>547</v>
      </c>
      <c r="L81" s="4">
        <v>12.0782319</v>
      </c>
      <c r="M81" s="4">
        <v>71.997390159310498</v>
      </c>
      <c r="N81" s="4">
        <v>-0.54929209645507182</v>
      </c>
      <c r="O81" s="1" t="str">
        <f>HYPERLINK(".\sm_car_241122_2356\sm_car_241122_2356_080_Ca008TrN_MaLSS_ode23t_1.png","figure")</f>
        <v>figure</v>
      </c>
      <c r="P81" t="s">
        <v>15</v>
      </c>
    </row>
    <row r="82" spans="1:16" x14ac:dyDescent="0.25">
      <c r="A82">
        <v>81</v>
      </c>
      <c r="B82">
        <v>9</v>
      </c>
      <c r="C82" t="s">
        <v>16</v>
      </c>
      <c r="D82" t="s">
        <v>17</v>
      </c>
      <c r="E82" t="s">
        <v>49</v>
      </c>
      <c r="F82" t="s">
        <v>19</v>
      </c>
      <c r="G82" t="s">
        <v>25</v>
      </c>
      <c r="H82" t="s">
        <v>21</v>
      </c>
      <c r="I82" t="s">
        <v>22</v>
      </c>
      <c r="J82" t="s">
        <v>23</v>
      </c>
      <c r="K82">
        <v>392</v>
      </c>
      <c r="L82" s="4">
        <v>11.535455499999999</v>
      </c>
      <c r="M82" s="4">
        <v>232.84299043645265</v>
      </c>
      <c r="N82" s="4">
        <v>1.2102577823529712E-3</v>
      </c>
      <c r="O82" s="1" t="str">
        <f>HYPERLINK(".\sm_car_241122_2356\sm_car_241122_2356_081_Ca009TrN_MaWOT_ode23t_1.png","figure")</f>
        <v>figure</v>
      </c>
      <c r="P82" t="s">
        <v>15</v>
      </c>
    </row>
    <row r="83" spans="1:16" x14ac:dyDescent="0.25">
      <c r="A83">
        <v>82</v>
      </c>
      <c r="B83">
        <v>9</v>
      </c>
      <c r="C83" t="s">
        <v>16</v>
      </c>
      <c r="D83" t="s">
        <v>17</v>
      </c>
      <c r="E83" t="s">
        <v>49</v>
      </c>
      <c r="F83" t="s">
        <v>19</v>
      </c>
      <c r="G83" t="s">
        <v>25</v>
      </c>
      <c r="H83" t="s">
        <v>21</v>
      </c>
      <c r="I83" t="s">
        <v>24</v>
      </c>
      <c r="J83" t="s">
        <v>23</v>
      </c>
      <c r="K83">
        <v>549</v>
      </c>
      <c r="L83" s="4">
        <v>13.540298999999999</v>
      </c>
      <c r="M83" s="4">
        <v>71.705545193125047</v>
      </c>
      <c r="N83" s="4">
        <v>-0.54046222012649037</v>
      </c>
      <c r="O83" s="1" t="str">
        <f>HYPERLINK(".\sm_car_241122_2356\sm_car_241122_2356_082_Ca009TrN_MaLSS_ode23t_1.png","figure")</f>
        <v>figure</v>
      </c>
      <c r="P83" t="s">
        <v>15</v>
      </c>
    </row>
    <row r="84" spans="1:16" x14ac:dyDescent="0.25">
      <c r="A84">
        <v>83</v>
      </c>
      <c r="B84">
        <v>10</v>
      </c>
      <c r="C84" t="s">
        <v>16</v>
      </c>
      <c r="D84" t="s">
        <v>17</v>
      </c>
      <c r="E84" t="s">
        <v>49</v>
      </c>
      <c r="F84" t="s">
        <v>19</v>
      </c>
      <c r="G84" t="s">
        <v>26</v>
      </c>
      <c r="H84" t="s">
        <v>21</v>
      </c>
      <c r="I84" t="s">
        <v>22</v>
      </c>
      <c r="J84" t="s">
        <v>23</v>
      </c>
      <c r="K84">
        <v>403</v>
      </c>
      <c r="L84" s="4">
        <v>12.2694641</v>
      </c>
      <c r="M84" s="4">
        <v>232.80294845319142</v>
      </c>
      <c r="N84" s="4">
        <v>6.8947635065890286E-2</v>
      </c>
      <c r="O84" s="1" t="str">
        <f>HYPERLINK(".\sm_car_241122_2356\sm_car_241122_2356_083_Ca010TrN_MaWOT_ode23t_1.png","figure")</f>
        <v>figure</v>
      </c>
      <c r="P84" t="s">
        <v>15</v>
      </c>
    </row>
    <row r="85" spans="1:16" x14ac:dyDescent="0.25">
      <c r="A85">
        <v>84</v>
      </c>
      <c r="B85">
        <v>10</v>
      </c>
      <c r="C85" t="s">
        <v>16</v>
      </c>
      <c r="D85" t="s">
        <v>17</v>
      </c>
      <c r="E85" t="s">
        <v>49</v>
      </c>
      <c r="F85" t="s">
        <v>19</v>
      </c>
      <c r="G85" t="s">
        <v>26</v>
      </c>
      <c r="H85" t="s">
        <v>21</v>
      </c>
      <c r="I85" t="s">
        <v>24</v>
      </c>
      <c r="J85" t="s">
        <v>23</v>
      </c>
      <c r="K85">
        <v>547</v>
      </c>
      <c r="L85" s="4">
        <v>16.115684099999999</v>
      </c>
      <c r="M85" s="4">
        <v>71.701049941408584</v>
      </c>
      <c r="N85" s="4">
        <v>-0.54132416939416039</v>
      </c>
      <c r="O85" s="1" t="str">
        <f>HYPERLINK(".\sm_car_241122_2356\sm_car_241122_2356_084_Ca010TrN_MaLSS_ode23t_1.png","figure")</f>
        <v>figure</v>
      </c>
      <c r="P85" t="s">
        <v>15</v>
      </c>
    </row>
    <row r="86" spans="1:16" x14ac:dyDescent="0.25">
      <c r="A86">
        <v>85</v>
      </c>
      <c r="B86">
        <v>11</v>
      </c>
      <c r="C86" t="s">
        <v>16</v>
      </c>
      <c r="D86" t="s">
        <v>17</v>
      </c>
      <c r="E86" t="s">
        <v>49</v>
      </c>
      <c r="F86" t="s">
        <v>19</v>
      </c>
      <c r="G86" t="s">
        <v>27</v>
      </c>
      <c r="H86" t="s">
        <v>21</v>
      </c>
      <c r="I86" t="s">
        <v>22</v>
      </c>
      <c r="J86" t="s">
        <v>23</v>
      </c>
      <c r="K86">
        <v>430</v>
      </c>
      <c r="L86" s="4">
        <v>13.000549400000001</v>
      </c>
      <c r="M86" s="4">
        <v>232.34985145747217</v>
      </c>
      <c r="N86" s="4">
        <v>6.4866113270576065E-2</v>
      </c>
      <c r="O86" s="1" t="str">
        <f>HYPERLINK(".\sm_car_241122_2356\sm_car_241122_2356_085_Ca011TrN_MaWOT_ode23t_1.png","figure")</f>
        <v>figure</v>
      </c>
      <c r="P86" t="s">
        <v>15</v>
      </c>
    </row>
    <row r="87" spans="1:16" x14ac:dyDescent="0.25">
      <c r="A87">
        <v>86</v>
      </c>
      <c r="B87">
        <v>11</v>
      </c>
      <c r="C87" t="s">
        <v>16</v>
      </c>
      <c r="D87" t="s">
        <v>17</v>
      </c>
      <c r="E87" t="s">
        <v>49</v>
      </c>
      <c r="F87" t="s">
        <v>19</v>
      </c>
      <c r="G87" t="s">
        <v>27</v>
      </c>
      <c r="H87" t="s">
        <v>21</v>
      </c>
      <c r="I87" t="s">
        <v>24</v>
      </c>
      <c r="J87" t="s">
        <v>23</v>
      </c>
      <c r="K87">
        <v>576</v>
      </c>
      <c r="L87" s="4">
        <v>16.811502000000001</v>
      </c>
      <c r="M87" s="4">
        <v>71.57028405299512</v>
      </c>
      <c r="N87" s="4">
        <v>-0.53757212969238388</v>
      </c>
      <c r="O87" s="1" t="str">
        <f>HYPERLINK(".\sm_car_241122_2356\sm_car_241122_2356_086_Ca011TrN_MaLSS_ode23t_1.png","figure")</f>
        <v>figure</v>
      </c>
      <c r="P87" t="s">
        <v>15</v>
      </c>
    </row>
    <row r="88" spans="1:16" x14ac:dyDescent="0.25">
      <c r="A88">
        <v>87</v>
      </c>
      <c r="B88">
        <v>12</v>
      </c>
      <c r="C88" t="s">
        <v>16</v>
      </c>
      <c r="D88" t="s">
        <v>17</v>
      </c>
      <c r="E88" t="s">
        <v>49</v>
      </c>
      <c r="F88" t="s">
        <v>28</v>
      </c>
      <c r="G88" t="s">
        <v>20</v>
      </c>
      <c r="H88" t="s">
        <v>21</v>
      </c>
      <c r="I88" t="s">
        <v>22</v>
      </c>
      <c r="J88" t="s">
        <v>23</v>
      </c>
      <c r="K88">
        <v>838</v>
      </c>
      <c r="L88" s="4">
        <v>10.6921447</v>
      </c>
      <c r="M88" s="4">
        <v>233.73514403976532</v>
      </c>
      <c r="N88" s="4">
        <v>9.548560718665812E-3</v>
      </c>
      <c r="O88" s="1" t="str">
        <f>HYPERLINK(".\sm_car_241122_2356\sm_car_241122_2356_087_Ca012TrN_MaWOT_ode23t_1.png","figure")</f>
        <v>figure</v>
      </c>
      <c r="P88" t="s">
        <v>15</v>
      </c>
    </row>
    <row r="89" spans="1:16" x14ac:dyDescent="0.25">
      <c r="A89">
        <v>88</v>
      </c>
      <c r="B89">
        <v>12</v>
      </c>
      <c r="C89" t="s">
        <v>16</v>
      </c>
      <c r="D89" t="s">
        <v>17</v>
      </c>
      <c r="E89" t="s">
        <v>49</v>
      </c>
      <c r="F89" t="s">
        <v>28</v>
      </c>
      <c r="G89" t="s">
        <v>20</v>
      </c>
      <c r="H89" t="s">
        <v>21</v>
      </c>
      <c r="I89" t="s">
        <v>24</v>
      </c>
      <c r="J89" t="s">
        <v>23</v>
      </c>
      <c r="K89">
        <v>1006</v>
      </c>
      <c r="L89" s="4">
        <v>14.446533499999999</v>
      </c>
      <c r="M89" s="4">
        <v>71.985895576258997</v>
      </c>
      <c r="N89" s="4">
        <v>-0.55620359214307591</v>
      </c>
      <c r="O89" s="1" t="str">
        <f>HYPERLINK(".\sm_car_241122_2356\sm_car_241122_2356_088_Ca012TrN_MaLSS_ode23t_1.png","figure")</f>
        <v>figure</v>
      </c>
      <c r="P89" t="s">
        <v>15</v>
      </c>
    </row>
    <row r="90" spans="1:16" x14ac:dyDescent="0.25">
      <c r="A90">
        <v>89</v>
      </c>
      <c r="B90">
        <v>13</v>
      </c>
      <c r="C90" t="s">
        <v>16</v>
      </c>
      <c r="D90" t="s">
        <v>17</v>
      </c>
      <c r="E90" t="s">
        <v>49</v>
      </c>
      <c r="F90" t="s">
        <v>28</v>
      </c>
      <c r="G90" t="s">
        <v>25</v>
      </c>
      <c r="H90" t="s">
        <v>21</v>
      </c>
      <c r="I90" t="s">
        <v>22</v>
      </c>
      <c r="J90" t="s">
        <v>23</v>
      </c>
      <c r="K90">
        <v>852</v>
      </c>
      <c r="L90" s="4">
        <v>12.8177211</v>
      </c>
      <c r="M90" s="4">
        <v>232.84647676320907</v>
      </c>
      <c r="N90" s="4">
        <v>9.6085891765807711E-4</v>
      </c>
      <c r="O90" s="1" t="str">
        <f>HYPERLINK(".\sm_car_241122_2356\sm_car_241122_2356_089_Ca013TrN_MaWOT_ode23t_1.png","figure")</f>
        <v>figure</v>
      </c>
      <c r="P90" t="s">
        <v>15</v>
      </c>
    </row>
    <row r="91" spans="1:16" x14ac:dyDescent="0.25">
      <c r="A91">
        <v>90</v>
      </c>
      <c r="B91">
        <v>13</v>
      </c>
      <c r="C91" t="s">
        <v>16</v>
      </c>
      <c r="D91" t="s">
        <v>17</v>
      </c>
      <c r="E91" t="s">
        <v>49</v>
      </c>
      <c r="F91" t="s">
        <v>28</v>
      </c>
      <c r="G91" t="s">
        <v>25</v>
      </c>
      <c r="H91" t="s">
        <v>21</v>
      </c>
      <c r="I91" t="s">
        <v>24</v>
      </c>
      <c r="J91" t="s">
        <v>23</v>
      </c>
      <c r="K91">
        <v>997</v>
      </c>
      <c r="L91" s="4">
        <v>14.9397722</v>
      </c>
      <c r="M91" s="4">
        <v>71.698094399282297</v>
      </c>
      <c r="N91" s="4">
        <v>-0.55016730333821173</v>
      </c>
      <c r="O91" s="1" t="str">
        <f>HYPERLINK(".\sm_car_241122_2356\sm_car_241122_2356_090_Ca013TrN_MaLSS_ode23t_1.png","figure")</f>
        <v>figure</v>
      </c>
      <c r="P91" t="s">
        <v>15</v>
      </c>
    </row>
    <row r="92" spans="1:16" x14ac:dyDescent="0.25">
      <c r="A92">
        <v>91</v>
      </c>
      <c r="B92">
        <v>14</v>
      </c>
      <c r="C92" t="s">
        <v>16</v>
      </c>
      <c r="D92" t="s">
        <v>17</v>
      </c>
      <c r="E92" t="s">
        <v>49</v>
      </c>
      <c r="F92" t="s">
        <v>28</v>
      </c>
      <c r="G92" t="s">
        <v>26</v>
      </c>
      <c r="H92" t="s">
        <v>21</v>
      </c>
      <c r="I92" t="s">
        <v>22</v>
      </c>
      <c r="J92" t="s">
        <v>23</v>
      </c>
      <c r="K92">
        <v>885</v>
      </c>
      <c r="L92" s="4">
        <v>11.837758900000001</v>
      </c>
      <c r="M92" s="4">
        <v>232.84385423333183</v>
      </c>
      <c r="N92" s="4">
        <v>6.5512766016103299E-2</v>
      </c>
      <c r="O92" s="1" t="str">
        <f>HYPERLINK(".\sm_car_241122_2356\sm_car_241122_2356_091_Ca014TrN_MaWOT_ode23t_1.png","figure")</f>
        <v>figure</v>
      </c>
      <c r="P92" t="s">
        <v>15</v>
      </c>
    </row>
    <row r="93" spans="1:16" x14ac:dyDescent="0.25">
      <c r="A93">
        <v>92</v>
      </c>
      <c r="B93">
        <v>14</v>
      </c>
      <c r="C93" t="s">
        <v>16</v>
      </c>
      <c r="D93" t="s">
        <v>17</v>
      </c>
      <c r="E93" t="s">
        <v>49</v>
      </c>
      <c r="F93" t="s">
        <v>28</v>
      </c>
      <c r="G93" t="s">
        <v>26</v>
      </c>
      <c r="H93" t="s">
        <v>21</v>
      </c>
      <c r="I93" t="s">
        <v>24</v>
      </c>
      <c r="J93" t="s">
        <v>23</v>
      </c>
      <c r="K93">
        <v>1030</v>
      </c>
      <c r="L93" s="4">
        <v>16.3381218</v>
      </c>
      <c r="M93" s="4">
        <v>71.695024849874059</v>
      </c>
      <c r="N93" s="4">
        <v>-0.54629025854119495</v>
      </c>
      <c r="O93" s="1" t="str">
        <f>HYPERLINK(".\sm_car_241122_2356\sm_car_241122_2356_092_Ca014TrN_MaLSS_ode23t_1.png","figure")</f>
        <v>figure</v>
      </c>
      <c r="P93" t="s">
        <v>15</v>
      </c>
    </row>
    <row r="94" spans="1:16" x14ac:dyDescent="0.25">
      <c r="A94">
        <v>93</v>
      </c>
      <c r="B94">
        <v>15</v>
      </c>
      <c r="C94" t="s">
        <v>16</v>
      </c>
      <c r="D94" t="s">
        <v>17</v>
      </c>
      <c r="E94" t="s">
        <v>49</v>
      </c>
      <c r="F94" t="s">
        <v>28</v>
      </c>
      <c r="G94" t="s">
        <v>27</v>
      </c>
      <c r="H94" t="s">
        <v>21</v>
      </c>
      <c r="I94" t="s">
        <v>22</v>
      </c>
      <c r="J94" t="s">
        <v>23</v>
      </c>
      <c r="K94">
        <v>879</v>
      </c>
      <c r="L94" s="4">
        <v>12.817324899999999</v>
      </c>
      <c r="M94" s="4">
        <v>232.11465623406175</v>
      </c>
      <c r="N94" s="4">
        <v>6.618838534567717E-2</v>
      </c>
      <c r="O94" s="1" t="str">
        <f>HYPERLINK(".\sm_car_241122_2356\sm_car_241122_2356_093_Ca015TrN_MaWOT_ode23t_1.png","figure")</f>
        <v>figure</v>
      </c>
      <c r="P94" t="s">
        <v>15</v>
      </c>
    </row>
    <row r="95" spans="1:16" x14ac:dyDescent="0.25">
      <c r="A95">
        <v>94</v>
      </c>
      <c r="B95">
        <v>15</v>
      </c>
      <c r="C95" t="s">
        <v>16</v>
      </c>
      <c r="D95" t="s">
        <v>17</v>
      </c>
      <c r="E95" t="s">
        <v>49</v>
      </c>
      <c r="F95" t="s">
        <v>28</v>
      </c>
      <c r="G95" t="s">
        <v>27</v>
      </c>
      <c r="H95" t="s">
        <v>21</v>
      </c>
      <c r="I95" t="s">
        <v>24</v>
      </c>
      <c r="J95" t="s">
        <v>23</v>
      </c>
      <c r="K95">
        <v>1031</v>
      </c>
      <c r="L95" s="4">
        <v>16.181114999999998</v>
      </c>
      <c r="M95" s="4">
        <v>71.558564194674901</v>
      </c>
      <c r="N95" s="4">
        <v>-0.54258440497607019</v>
      </c>
      <c r="O95" s="1" t="str">
        <f>HYPERLINK(".\sm_car_241122_2356\sm_car_241122_2356_094_Ca015TrN_MaLSS_ode23t_1.png","figure")</f>
        <v>figure</v>
      </c>
      <c r="P95" t="s">
        <v>15</v>
      </c>
    </row>
    <row r="96" spans="1:16" x14ac:dyDescent="0.25">
      <c r="A96">
        <v>95</v>
      </c>
      <c r="B96">
        <v>120</v>
      </c>
      <c r="C96" t="s">
        <v>16</v>
      </c>
      <c r="D96" t="s">
        <v>35</v>
      </c>
      <c r="E96" t="s">
        <v>49</v>
      </c>
      <c r="F96" t="s">
        <v>19</v>
      </c>
      <c r="G96" t="s">
        <v>20</v>
      </c>
      <c r="H96" t="s">
        <v>21</v>
      </c>
      <c r="I96" t="s">
        <v>22</v>
      </c>
      <c r="J96" t="s">
        <v>23</v>
      </c>
      <c r="K96">
        <v>400</v>
      </c>
      <c r="L96" s="4">
        <v>3.1558074999999999</v>
      </c>
      <c r="M96" s="4">
        <v>242.58934839007273</v>
      </c>
      <c r="N96" s="4">
        <v>0.23204803080071817</v>
      </c>
      <c r="O96" s="1" t="str">
        <f>HYPERLINK(".\sm_car_241122_2356\sm_car_241122_2356_095_Ca120TrN_MaWOT_ode23t_1.png","figure")</f>
        <v>figure</v>
      </c>
      <c r="P96" t="s">
        <v>15</v>
      </c>
    </row>
    <row r="97" spans="1:16" x14ac:dyDescent="0.25">
      <c r="A97">
        <v>96</v>
      </c>
      <c r="B97">
        <v>120</v>
      </c>
      <c r="C97" t="s">
        <v>16</v>
      </c>
      <c r="D97" t="s">
        <v>35</v>
      </c>
      <c r="E97" t="s">
        <v>49</v>
      </c>
      <c r="F97" t="s">
        <v>19</v>
      </c>
      <c r="G97" t="s">
        <v>20</v>
      </c>
      <c r="H97" t="s">
        <v>21</v>
      </c>
      <c r="I97" t="s">
        <v>24</v>
      </c>
      <c r="J97" t="s">
        <v>23</v>
      </c>
      <c r="K97">
        <v>523</v>
      </c>
      <c r="L97" s="4">
        <v>3.5307518</v>
      </c>
      <c r="M97" s="4">
        <v>74.668427791621369</v>
      </c>
      <c r="N97" s="4">
        <v>-0.33829315441325269</v>
      </c>
      <c r="O97" s="1" t="str">
        <f>HYPERLINK(".\sm_car_241122_2356\sm_car_241122_2356_096_Ca120TrN_MaLSS_ode23t_1.png","figure")</f>
        <v>figure</v>
      </c>
      <c r="P97" t="s">
        <v>15</v>
      </c>
    </row>
    <row r="98" spans="1:16" x14ac:dyDescent="0.25">
      <c r="A98">
        <v>97</v>
      </c>
      <c r="B98">
        <v>121</v>
      </c>
      <c r="C98" t="s">
        <v>16</v>
      </c>
      <c r="D98" t="s">
        <v>35</v>
      </c>
      <c r="E98" t="s">
        <v>49</v>
      </c>
      <c r="F98" t="s">
        <v>19</v>
      </c>
      <c r="G98" t="s">
        <v>25</v>
      </c>
      <c r="H98" t="s">
        <v>21</v>
      </c>
      <c r="I98" t="s">
        <v>22</v>
      </c>
      <c r="J98" t="s">
        <v>23</v>
      </c>
      <c r="K98">
        <v>387</v>
      </c>
      <c r="L98" s="4">
        <v>3.5165749000000002</v>
      </c>
      <c r="M98" s="4">
        <v>241.53722643581142</v>
      </c>
      <c r="N98" s="4">
        <v>0.22866020255073893</v>
      </c>
      <c r="O98" s="1" t="str">
        <f>HYPERLINK(".\sm_car_241122_2356\sm_car_241122_2356_097_Ca121TrN_MaWOT_ode23t_1.png","figure")</f>
        <v>figure</v>
      </c>
      <c r="P98" t="s">
        <v>15</v>
      </c>
    </row>
    <row r="99" spans="1:16" x14ac:dyDescent="0.25">
      <c r="A99">
        <v>98</v>
      </c>
      <c r="B99">
        <v>121</v>
      </c>
      <c r="C99" t="s">
        <v>16</v>
      </c>
      <c r="D99" t="s">
        <v>35</v>
      </c>
      <c r="E99" t="s">
        <v>49</v>
      </c>
      <c r="F99" t="s">
        <v>19</v>
      </c>
      <c r="G99" t="s">
        <v>25</v>
      </c>
      <c r="H99" t="s">
        <v>21</v>
      </c>
      <c r="I99" t="s">
        <v>24</v>
      </c>
      <c r="J99" t="s">
        <v>23</v>
      </c>
      <c r="K99">
        <v>537</v>
      </c>
      <c r="L99" s="4">
        <v>4.2083083999999999</v>
      </c>
      <c r="M99" s="4">
        <v>74.355289803367924</v>
      </c>
      <c r="N99" s="4">
        <v>-0.33474022111755791</v>
      </c>
      <c r="O99" s="1" t="str">
        <f>HYPERLINK(".\sm_car_241122_2356\sm_car_241122_2356_098_Ca121TrN_MaLSS_ode23t_1.png","figure")</f>
        <v>figure</v>
      </c>
      <c r="P99" t="s">
        <v>15</v>
      </c>
    </row>
    <row r="100" spans="1:16" x14ac:dyDescent="0.25">
      <c r="A100">
        <v>99</v>
      </c>
      <c r="B100">
        <v>122</v>
      </c>
      <c r="C100" t="s">
        <v>16</v>
      </c>
      <c r="D100" t="s">
        <v>35</v>
      </c>
      <c r="E100" t="s">
        <v>49</v>
      </c>
      <c r="F100" t="s">
        <v>19</v>
      </c>
      <c r="G100" t="s">
        <v>26</v>
      </c>
      <c r="H100" t="s">
        <v>21</v>
      </c>
      <c r="I100" t="s">
        <v>22</v>
      </c>
      <c r="J100" t="s">
        <v>23</v>
      </c>
      <c r="K100">
        <v>410</v>
      </c>
      <c r="L100" s="4">
        <v>4.0670009</v>
      </c>
      <c r="M100" s="4">
        <v>241.76119282571437</v>
      </c>
      <c r="N100" s="4">
        <v>0.22874437654766658</v>
      </c>
      <c r="O100" s="1" t="str">
        <f>HYPERLINK(".\sm_car_241122_2356\sm_car_241122_2356_099_Ca122TrN_MaWOT_ode23t_1.png","figure")</f>
        <v>figure</v>
      </c>
      <c r="P100" t="s">
        <v>15</v>
      </c>
    </row>
    <row r="101" spans="1:16" x14ac:dyDescent="0.25">
      <c r="A101">
        <v>100</v>
      </c>
      <c r="B101">
        <v>122</v>
      </c>
      <c r="C101" t="s">
        <v>16</v>
      </c>
      <c r="D101" t="s">
        <v>35</v>
      </c>
      <c r="E101" t="s">
        <v>49</v>
      </c>
      <c r="F101" t="s">
        <v>19</v>
      </c>
      <c r="G101" t="s">
        <v>26</v>
      </c>
      <c r="H101" t="s">
        <v>21</v>
      </c>
      <c r="I101" t="s">
        <v>24</v>
      </c>
      <c r="J101" t="s">
        <v>23</v>
      </c>
      <c r="K101">
        <v>521</v>
      </c>
      <c r="L101" s="4">
        <v>4.4256944000000003</v>
      </c>
      <c r="M101" s="4">
        <v>74.381253522717486</v>
      </c>
      <c r="N101" s="4">
        <v>-0.33361693210839788</v>
      </c>
      <c r="O101" s="1" t="str">
        <f>HYPERLINK(".\sm_car_241122_2356\sm_car_241122_2356_100_Ca122TrN_MaLSS_ode23t_1.png","figure")</f>
        <v>figure</v>
      </c>
      <c r="P101" t="s">
        <v>15</v>
      </c>
    </row>
    <row r="102" spans="1:16" x14ac:dyDescent="0.25">
      <c r="A102">
        <v>101</v>
      </c>
      <c r="B102">
        <v>123</v>
      </c>
      <c r="C102" t="s">
        <v>16</v>
      </c>
      <c r="D102" t="s">
        <v>35</v>
      </c>
      <c r="E102" t="s">
        <v>49</v>
      </c>
      <c r="F102" t="s">
        <v>19</v>
      </c>
      <c r="G102" t="s">
        <v>27</v>
      </c>
      <c r="H102" t="s">
        <v>21</v>
      </c>
      <c r="I102" t="s">
        <v>22</v>
      </c>
      <c r="J102" t="s">
        <v>23</v>
      </c>
      <c r="K102">
        <v>428</v>
      </c>
      <c r="L102" s="4">
        <v>4.1638153999999998</v>
      </c>
      <c r="M102" s="4">
        <v>241.15340980374413</v>
      </c>
      <c r="N102" s="4">
        <v>0.22483007290421073</v>
      </c>
      <c r="O102" s="1" t="str">
        <f>HYPERLINK(".\sm_car_241122_2356\sm_car_241122_2356_101_Ca123TrN_MaWOT_ode23t_1.png","figure")</f>
        <v>figure</v>
      </c>
      <c r="P102" t="s">
        <v>15</v>
      </c>
    </row>
    <row r="103" spans="1:16" x14ac:dyDescent="0.25">
      <c r="A103">
        <v>102</v>
      </c>
      <c r="B103">
        <v>123</v>
      </c>
      <c r="C103" t="s">
        <v>16</v>
      </c>
      <c r="D103" t="s">
        <v>35</v>
      </c>
      <c r="E103" t="s">
        <v>49</v>
      </c>
      <c r="F103" t="s">
        <v>19</v>
      </c>
      <c r="G103" t="s">
        <v>27</v>
      </c>
      <c r="H103" t="s">
        <v>21</v>
      </c>
      <c r="I103" t="s">
        <v>24</v>
      </c>
      <c r="J103" t="s">
        <v>23</v>
      </c>
      <c r="K103">
        <v>533</v>
      </c>
      <c r="L103" s="4">
        <v>4.6906660000000002</v>
      </c>
      <c r="M103" s="4">
        <v>74.215257223191742</v>
      </c>
      <c r="N103" s="4">
        <v>-0.32552407651183457</v>
      </c>
      <c r="O103" s="1" t="str">
        <f>HYPERLINK(".\sm_car_241122_2356\sm_car_241122_2356_102_Ca123TrN_MaLSS_ode23t_1.png","figure")</f>
        <v>figure</v>
      </c>
      <c r="P103" t="s">
        <v>15</v>
      </c>
    </row>
    <row r="104" spans="1:16" x14ac:dyDescent="0.25">
      <c r="A104">
        <v>103</v>
      </c>
      <c r="B104">
        <v>124</v>
      </c>
      <c r="C104" t="s">
        <v>16</v>
      </c>
      <c r="D104" t="s">
        <v>35</v>
      </c>
      <c r="E104" t="s">
        <v>49</v>
      </c>
      <c r="F104" t="s">
        <v>28</v>
      </c>
      <c r="G104" t="s">
        <v>20</v>
      </c>
      <c r="H104" t="s">
        <v>21</v>
      </c>
      <c r="I104" t="s">
        <v>22</v>
      </c>
      <c r="J104" t="s">
        <v>23</v>
      </c>
      <c r="K104">
        <v>1016</v>
      </c>
      <c r="L104" s="4">
        <v>4.197228</v>
      </c>
      <c r="M104" s="4">
        <v>242.55761999146026</v>
      </c>
      <c r="N104" s="4">
        <v>0.23285190627792315</v>
      </c>
      <c r="O104" s="1" t="str">
        <f>HYPERLINK(".\sm_car_241122_2356\sm_car_241122_2356_103_Ca124TrN_MaWOT_ode23t_1.png","figure")</f>
        <v>figure</v>
      </c>
      <c r="P104" t="s">
        <v>15</v>
      </c>
    </row>
    <row r="105" spans="1:16" x14ac:dyDescent="0.25">
      <c r="A105">
        <v>104</v>
      </c>
      <c r="B105">
        <v>124</v>
      </c>
      <c r="C105" t="s">
        <v>16</v>
      </c>
      <c r="D105" t="s">
        <v>35</v>
      </c>
      <c r="E105" t="s">
        <v>49</v>
      </c>
      <c r="F105" t="s">
        <v>28</v>
      </c>
      <c r="G105" t="s">
        <v>20</v>
      </c>
      <c r="H105" t="s">
        <v>21</v>
      </c>
      <c r="I105" t="s">
        <v>24</v>
      </c>
      <c r="J105" t="s">
        <v>23</v>
      </c>
      <c r="K105">
        <v>1125</v>
      </c>
      <c r="L105" s="4">
        <v>4.849558</v>
      </c>
      <c r="M105" s="4">
        <v>74.660884556819781</v>
      </c>
      <c r="N105" s="4">
        <v>-0.3413585153688285</v>
      </c>
      <c r="O105" s="1" t="str">
        <f>HYPERLINK(".\sm_car_241122_2356\sm_car_241122_2356_104_Ca124TrN_MaLSS_ode23t_1.png","figure")</f>
        <v>figure</v>
      </c>
      <c r="P105" t="s">
        <v>15</v>
      </c>
    </row>
    <row r="106" spans="1:16" x14ac:dyDescent="0.25">
      <c r="A106">
        <v>105</v>
      </c>
      <c r="B106">
        <v>125</v>
      </c>
      <c r="C106" t="s">
        <v>16</v>
      </c>
      <c r="D106" t="s">
        <v>35</v>
      </c>
      <c r="E106" t="s">
        <v>49</v>
      </c>
      <c r="F106" t="s">
        <v>28</v>
      </c>
      <c r="G106" t="s">
        <v>25</v>
      </c>
      <c r="H106" t="s">
        <v>21</v>
      </c>
      <c r="I106" t="s">
        <v>22</v>
      </c>
      <c r="J106" t="s">
        <v>23</v>
      </c>
      <c r="K106">
        <v>1027</v>
      </c>
      <c r="L106" s="4">
        <v>4.7775929000000001</v>
      </c>
      <c r="M106" s="4">
        <v>241.53786644176284</v>
      </c>
      <c r="N106" s="4">
        <v>0.22947290276390778</v>
      </c>
      <c r="O106" s="1" t="str">
        <f>HYPERLINK(".\sm_car_241122_2356\sm_car_241122_2356_105_Ca125TrN_MaWOT_ode23t_1.png","figure")</f>
        <v>figure</v>
      </c>
      <c r="P106" t="s">
        <v>15</v>
      </c>
    </row>
    <row r="107" spans="1:16" x14ac:dyDescent="0.25">
      <c r="A107">
        <v>106</v>
      </c>
      <c r="B107">
        <v>125</v>
      </c>
      <c r="C107" t="s">
        <v>16</v>
      </c>
      <c r="D107" t="s">
        <v>35</v>
      </c>
      <c r="E107" t="s">
        <v>49</v>
      </c>
      <c r="F107" t="s">
        <v>28</v>
      </c>
      <c r="G107" t="s">
        <v>25</v>
      </c>
      <c r="H107" t="s">
        <v>21</v>
      </c>
      <c r="I107" t="s">
        <v>24</v>
      </c>
      <c r="J107" t="s">
        <v>23</v>
      </c>
      <c r="K107">
        <v>1141</v>
      </c>
      <c r="L107" s="4">
        <v>5.3961505000000001</v>
      </c>
      <c r="M107" s="4">
        <v>74.343355082946488</v>
      </c>
      <c r="N107" s="4">
        <v>-0.33694502066485432</v>
      </c>
      <c r="O107" s="1" t="str">
        <f>HYPERLINK(".\sm_car_241122_2356\sm_car_241122_2356_106_Ca125TrN_MaLSS_ode23t_1.png","figure")</f>
        <v>figure</v>
      </c>
      <c r="P107" t="s">
        <v>15</v>
      </c>
    </row>
    <row r="108" spans="1:16" x14ac:dyDescent="0.25">
      <c r="A108">
        <v>107</v>
      </c>
      <c r="B108">
        <v>126</v>
      </c>
      <c r="C108" t="s">
        <v>16</v>
      </c>
      <c r="D108" t="s">
        <v>35</v>
      </c>
      <c r="E108" t="s">
        <v>49</v>
      </c>
      <c r="F108" t="s">
        <v>28</v>
      </c>
      <c r="G108" t="s">
        <v>26</v>
      </c>
      <c r="H108" t="s">
        <v>21</v>
      </c>
      <c r="I108" t="s">
        <v>22</v>
      </c>
      <c r="J108" t="s">
        <v>23</v>
      </c>
      <c r="K108">
        <v>1024</v>
      </c>
      <c r="L108" s="4">
        <v>4.9984406999999997</v>
      </c>
      <c r="M108" s="4">
        <v>241.64247262584826</v>
      </c>
      <c r="N108" s="4">
        <v>0.22964968965908028</v>
      </c>
      <c r="O108" s="1" t="str">
        <f>HYPERLINK(".\sm_car_241122_2356\sm_car_241122_2356_107_Ca126TrN_MaWOT_ode23t_1.png","figure")</f>
        <v>figure</v>
      </c>
      <c r="P108" t="s">
        <v>15</v>
      </c>
    </row>
    <row r="109" spans="1:16" x14ac:dyDescent="0.25">
      <c r="A109">
        <v>108</v>
      </c>
      <c r="B109">
        <v>126</v>
      </c>
      <c r="C109" t="s">
        <v>16</v>
      </c>
      <c r="D109" t="s">
        <v>35</v>
      </c>
      <c r="E109" t="s">
        <v>49</v>
      </c>
      <c r="F109" t="s">
        <v>28</v>
      </c>
      <c r="G109" t="s">
        <v>26</v>
      </c>
      <c r="H109" t="s">
        <v>21</v>
      </c>
      <c r="I109" t="s">
        <v>24</v>
      </c>
      <c r="J109" t="s">
        <v>23</v>
      </c>
      <c r="K109">
        <v>1159</v>
      </c>
      <c r="L109" s="4">
        <v>5.8990552000000003</v>
      </c>
      <c r="M109" s="4">
        <v>74.346368196446249</v>
      </c>
      <c r="N109" s="4">
        <v>-0.33727695669845154</v>
      </c>
      <c r="O109" s="1" t="str">
        <f>HYPERLINK(".\sm_car_241122_2356\sm_car_241122_2356_108_Ca126TrN_MaLSS_ode23t_1.png","figure")</f>
        <v>figure</v>
      </c>
      <c r="P109" t="s">
        <v>15</v>
      </c>
    </row>
    <row r="110" spans="1:16" x14ac:dyDescent="0.25">
      <c r="A110">
        <v>109</v>
      </c>
      <c r="B110">
        <v>127</v>
      </c>
      <c r="C110" t="s">
        <v>16</v>
      </c>
      <c r="D110" t="s">
        <v>35</v>
      </c>
      <c r="E110" t="s">
        <v>49</v>
      </c>
      <c r="F110" t="s">
        <v>28</v>
      </c>
      <c r="G110" t="s">
        <v>27</v>
      </c>
      <c r="H110" t="s">
        <v>21</v>
      </c>
      <c r="I110" t="s">
        <v>22</v>
      </c>
      <c r="J110" t="s">
        <v>23</v>
      </c>
      <c r="K110">
        <v>1047</v>
      </c>
      <c r="L110" s="4">
        <v>5.3475159999999997</v>
      </c>
      <c r="M110" s="4">
        <v>240.96586620758819</v>
      </c>
      <c r="N110" s="4">
        <v>0.22845343545279453</v>
      </c>
      <c r="O110" s="1" t="str">
        <f>HYPERLINK(".\sm_car_241122_2356\sm_car_241122_2356_109_Ca127TrN_MaWOT_ode23t_1.png","figure")</f>
        <v>figure</v>
      </c>
      <c r="P110" t="s">
        <v>15</v>
      </c>
    </row>
    <row r="111" spans="1:16" x14ac:dyDescent="0.25">
      <c r="A111">
        <v>110</v>
      </c>
      <c r="B111">
        <v>127</v>
      </c>
      <c r="C111" t="s">
        <v>16</v>
      </c>
      <c r="D111" t="s">
        <v>35</v>
      </c>
      <c r="E111" t="s">
        <v>49</v>
      </c>
      <c r="F111" t="s">
        <v>28</v>
      </c>
      <c r="G111" t="s">
        <v>27</v>
      </c>
      <c r="H111" t="s">
        <v>21</v>
      </c>
      <c r="I111" t="s">
        <v>24</v>
      </c>
      <c r="J111" t="s">
        <v>23</v>
      </c>
      <c r="K111">
        <v>1191</v>
      </c>
      <c r="L111" s="4">
        <v>6.4702757000000002</v>
      </c>
      <c r="M111" s="4">
        <v>74.198825126450586</v>
      </c>
      <c r="N111" s="4">
        <v>-0.33267309666198902</v>
      </c>
      <c r="O111" s="1" t="str">
        <f>HYPERLINK(".\sm_car_241122_2356\sm_car_241122_2356_110_Ca127TrN_MaLSS_ode23t_1.png","figure")</f>
        <v>figure</v>
      </c>
      <c r="P111" t="s">
        <v>15</v>
      </c>
    </row>
    <row r="112" spans="1:16" x14ac:dyDescent="0.25">
      <c r="A112">
        <v>111</v>
      </c>
      <c r="B112">
        <v>140</v>
      </c>
      <c r="C112" t="s">
        <v>45</v>
      </c>
      <c r="D112" t="s">
        <v>17</v>
      </c>
      <c r="E112" t="s">
        <v>49</v>
      </c>
      <c r="F112" t="s">
        <v>19</v>
      </c>
      <c r="G112" t="s">
        <v>26</v>
      </c>
      <c r="H112" t="s">
        <v>21</v>
      </c>
      <c r="I112" t="s">
        <v>22</v>
      </c>
      <c r="J112" t="s">
        <v>23</v>
      </c>
      <c r="K112">
        <v>611</v>
      </c>
      <c r="L112" s="4">
        <v>30.747847199999999</v>
      </c>
      <c r="M112" s="4">
        <v>410.93443110345544</v>
      </c>
      <c r="N112" s="4">
        <v>1.5461708580560451</v>
      </c>
      <c r="O112" s="1" t="str">
        <f>HYPERLINK(".\sm_car_241122_2356\sm_car_241122_2356_111_Ca140TrN_MaWOT_ode23t_1.png","figure")</f>
        <v>figure</v>
      </c>
      <c r="P112" t="s">
        <v>15</v>
      </c>
    </row>
    <row r="113" spans="1:16" x14ac:dyDescent="0.25">
      <c r="A113">
        <v>112</v>
      </c>
      <c r="B113">
        <v>140</v>
      </c>
      <c r="C113" t="s">
        <v>45</v>
      </c>
      <c r="D113" t="s">
        <v>17</v>
      </c>
      <c r="E113" t="s">
        <v>49</v>
      </c>
      <c r="F113" t="s">
        <v>19</v>
      </c>
      <c r="G113" t="s">
        <v>26</v>
      </c>
      <c r="H113" t="s">
        <v>21</v>
      </c>
      <c r="I113" t="s">
        <v>24</v>
      </c>
      <c r="J113" t="s">
        <v>23</v>
      </c>
      <c r="K113">
        <v>631</v>
      </c>
      <c r="L113" s="4">
        <v>20.953659500000001</v>
      </c>
      <c r="M113" s="4">
        <v>157.016596106485</v>
      </c>
      <c r="N113" s="4">
        <v>-0.56005133074085633</v>
      </c>
      <c r="O113" s="1" t="str">
        <f>HYPERLINK(".\sm_car_241122_2356\sm_car_241122_2356_112_Ca140TrN_MaLSS_ode23t_1.png","figure")</f>
        <v>figure</v>
      </c>
      <c r="P113" t="s">
        <v>15</v>
      </c>
    </row>
    <row r="114" spans="1:16" x14ac:dyDescent="0.25">
      <c r="A114">
        <v>113</v>
      </c>
      <c r="B114">
        <v>142</v>
      </c>
      <c r="C114" t="s">
        <v>45</v>
      </c>
      <c r="D114" t="s">
        <v>17</v>
      </c>
      <c r="E114" t="s">
        <v>49</v>
      </c>
      <c r="F114" t="s">
        <v>28</v>
      </c>
      <c r="G114" t="s">
        <v>26</v>
      </c>
      <c r="H114" t="s">
        <v>21</v>
      </c>
      <c r="I114" t="s">
        <v>22</v>
      </c>
      <c r="J114" t="s">
        <v>23</v>
      </c>
      <c r="K114">
        <v>1192</v>
      </c>
      <c r="L114" s="4">
        <v>32.935018999999997</v>
      </c>
      <c r="M114" s="4">
        <v>411.26098372584971</v>
      </c>
      <c r="N114" s="4">
        <v>1.5226882730088214</v>
      </c>
      <c r="O114" s="1" t="str">
        <f>HYPERLINK(".\sm_car_241122_2356\sm_car_241122_2356_113_Ca142TrN_MaWOT_ode23t_1.png","figure")</f>
        <v>figure</v>
      </c>
      <c r="P114" t="s">
        <v>15</v>
      </c>
    </row>
    <row r="115" spans="1:16" x14ac:dyDescent="0.25">
      <c r="A115">
        <v>114</v>
      </c>
      <c r="B115">
        <v>142</v>
      </c>
      <c r="C115" t="s">
        <v>45</v>
      </c>
      <c r="D115" t="s">
        <v>17</v>
      </c>
      <c r="E115" t="s">
        <v>49</v>
      </c>
      <c r="F115" t="s">
        <v>28</v>
      </c>
      <c r="G115" t="s">
        <v>26</v>
      </c>
      <c r="H115" t="s">
        <v>21</v>
      </c>
      <c r="I115" t="s">
        <v>24</v>
      </c>
      <c r="J115" t="s">
        <v>23</v>
      </c>
      <c r="K115">
        <v>1186</v>
      </c>
      <c r="L115" s="4">
        <v>23.4359951</v>
      </c>
      <c r="M115" s="4">
        <v>157.10623652811989</v>
      </c>
      <c r="N115" s="4">
        <v>-0.57587583838305323</v>
      </c>
      <c r="O115" s="1" t="str">
        <f>HYPERLINK(".\sm_car_241122_2356\sm_car_241122_2356_114_Ca142TrN_MaLSS_ode23t_1.png","figure")</f>
        <v>figure</v>
      </c>
      <c r="P115" t="s">
        <v>15</v>
      </c>
    </row>
    <row r="116" spans="1:16" x14ac:dyDescent="0.25">
      <c r="A116">
        <v>115</v>
      </c>
      <c r="B116">
        <v>145</v>
      </c>
      <c r="C116" t="s">
        <v>46</v>
      </c>
      <c r="D116" t="s">
        <v>17</v>
      </c>
      <c r="E116" t="s">
        <v>50</v>
      </c>
      <c r="F116" t="s">
        <v>19</v>
      </c>
      <c r="G116" t="s">
        <v>26</v>
      </c>
      <c r="H116" t="s">
        <v>21</v>
      </c>
      <c r="I116" t="s">
        <v>22</v>
      </c>
      <c r="J116" t="s">
        <v>23</v>
      </c>
      <c r="K116">
        <v>354</v>
      </c>
      <c r="L116" s="4">
        <v>14.2375969</v>
      </c>
      <c r="M116" s="4">
        <v>96.568346540638657</v>
      </c>
      <c r="N116" s="4">
        <v>-4.0373157786024003E-2</v>
      </c>
      <c r="O116" s="1" t="str">
        <f>HYPERLINK(".\sm_car_241122_2356\sm_car_241122_2356_115_Ca145TrN_MaWOT_ode23t_1.png","figure")</f>
        <v>figure</v>
      </c>
      <c r="P116" t="s">
        <v>15</v>
      </c>
    </row>
    <row r="117" spans="1:16" x14ac:dyDescent="0.25">
      <c r="A117">
        <v>116</v>
      </c>
      <c r="B117">
        <v>145</v>
      </c>
      <c r="C117" t="s">
        <v>46</v>
      </c>
      <c r="D117" t="s">
        <v>17</v>
      </c>
      <c r="E117" t="s">
        <v>50</v>
      </c>
      <c r="F117" t="s">
        <v>19</v>
      </c>
      <c r="G117" t="s">
        <v>26</v>
      </c>
      <c r="H117" t="s">
        <v>21</v>
      </c>
      <c r="I117" t="s">
        <v>24</v>
      </c>
      <c r="J117" t="s">
        <v>23</v>
      </c>
      <c r="K117">
        <v>451</v>
      </c>
      <c r="L117" s="4">
        <v>15.196934300000001</v>
      </c>
      <c r="M117" s="4">
        <v>25.152302982670555</v>
      </c>
      <c r="N117" s="4">
        <v>-5.1412910283071621E-2</v>
      </c>
      <c r="O117" s="1" t="str">
        <f>HYPERLINK(".\sm_car_241122_2356\sm_car_241122_2356_116_Ca145TrN_MaLSS_ode23t_1.png","figure")</f>
        <v>figure</v>
      </c>
      <c r="P117" t="s">
        <v>15</v>
      </c>
    </row>
    <row r="118" spans="1:16" x14ac:dyDescent="0.25">
      <c r="A118">
        <v>117</v>
      </c>
      <c r="B118">
        <v>146</v>
      </c>
      <c r="C118" t="s">
        <v>46</v>
      </c>
      <c r="D118" t="s">
        <v>17</v>
      </c>
      <c r="E118" t="s">
        <v>49</v>
      </c>
      <c r="F118" t="s">
        <v>19</v>
      </c>
      <c r="G118" t="s">
        <v>26</v>
      </c>
      <c r="H118" t="s">
        <v>21</v>
      </c>
      <c r="I118" t="s">
        <v>22</v>
      </c>
      <c r="J118" t="s">
        <v>23</v>
      </c>
      <c r="K118">
        <v>338</v>
      </c>
      <c r="L118" s="4">
        <v>10.384502400000001</v>
      </c>
      <c r="M118" s="4">
        <v>114.92346105318904</v>
      </c>
      <c r="N118" s="4">
        <v>0.53504583404687456</v>
      </c>
      <c r="O118" s="1" t="str">
        <f>HYPERLINK(".\sm_car_241122_2356\sm_car_241122_2356_117_Ca146TrN_MaWOT_ode23t_1.png","figure")</f>
        <v>figure</v>
      </c>
      <c r="P118" t="s">
        <v>15</v>
      </c>
    </row>
    <row r="119" spans="1:16" x14ac:dyDescent="0.25">
      <c r="A119">
        <v>118</v>
      </c>
      <c r="B119">
        <v>146</v>
      </c>
      <c r="C119" t="s">
        <v>46</v>
      </c>
      <c r="D119" t="s">
        <v>17</v>
      </c>
      <c r="E119" t="s">
        <v>49</v>
      </c>
      <c r="F119" t="s">
        <v>19</v>
      </c>
      <c r="G119" t="s">
        <v>26</v>
      </c>
      <c r="H119" t="s">
        <v>21</v>
      </c>
      <c r="I119" t="s">
        <v>24</v>
      </c>
      <c r="J119" t="s">
        <v>23</v>
      </c>
      <c r="K119">
        <v>457</v>
      </c>
      <c r="L119" s="4">
        <v>12.590321400000001</v>
      </c>
      <c r="M119" s="4">
        <v>35.840824853520402</v>
      </c>
      <c r="N119" s="4">
        <v>-2.9709521500330835E-2</v>
      </c>
      <c r="O119" s="1" t="str">
        <f>HYPERLINK(".\sm_car_241122_2356\sm_car_241122_2356_118_Ca146TrN_MaLSS_ode23t_1.png","figure")</f>
        <v>figure</v>
      </c>
      <c r="P119" t="s">
        <v>15</v>
      </c>
    </row>
    <row r="120" spans="1:16" x14ac:dyDescent="0.25">
      <c r="A120">
        <v>119</v>
      </c>
      <c r="B120">
        <v>146</v>
      </c>
      <c r="C120" t="s">
        <v>46</v>
      </c>
      <c r="D120" t="s">
        <v>17</v>
      </c>
      <c r="E120" t="s">
        <v>49</v>
      </c>
      <c r="F120" t="s">
        <v>19</v>
      </c>
      <c r="G120" t="s">
        <v>26</v>
      </c>
      <c r="H120" t="s">
        <v>21</v>
      </c>
      <c r="I120" t="s">
        <v>22</v>
      </c>
      <c r="J120" t="s">
        <v>23</v>
      </c>
      <c r="K120">
        <v>338</v>
      </c>
      <c r="L120" s="4">
        <v>10.6470799</v>
      </c>
      <c r="M120" s="4">
        <v>114.92346105318904</v>
      </c>
      <c r="N120" s="4">
        <v>0.53504583404687456</v>
      </c>
      <c r="O120" s="1" t="str">
        <f>HYPERLINK(".\sm_car_241122_2356\sm_car_241122_2356_119_Ca146TrN_MaWOT_ode23t_1.png","figure")</f>
        <v>figure</v>
      </c>
      <c r="P120" t="s">
        <v>15</v>
      </c>
    </row>
    <row r="121" spans="1:16" x14ac:dyDescent="0.25">
      <c r="A121">
        <v>120</v>
      </c>
      <c r="B121">
        <v>146</v>
      </c>
      <c r="C121" t="s">
        <v>46</v>
      </c>
      <c r="D121" t="s">
        <v>17</v>
      </c>
      <c r="E121" t="s">
        <v>49</v>
      </c>
      <c r="F121" t="s">
        <v>19</v>
      </c>
      <c r="G121" t="s">
        <v>26</v>
      </c>
      <c r="H121" t="s">
        <v>21</v>
      </c>
      <c r="I121" t="s">
        <v>24</v>
      </c>
      <c r="J121" t="s">
        <v>23</v>
      </c>
      <c r="K121">
        <v>457</v>
      </c>
      <c r="L121" s="4">
        <v>12.6989506</v>
      </c>
      <c r="M121" s="4">
        <v>35.840824853520402</v>
      </c>
      <c r="N121" s="4">
        <v>-2.9709521500330835E-2</v>
      </c>
      <c r="O121" s="1" t="str">
        <f>HYPERLINK(".\sm_car_241122_2356\sm_car_241122_2356_120_Ca146TrN_MaLSS_ode23t_1.png","figure")</f>
        <v>figure</v>
      </c>
      <c r="P121" t="s">
        <v>15</v>
      </c>
    </row>
    <row r="122" spans="1:16" x14ac:dyDescent="0.25">
      <c r="A122">
        <v>121</v>
      </c>
      <c r="B122">
        <v>161</v>
      </c>
      <c r="C122" t="s">
        <v>45</v>
      </c>
      <c r="D122" t="s">
        <v>51</v>
      </c>
      <c r="E122" t="s">
        <v>49</v>
      </c>
      <c r="F122" t="s">
        <v>19</v>
      </c>
      <c r="G122" t="s">
        <v>26</v>
      </c>
      <c r="H122" t="s">
        <v>21</v>
      </c>
      <c r="I122" t="s">
        <v>22</v>
      </c>
      <c r="J122" t="s">
        <v>23</v>
      </c>
      <c r="K122">
        <v>567</v>
      </c>
      <c r="L122" s="4">
        <v>26.778183200000001</v>
      </c>
      <c r="M122" s="4">
        <v>182.84015399214829</v>
      </c>
      <c r="N122" s="4">
        <v>0.30931998299070035</v>
      </c>
      <c r="O122" s="1" t="str">
        <f>HYPERLINK(".\sm_car_241122_2356\sm_car_241122_2356_121_Ca161TrN_MaWOT_ode23t_1.png","figure")</f>
        <v>figure</v>
      </c>
      <c r="P122" t="s">
        <v>15</v>
      </c>
    </row>
    <row r="123" spans="1:16" x14ac:dyDescent="0.25">
      <c r="A123">
        <v>122</v>
      </c>
      <c r="B123">
        <v>161</v>
      </c>
      <c r="C123" t="s">
        <v>45</v>
      </c>
      <c r="D123" t="s">
        <v>51</v>
      </c>
      <c r="E123" t="s">
        <v>49</v>
      </c>
      <c r="F123" t="s">
        <v>19</v>
      </c>
      <c r="G123" t="s">
        <v>26</v>
      </c>
      <c r="H123" t="s">
        <v>21</v>
      </c>
      <c r="I123" t="s">
        <v>24</v>
      </c>
      <c r="J123" t="s">
        <v>23</v>
      </c>
      <c r="K123">
        <v>658</v>
      </c>
      <c r="L123" s="4">
        <v>27.727744600000001</v>
      </c>
      <c r="M123" s="4">
        <v>156.81258700609723</v>
      </c>
      <c r="N123" s="4">
        <v>-0.57305002240074687</v>
      </c>
      <c r="O123" s="1" t="str">
        <f>HYPERLINK(".\sm_car_241122_2356\sm_car_241122_2356_122_Ca161TrN_MaLSS_ode23t_1.png","figure")</f>
        <v>figure</v>
      </c>
      <c r="P123" t="s">
        <v>15</v>
      </c>
    </row>
    <row r="124" spans="1:16" x14ac:dyDescent="0.25">
      <c r="A124">
        <v>123</v>
      </c>
      <c r="B124">
        <v>163</v>
      </c>
      <c r="C124" t="s">
        <v>45</v>
      </c>
      <c r="D124" t="s">
        <v>52</v>
      </c>
      <c r="E124" t="s">
        <v>49</v>
      </c>
      <c r="F124" t="s">
        <v>19</v>
      </c>
      <c r="G124" t="s">
        <v>26</v>
      </c>
      <c r="H124" t="s">
        <v>21</v>
      </c>
      <c r="I124" t="s">
        <v>22</v>
      </c>
      <c r="J124" t="s">
        <v>23</v>
      </c>
      <c r="K124">
        <v>594</v>
      </c>
      <c r="L124" s="4">
        <v>28.482813199999999</v>
      </c>
      <c r="M124" s="4">
        <v>282.01278532046217</v>
      </c>
      <c r="N124" s="4">
        <v>0.73743550092993548</v>
      </c>
      <c r="O124" s="1" t="str">
        <f>HYPERLINK(".\sm_car_241122_2356\sm_car_241122_2356_123_Ca163TrN_MaWOT_ode23t_1.png","figure")</f>
        <v>figure</v>
      </c>
      <c r="P124" t="s">
        <v>15</v>
      </c>
    </row>
    <row r="125" spans="1:16" x14ac:dyDescent="0.25">
      <c r="A125">
        <v>124</v>
      </c>
      <c r="B125">
        <v>163</v>
      </c>
      <c r="C125" t="s">
        <v>45</v>
      </c>
      <c r="D125" t="s">
        <v>52</v>
      </c>
      <c r="E125" t="s">
        <v>49</v>
      </c>
      <c r="F125" t="s">
        <v>19</v>
      </c>
      <c r="G125" t="s">
        <v>26</v>
      </c>
      <c r="H125" t="s">
        <v>21</v>
      </c>
      <c r="I125" t="s">
        <v>24</v>
      </c>
      <c r="J125" t="s">
        <v>23</v>
      </c>
      <c r="K125">
        <v>789</v>
      </c>
      <c r="L125" s="4">
        <v>34.535704500000001</v>
      </c>
      <c r="M125" s="4">
        <v>260.53226796305523</v>
      </c>
      <c r="N125" s="4">
        <v>-0.46312355621088502</v>
      </c>
      <c r="O125" s="1" t="str">
        <f>HYPERLINK(".\sm_car_241122_2356\sm_car_241122_2356_124_Ca163TrN_MaLSS_ode23t_1.png","figure")</f>
        <v>figure</v>
      </c>
      <c r="P125" t="s">
        <v>15</v>
      </c>
    </row>
    <row r="126" spans="1:16" x14ac:dyDescent="0.25">
      <c r="A126">
        <v>125</v>
      </c>
      <c r="B126">
        <v>184</v>
      </c>
      <c r="C126" t="s">
        <v>105</v>
      </c>
      <c r="D126" t="s">
        <v>125</v>
      </c>
      <c r="E126" t="s">
        <v>49</v>
      </c>
      <c r="F126" t="s">
        <v>19</v>
      </c>
      <c r="G126" t="s">
        <v>20</v>
      </c>
      <c r="H126" t="s">
        <v>21</v>
      </c>
      <c r="I126" t="s">
        <v>22</v>
      </c>
      <c r="J126" t="s">
        <v>23</v>
      </c>
      <c r="K126">
        <v>310</v>
      </c>
      <c r="L126" s="4">
        <v>14.2751565</v>
      </c>
      <c r="M126" s="4">
        <v>313.1814272404298</v>
      </c>
      <c r="N126" s="4">
        <v>2.1400284659081462E-4</v>
      </c>
      <c r="O126" s="1" t="str">
        <f>HYPERLINK(".\sm_car_241122_2356\sm_car_241122_2356_125_Ca184TrN_MaWOT_ode23t_1.png","figure")</f>
        <v>figure</v>
      </c>
      <c r="P126" t="s">
        <v>15</v>
      </c>
    </row>
    <row r="127" spans="1:16" x14ac:dyDescent="0.25">
      <c r="A127">
        <v>126</v>
      </c>
      <c r="B127">
        <v>184</v>
      </c>
      <c r="C127" t="s">
        <v>105</v>
      </c>
      <c r="D127" t="s">
        <v>125</v>
      </c>
      <c r="E127" t="s">
        <v>49</v>
      </c>
      <c r="F127" t="s">
        <v>19</v>
      </c>
      <c r="G127" t="s">
        <v>20</v>
      </c>
      <c r="H127" t="s">
        <v>21</v>
      </c>
      <c r="I127" t="s">
        <v>24</v>
      </c>
      <c r="J127" t="s">
        <v>23</v>
      </c>
      <c r="K127">
        <v>470</v>
      </c>
      <c r="L127" s="4">
        <v>11.7712846</v>
      </c>
      <c r="M127" s="4">
        <v>112.43422139644193</v>
      </c>
      <c r="N127" s="4">
        <v>-0.16133389921739807</v>
      </c>
      <c r="O127" s="1" t="str">
        <f>HYPERLINK(".\sm_car_241122_2356\sm_car_241122_2356_126_Ca184TrN_MaLSS_ode23t_1.png","figure")</f>
        <v>figure</v>
      </c>
      <c r="P127" t="s">
        <v>15</v>
      </c>
    </row>
    <row r="128" spans="1:16" x14ac:dyDescent="0.25">
      <c r="A128">
        <v>127</v>
      </c>
      <c r="B128">
        <v>217</v>
      </c>
      <c r="C128" t="s">
        <v>45</v>
      </c>
      <c r="D128" t="s">
        <v>17</v>
      </c>
      <c r="E128" t="s">
        <v>108</v>
      </c>
      <c r="F128" t="s">
        <v>126</v>
      </c>
      <c r="G128" t="s">
        <v>26</v>
      </c>
      <c r="H128" t="s">
        <v>21</v>
      </c>
      <c r="I128" t="s">
        <v>22</v>
      </c>
      <c r="J128" t="s">
        <v>23</v>
      </c>
      <c r="K128">
        <v>696</v>
      </c>
      <c r="L128" s="4">
        <v>31.160095099999999</v>
      </c>
      <c r="M128" s="4">
        <v>283.04657258278075</v>
      </c>
      <c r="N128" s="4">
        <v>0.76182372902190987</v>
      </c>
      <c r="O128" s="1" t="str">
        <f>HYPERLINK(".\sm_car_241122_2356\sm_car_241122_2356_127_Ca217TrN_MaWOT_ode23t_1.png","figure")</f>
        <v>figure</v>
      </c>
      <c r="P128" t="s">
        <v>15</v>
      </c>
    </row>
    <row r="129" spans="1:16" x14ac:dyDescent="0.25">
      <c r="A129">
        <v>128</v>
      </c>
      <c r="B129">
        <v>217</v>
      </c>
      <c r="C129" t="s">
        <v>45</v>
      </c>
      <c r="D129" t="s">
        <v>17</v>
      </c>
      <c r="E129" t="s">
        <v>108</v>
      </c>
      <c r="F129" t="s">
        <v>126</v>
      </c>
      <c r="G129" t="s">
        <v>26</v>
      </c>
      <c r="H129" t="s">
        <v>21</v>
      </c>
      <c r="I129" t="s">
        <v>24</v>
      </c>
      <c r="J129" t="s">
        <v>23</v>
      </c>
      <c r="K129">
        <v>846</v>
      </c>
      <c r="L129" s="4">
        <v>33.592035899999999</v>
      </c>
      <c r="M129" s="4">
        <v>111.90837717479481</v>
      </c>
      <c r="N129" s="4">
        <v>-0.36860306891323769</v>
      </c>
      <c r="O129" s="1" t="str">
        <f>HYPERLINK(".\sm_car_241122_2356\sm_car_241122_2356_128_Ca217TrN_MaLSS_ode23t_1.png","figure")</f>
        <v>figure</v>
      </c>
      <c r="P129" t="s">
        <v>15</v>
      </c>
    </row>
    <row r="130" spans="1:16" x14ac:dyDescent="0.25">
      <c r="A130">
        <v>129</v>
      </c>
      <c r="B130">
        <v>12</v>
      </c>
      <c r="C130" t="s">
        <v>16</v>
      </c>
      <c r="D130" t="s">
        <v>17</v>
      </c>
      <c r="E130" t="s">
        <v>49</v>
      </c>
      <c r="F130" t="s">
        <v>28</v>
      </c>
      <c r="G130" t="s">
        <v>20</v>
      </c>
      <c r="H130" t="s">
        <v>21</v>
      </c>
      <c r="I130" t="s">
        <v>53</v>
      </c>
      <c r="J130" t="s">
        <v>23</v>
      </c>
      <c r="K130">
        <v>789</v>
      </c>
      <c r="L130" s="4">
        <v>10.041718700000001</v>
      </c>
      <c r="M130" s="4">
        <v>254.66356283777361</v>
      </c>
      <c r="N130" s="4">
        <v>3.4184045749752201E-3</v>
      </c>
      <c r="O130" s="1" t="str">
        <f>HYPERLINK(".\sm_car_241122_2356\sm_car_241122_2356_129_Ca012TrN_MaDLC_ode23t_1.png","figure")</f>
        <v>figure</v>
      </c>
      <c r="P130" t="s">
        <v>15</v>
      </c>
    </row>
    <row r="131" spans="1:16" x14ac:dyDescent="0.25">
      <c r="A131">
        <v>130</v>
      </c>
      <c r="B131">
        <v>12</v>
      </c>
      <c r="C131" t="s">
        <v>16</v>
      </c>
      <c r="D131" t="s">
        <v>17</v>
      </c>
      <c r="E131" t="s">
        <v>49</v>
      </c>
      <c r="F131" t="s">
        <v>28</v>
      </c>
      <c r="G131" t="s">
        <v>20</v>
      </c>
      <c r="H131" t="s">
        <v>21</v>
      </c>
      <c r="I131" t="s">
        <v>54</v>
      </c>
      <c r="J131" t="s">
        <v>23</v>
      </c>
      <c r="K131">
        <v>920</v>
      </c>
      <c r="L131" s="4">
        <v>14.331046799999999</v>
      </c>
      <c r="M131" s="4">
        <v>75.614992002903591</v>
      </c>
      <c r="N131" s="4">
        <v>0.76185348487473437</v>
      </c>
      <c r="O131" s="1" t="str">
        <f>HYPERLINK(".\sm_car_241122_2356\sm_car_241122_2356_130_Ca012TrN_MaIPA_ode23t_1.png","figure")</f>
        <v>figure</v>
      </c>
      <c r="P131" t="s">
        <v>15</v>
      </c>
    </row>
    <row r="132" spans="1:16" x14ac:dyDescent="0.25">
      <c r="A132">
        <v>131</v>
      </c>
      <c r="B132">
        <v>142</v>
      </c>
      <c r="C132" t="s">
        <v>45</v>
      </c>
      <c r="D132" t="s">
        <v>17</v>
      </c>
      <c r="E132" t="s">
        <v>49</v>
      </c>
      <c r="F132" t="s">
        <v>28</v>
      </c>
      <c r="G132" t="s">
        <v>26</v>
      </c>
      <c r="H132" t="s">
        <v>21</v>
      </c>
      <c r="I132" t="s">
        <v>53</v>
      </c>
      <c r="J132" t="s">
        <v>23</v>
      </c>
      <c r="K132">
        <v>756</v>
      </c>
      <c r="L132" s="4">
        <v>14.0144114</v>
      </c>
      <c r="M132" s="4">
        <v>253.96926597104965</v>
      </c>
      <c r="N132" s="4">
        <v>-5.3657734558107961E-3</v>
      </c>
      <c r="O132" s="1" t="str">
        <f>HYPERLINK(".\sm_car_241122_2356\sm_car_241122_2356_131_Ca142TrN_MaDLC_ode23t_1.png","figure")</f>
        <v>figure</v>
      </c>
      <c r="P132" t="s">
        <v>15</v>
      </c>
    </row>
    <row r="133" spans="1:16" x14ac:dyDescent="0.25">
      <c r="A133">
        <v>132</v>
      </c>
      <c r="B133">
        <v>142</v>
      </c>
      <c r="C133" t="s">
        <v>45</v>
      </c>
      <c r="D133" t="s">
        <v>17</v>
      </c>
      <c r="E133" t="s">
        <v>49</v>
      </c>
      <c r="F133" t="s">
        <v>28</v>
      </c>
      <c r="G133" t="s">
        <v>26</v>
      </c>
      <c r="H133" t="s">
        <v>21</v>
      </c>
      <c r="I133" t="s">
        <v>54</v>
      </c>
      <c r="J133" t="s">
        <v>23</v>
      </c>
      <c r="K133">
        <v>1618</v>
      </c>
      <c r="L133" s="4">
        <v>49.094758400000003</v>
      </c>
      <c r="M133" s="4">
        <v>84.924787711891</v>
      </c>
      <c r="N133" s="4">
        <v>0.83500874127610081</v>
      </c>
      <c r="O133" s="1" t="str">
        <f>HYPERLINK(".\sm_car_241122_2356\sm_car_241122_2356_132_Ca142TrN_MaIPA_ode23t_1.png","figure")</f>
        <v>figure</v>
      </c>
      <c r="P133" t="s">
        <v>15</v>
      </c>
    </row>
    <row r="134" spans="1:16" x14ac:dyDescent="0.25">
      <c r="A134">
        <v>133</v>
      </c>
      <c r="B134">
        <v>145</v>
      </c>
      <c r="C134" t="s">
        <v>46</v>
      </c>
      <c r="D134" t="s">
        <v>17</v>
      </c>
      <c r="E134" t="s">
        <v>50</v>
      </c>
      <c r="F134" t="s">
        <v>19</v>
      </c>
      <c r="G134" t="s">
        <v>26</v>
      </c>
      <c r="H134" t="s">
        <v>21</v>
      </c>
      <c r="I134" t="s">
        <v>53</v>
      </c>
      <c r="J134" t="s">
        <v>23</v>
      </c>
      <c r="K134">
        <v>478</v>
      </c>
      <c r="L134" s="4">
        <v>17.1090597</v>
      </c>
      <c r="M134" s="4">
        <v>255.4635888938148</v>
      </c>
      <c r="N134" s="4">
        <v>4.0814600066976681E-2</v>
      </c>
      <c r="O134" s="1" t="str">
        <f>HYPERLINK(".\sm_car_241122_2356\sm_car_241122_2356_133_Ca145TrN_MaDLC_ode23t_1.png","figure")</f>
        <v>figure</v>
      </c>
      <c r="P134" t="s">
        <v>15</v>
      </c>
    </row>
    <row r="135" spans="1:16" x14ac:dyDescent="0.25">
      <c r="A135">
        <v>134</v>
      </c>
      <c r="B135">
        <v>145</v>
      </c>
      <c r="C135" t="s">
        <v>46</v>
      </c>
      <c r="D135" t="s">
        <v>17</v>
      </c>
      <c r="E135" t="s">
        <v>50</v>
      </c>
      <c r="F135" t="s">
        <v>19</v>
      </c>
      <c r="G135" t="s">
        <v>26</v>
      </c>
      <c r="H135" t="s">
        <v>21</v>
      </c>
      <c r="I135" t="s">
        <v>54</v>
      </c>
      <c r="J135" t="s">
        <v>23</v>
      </c>
      <c r="K135">
        <v>321</v>
      </c>
      <c r="L135" s="4">
        <v>11.540459800000001</v>
      </c>
      <c r="M135" s="4">
        <v>28.253911195161891</v>
      </c>
      <c r="N135" s="4">
        <v>1.5617842598925584E-2</v>
      </c>
      <c r="O135" s="1" t="str">
        <f>HYPERLINK(".\sm_car_241122_2356\sm_car_241122_2356_134_Ca145TrN_MaIPA_ode23t_1.png","figure")</f>
        <v>figure</v>
      </c>
      <c r="P135" t="s">
        <v>15</v>
      </c>
    </row>
    <row r="136" spans="1:16" x14ac:dyDescent="0.25">
      <c r="A136">
        <v>135</v>
      </c>
      <c r="B136">
        <v>184</v>
      </c>
      <c r="C136" t="s">
        <v>105</v>
      </c>
      <c r="D136" t="s">
        <v>125</v>
      </c>
      <c r="E136" t="s">
        <v>49</v>
      </c>
      <c r="F136" t="s">
        <v>19</v>
      </c>
      <c r="G136" t="s">
        <v>20</v>
      </c>
      <c r="H136" t="s">
        <v>21</v>
      </c>
      <c r="I136" t="s">
        <v>53</v>
      </c>
      <c r="J136" t="s">
        <v>23</v>
      </c>
      <c r="K136">
        <v>425</v>
      </c>
      <c r="L136" s="4">
        <v>11.122946300000001</v>
      </c>
      <c r="M136" s="4">
        <v>253.84581011487177</v>
      </c>
      <c r="N136" s="4">
        <v>1.3003523952696661E-2</v>
      </c>
      <c r="O136" s="1" t="str">
        <f>HYPERLINK(".\sm_car_241122_2356\sm_car_241122_2356_135_Ca184TrN_MaDLC_ode23t_1.png","figure")</f>
        <v>figure</v>
      </c>
      <c r="P136" t="s">
        <v>15</v>
      </c>
    </row>
    <row r="137" spans="1:16" x14ac:dyDescent="0.25">
      <c r="A137">
        <v>136</v>
      </c>
      <c r="B137">
        <v>184</v>
      </c>
      <c r="C137" t="s">
        <v>105</v>
      </c>
      <c r="D137" t="s">
        <v>125</v>
      </c>
      <c r="E137" t="s">
        <v>49</v>
      </c>
      <c r="F137" t="s">
        <v>19</v>
      </c>
      <c r="G137" t="s">
        <v>20</v>
      </c>
      <c r="H137" t="s">
        <v>21</v>
      </c>
      <c r="I137" t="s">
        <v>54</v>
      </c>
      <c r="J137" t="s">
        <v>23</v>
      </c>
      <c r="K137">
        <v>378</v>
      </c>
      <c r="L137" s="4">
        <v>12.544269399999999</v>
      </c>
      <c r="M137" s="4">
        <v>61.814092966713659</v>
      </c>
      <c r="N137" s="4">
        <v>0.55822494075219964</v>
      </c>
      <c r="O137" s="1" t="str">
        <f>HYPERLINK(".\sm_car_241122_2356\sm_car_241122_2356_136_Ca184TrN_MaIPA_ode23t_1.png","figure")</f>
        <v>figure</v>
      </c>
      <c r="P137" t="s">
        <v>15</v>
      </c>
    </row>
    <row r="138" spans="1:16" x14ac:dyDescent="0.25">
      <c r="A138">
        <v>137</v>
      </c>
      <c r="B138">
        <v>204</v>
      </c>
      <c r="C138" t="s">
        <v>105</v>
      </c>
      <c r="D138" t="s">
        <v>107</v>
      </c>
      <c r="E138" t="s">
        <v>18</v>
      </c>
      <c r="F138" t="s">
        <v>19</v>
      </c>
      <c r="G138" t="s">
        <v>20</v>
      </c>
      <c r="H138" t="s">
        <v>21</v>
      </c>
      <c r="I138" t="s">
        <v>53</v>
      </c>
      <c r="J138" t="s">
        <v>23</v>
      </c>
      <c r="K138">
        <v>1965</v>
      </c>
      <c r="L138" s="4">
        <v>25.538998400000001</v>
      </c>
      <c r="M138" s="4">
        <v>255.6165492536802</v>
      </c>
      <c r="N138" s="4">
        <v>1.4514927792162347E-2</v>
      </c>
      <c r="O138" s="1" t="str">
        <f>HYPERLINK(".\sm_car_241122_2356\sm_car_241122_2356_137_Ca204TrN_MaDLC_ode23t_1.png","figure")</f>
        <v>figure</v>
      </c>
      <c r="P138" t="s">
        <v>15</v>
      </c>
    </row>
    <row r="139" spans="1:16" x14ac:dyDescent="0.25">
      <c r="A139">
        <v>138</v>
      </c>
      <c r="B139">
        <v>204</v>
      </c>
      <c r="C139" t="s">
        <v>105</v>
      </c>
      <c r="D139" t="s">
        <v>107</v>
      </c>
      <c r="E139" t="s">
        <v>18</v>
      </c>
      <c r="F139" t="s">
        <v>19</v>
      </c>
      <c r="G139" t="s">
        <v>20</v>
      </c>
      <c r="H139" t="s">
        <v>21</v>
      </c>
      <c r="I139" t="s">
        <v>54</v>
      </c>
      <c r="J139" t="s">
        <v>23</v>
      </c>
      <c r="K139">
        <v>701</v>
      </c>
      <c r="L139" s="4">
        <v>11.9922375</v>
      </c>
      <c r="M139" s="4">
        <v>26.037591450840601</v>
      </c>
      <c r="N139" s="4">
        <v>9.6690667658233115E-3</v>
      </c>
      <c r="O139" s="1" t="str">
        <f>HYPERLINK(".\sm_car_241122_2356\sm_car_241122_2356_138_Ca204TrN_MaIPA_ode23t_1.png","figure")</f>
        <v>figure</v>
      </c>
      <c r="P139" t="s">
        <v>15</v>
      </c>
    </row>
    <row r="140" spans="1:16" x14ac:dyDescent="0.25">
      <c r="A140">
        <v>139</v>
      </c>
      <c r="B140">
        <v>12</v>
      </c>
      <c r="C140" t="s">
        <v>16</v>
      </c>
      <c r="D140" t="s">
        <v>17</v>
      </c>
      <c r="E140" t="s">
        <v>49</v>
      </c>
      <c r="F140" t="s">
        <v>28</v>
      </c>
      <c r="G140" t="s">
        <v>20</v>
      </c>
      <c r="H140" t="s">
        <v>21</v>
      </c>
      <c r="I140" t="s">
        <v>55</v>
      </c>
      <c r="J140" t="s">
        <v>23</v>
      </c>
      <c r="K140">
        <v>2711</v>
      </c>
      <c r="L140" s="4">
        <v>27.793541399999999</v>
      </c>
      <c r="M140" s="4">
        <v>-1.9061142353471228E-2</v>
      </c>
      <c r="N140" s="4">
        <v>-0.62246278584254122</v>
      </c>
      <c r="O140" s="1" t="str">
        <f>HYPERLINK(".\sm_car_241122_2356\sm_car_241122_2356_139_Ca012TrN_MaMPK_ode23t_1.png","figure")</f>
        <v>figure</v>
      </c>
      <c r="P140" t="s">
        <v>15</v>
      </c>
    </row>
    <row r="141" spans="1:16" x14ac:dyDescent="0.25">
      <c r="A141">
        <v>140</v>
      </c>
      <c r="B141">
        <v>12</v>
      </c>
      <c r="C141" t="s">
        <v>16</v>
      </c>
      <c r="D141" t="s">
        <v>17</v>
      </c>
      <c r="E141" t="s">
        <v>49</v>
      </c>
      <c r="F141" t="s">
        <v>28</v>
      </c>
      <c r="G141" t="s">
        <v>20</v>
      </c>
      <c r="H141" t="s">
        <v>21</v>
      </c>
      <c r="I141" t="s">
        <v>56</v>
      </c>
      <c r="J141" t="s">
        <v>23</v>
      </c>
      <c r="K141">
        <v>3152</v>
      </c>
      <c r="L141" s="4">
        <v>30.4396591</v>
      </c>
      <c r="M141" s="4">
        <v>0.76580982614547999</v>
      </c>
      <c r="N141" s="4">
        <v>-0.32247535026145996</v>
      </c>
      <c r="O141" s="1" t="str">
        <f>HYPERLINK(".\sm_car_241122_2356\sm_car_241122_2356_140_Ca012TrN_MaMPC_ode23t_1.png","figure")</f>
        <v>figure</v>
      </c>
      <c r="P141" t="s">
        <v>15</v>
      </c>
    </row>
    <row r="142" spans="1:16" x14ac:dyDescent="0.25">
      <c r="A142">
        <v>141</v>
      </c>
      <c r="B142">
        <v>142</v>
      </c>
      <c r="C142" t="s">
        <v>45</v>
      </c>
      <c r="D142" t="s">
        <v>17</v>
      </c>
      <c r="E142" t="s">
        <v>49</v>
      </c>
      <c r="F142" t="s">
        <v>28</v>
      </c>
      <c r="G142" t="s">
        <v>26</v>
      </c>
      <c r="H142" t="s">
        <v>21</v>
      </c>
      <c r="I142" t="s">
        <v>55</v>
      </c>
      <c r="J142" t="s">
        <v>23</v>
      </c>
      <c r="K142">
        <v>2577</v>
      </c>
      <c r="L142" s="4">
        <v>56.490221099999999</v>
      </c>
      <c r="M142" s="4">
        <v>-1.800076300749183E-2</v>
      </c>
      <c r="N142" s="4">
        <v>-0.54771081768971652</v>
      </c>
      <c r="O142" s="1" t="str">
        <f>HYPERLINK(".\sm_car_241122_2356\sm_car_241122_2356_141_Ca142TrN_MaMPK_ode23t_1.png","figure")</f>
        <v>figure</v>
      </c>
      <c r="P142" t="s">
        <v>15</v>
      </c>
    </row>
    <row r="143" spans="1:16" x14ac:dyDescent="0.25">
      <c r="A143">
        <v>142</v>
      </c>
      <c r="B143">
        <v>142</v>
      </c>
      <c r="C143" t="s">
        <v>45</v>
      </c>
      <c r="D143" t="s">
        <v>17</v>
      </c>
      <c r="E143" t="s">
        <v>49</v>
      </c>
      <c r="F143" t="s">
        <v>28</v>
      </c>
      <c r="G143" t="s">
        <v>26</v>
      </c>
      <c r="H143" t="s">
        <v>21</v>
      </c>
      <c r="I143" t="s">
        <v>56</v>
      </c>
      <c r="J143" t="s">
        <v>23</v>
      </c>
      <c r="K143">
        <v>3187</v>
      </c>
      <c r="L143" s="4">
        <v>75.016821899999997</v>
      </c>
      <c r="M143" s="4">
        <v>0.77832205806181598</v>
      </c>
      <c r="N143" s="4">
        <v>-0.36536087425930536</v>
      </c>
      <c r="O143" s="1" t="str">
        <f>HYPERLINK(".\sm_car_241122_2356\sm_car_241122_2356_142_Ca142TrN_MaMPC_ode23t_1.png","figure")</f>
        <v>figure</v>
      </c>
      <c r="P143" t="s">
        <v>15</v>
      </c>
    </row>
    <row r="144" spans="1:16" x14ac:dyDescent="0.25">
      <c r="A144">
        <v>143</v>
      </c>
      <c r="B144">
        <v>116</v>
      </c>
      <c r="C144" t="s">
        <v>16</v>
      </c>
      <c r="D144" t="s">
        <v>35</v>
      </c>
      <c r="E144" t="s">
        <v>18</v>
      </c>
      <c r="F144" t="s">
        <v>28</v>
      </c>
      <c r="G144" t="s">
        <v>20</v>
      </c>
      <c r="H144" t="s">
        <v>21</v>
      </c>
      <c r="I144" t="s">
        <v>55</v>
      </c>
      <c r="J144" t="s">
        <v>23</v>
      </c>
      <c r="K144">
        <v>2861</v>
      </c>
      <c r="L144" s="4">
        <v>11.7445828</v>
      </c>
      <c r="M144" s="4">
        <v>-1.8830660852685185E-2</v>
      </c>
      <c r="N144" s="4">
        <v>-0.52474272308174985</v>
      </c>
      <c r="O144" s="1" t="str">
        <f>HYPERLINK(".\sm_car_241122_2356\sm_car_241122_2356_143_Ca116TrN_MaMPK_ode23t_1.png","figure")</f>
        <v>figure</v>
      </c>
      <c r="P144" t="s">
        <v>15</v>
      </c>
    </row>
    <row r="145" spans="1:16" x14ac:dyDescent="0.25">
      <c r="A145">
        <v>144</v>
      </c>
      <c r="B145">
        <v>116</v>
      </c>
      <c r="C145" t="s">
        <v>16</v>
      </c>
      <c r="D145" t="s">
        <v>35</v>
      </c>
      <c r="E145" t="s">
        <v>18</v>
      </c>
      <c r="F145" t="s">
        <v>28</v>
      </c>
      <c r="G145" t="s">
        <v>20</v>
      </c>
      <c r="H145" t="s">
        <v>21</v>
      </c>
      <c r="I145" t="s">
        <v>56</v>
      </c>
      <c r="J145" t="s">
        <v>23</v>
      </c>
      <c r="K145">
        <v>3380</v>
      </c>
      <c r="L145" s="4">
        <v>12.717409399999999</v>
      </c>
      <c r="M145" s="4">
        <v>0.78596396772449673</v>
      </c>
      <c r="N145" s="4">
        <v>-0.35487518740083746</v>
      </c>
      <c r="O145" s="1" t="str">
        <f>HYPERLINK(".\sm_car_241122_2356\sm_car_241122_2356_144_Ca116TrN_MaMPC_ode23t_1.png","figure")</f>
        <v>figure</v>
      </c>
      <c r="P145" t="s">
        <v>15</v>
      </c>
    </row>
    <row r="146" spans="1:16" x14ac:dyDescent="0.25">
      <c r="A146">
        <v>145</v>
      </c>
      <c r="B146">
        <v>143</v>
      </c>
      <c r="C146" t="s">
        <v>46</v>
      </c>
      <c r="D146" t="s">
        <v>17</v>
      </c>
      <c r="E146" t="s">
        <v>47</v>
      </c>
      <c r="F146" t="s">
        <v>19</v>
      </c>
      <c r="G146" t="s">
        <v>26</v>
      </c>
      <c r="H146" t="s">
        <v>21</v>
      </c>
      <c r="I146" t="s">
        <v>55</v>
      </c>
      <c r="J146" t="s">
        <v>23</v>
      </c>
      <c r="K146">
        <v>2721</v>
      </c>
      <c r="L146" s="4">
        <v>52.608420299999999</v>
      </c>
      <c r="M146" s="4">
        <v>-1.5851755845063473E-2</v>
      </c>
      <c r="N146" s="4">
        <v>-0.39029760421419712</v>
      </c>
      <c r="O146" s="1" t="str">
        <f>HYPERLINK(".\sm_car_241122_2356\sm_car_241122_2356_145_Ca143TrN_MaMPK_ode23t_1.png","figure")</f>
        <v>figure</v>
      </c>
      <c r="P146" t="s">
        <v>15</v>
      </c>
    </row>
    <row r="147" spans="1:16" x14ac:dyDescent="0.25">
      <c r="A147">
        <v>146</v>
      </c>
      <c r="B147">
        <v>143</v>
      </c>
      <c r="C147" t="s">
        <v>46</v>
      </c>
      <c r="D147" t="s">
        <v>17</v>
      </c>
      <c r="E147" t="s">
        <v>47</v>
      </c>
      <c r="F147" t="s">
        <v>19</v>
      </c>
      <c r="G147" t="s">
        <v>26</v>
      </c>
      <c r="H147" t="s">
        <v>21</v>
      </c>
      <c r="I147" t="s">
        <v>56</v>
      </c>
      <c r="J147" t="s">
        <v>23</v>
      </c>
      <c r="K147">
        <v>2893</v>
      </c>
      <c r="L147" s="4">
        <v>70.397380999999996</v>
      </c>
      <c r="M147" s="4">
        <v>0.78468167340174944</v>
      </c>
      <c r="N147" s="4">
        <v>-0.25843966607835506</v>
      </c>
      <c r="O147" s="1" t="str">
        <f>HYPERLINK(".\sm_car_241122_2356\sm_car_241122_2356_146_Ca143TrN_MaMPC_ode23t_1.png","figure")</f>
        <v>figure</v>
      </c>
      <c r="P147" t="s">
        <v>15</v>
      </c>
    </row>
    <row r="148" spans="1:16" x14ac:dyDescent="0.25">
      <c r="A148">
        <v>147</v>
      </c>
      <c r="B148">
        <v>166</v>
      </c>
      <c r="C148" t="s">
        <v>45</v>
      </c>
      <c r="D148" t="s">
        <v>57</v>
      </c>
      <c r="E148" t="s">
        <v>18</v>
      </c>
      <c r="F148" t="s">
        <v>19</v>
      </c>
      <c r="G148" t="s">
        <v>26</v>
      </c>
      <c r="H148" t="s">
        <v>21</v>
      </c>
      <c r="I148" t="s">
        <v>55</v>
      </c>
      <c r="J148" t="s">
        <v>23</v>
      </c>
      <c r="K148">
        <v>3173</v>
      </c>
      <c r="L148" s="4">
        <v>40.7436437</v>
      </c>
      <c r="M148" s="4">
        <v>-1.2186842806385101E-2</v>
      </c>
      <c r="N148" s="4">
        <v>-0.55577475723297187</v>
      </c>
      <c r="O148" s="1" t="str">
        <f>HYPERLINK(".\sm_car_241122_2356\sm_car_241122_2356_147_Ca166TrN_MaMPK_ode23t_1.png","figure")</f>
        <v>figure</v>
      </c>
      <c r="P148" t="s">
        <v>15</v>
      </c>
    </row>
    <row r="149" spans="1:16" x14ac:dyDescent="0.25">
      <c r="A149">
        <v>148</v>
      </c>
      <c r="B149">
        <v>166</v>
      </c>
      <c r="C149" t="s">
        <v>45</v>
      </c>
      <c r="D149" t="s">
        <v>57</v>
      </c>
      <c r="E149" t="s">
        <v>18</v>
      </c>
      <c r="F149" t="s">
        <v>19</v>
      </c>
      <c r="G149" t="s">
        <v>26</v>
      </c>
      <c r="H149" t="s">
        <v>21</v>
      </c>
      <c r="I149" t="s">
        <v>56</v>
      </c>
      <c r="J149" t="s">
        <v>23</v>
      </c>
      <c r="K149">
        <v>3553</v>
      </c>
      <c r="L149" s="4">
        <v>42.881908199999998</v>
      </c>
      <c r="M149" s="4">
        <v>0.78853836409916767</v>
      </c>
      <c r="N149" s="4">
        <v>-0.35640443312192077</v>
      </c>
      <c r="O149" s="1" t="str">
        <f>HYPERLINK(".\sm_car_241122_2356\sm_car_241122_2356_148_Ca166TrN_MaMPC_ode23t_1.png","figure")</f>
        <v>figure</v>
      </c>
      <c r="P149" t="s">
        <v>15</v>
      </c>
    </row>
    <row r="150" spans="1:16" x14ac:dyDescent="0.25">
      <c r="A150">
        <v>149</v>
      </c>
      <c r="B150">
        <v>169</v>
      </c>
      <c r="C150" t="s">
        <v>45</v>
      </c>
      <c r="D150" t="s">
        <v>58</v>
      </c>
      <c r="E150" t="s">
        <v>49</v>
      </c>
      <c r="F150" t="s">
        <v>19</v>
      </c>
      <c r="G150" t="s">
        <v>26</v>
      </c>
      <c r="H150" t="s">
        <v>21</v>
      </c>
      <c r="I150" t="s">
        <v>55</v>
      </c>
      <c r="J150" t="s">
        <v>23</v>
      </c>
      <c r="K150">
        <v>3140</v>
      </c>
      <c r="L150" s="4">
        <v>35.6070001</v>
      </c>
      <c r="M150" s="4">
        <v>-1.5990232140777536E-2</v>
      </c>
      <c r="N150" s="4">
        <v>-0.55654471446587583</v>
      </c>
      <c r="O150" s="1" t="str">
        <f>HYPERLINK(".\sm_car_241122_2356\sm_car_241122_2356_149_Ca169TrN_MaMPK_ode23t_1.png","figure")</f>
        <v>figure</v>
      </c>
      <c r="P150" t="s">
        <v>15</v>
      </c>
    </row>
    <row r="151" spans="1:16" x14ac:dyDescent="0.25">
      <c r="A151">
        <v>150</v>
      </c>
      <c r="B151">
        <v>169</v>
      </c>
      <c r="C151" t="s">
        <v>45</v>
      </c>
      <c r="D151" t="s">
        <v>58</v>
      </c>
      <c r="E151" t="s">
        <v>49</v>
      </c>
      <c r="F151" t="s">
        <v>19</v>
      </c>
      <c r="G151" t="s">
        <v>26</v>
      </c>
      <c r="H151" t="s">
        <v>21</v>
      </c>
      <c r="I151" t="s">
        <v>56</v>
      </c>
      <c r="J151" t="s">
        <v>23</v>
      </c>
      <c r="K151">
        <v>3367</v>
      </c>
      <c r="L151" s="4">
        <v>36.992032799999997</v>
      </c>
      <c r="M151" s="4">
        <v>0.78859641518540258</v>
      </c>
      <c r="N151" s="4">
        <v>-0.35568921790955788</v>
      </c>
      <c r="O151" s="1" t="str">
        <f>HYPERLINK(".\sm_car_241122_2356\sm_car_241122_2356_150_Ca169TrN_MaMPC_ode23t_1.png","figure")</f>
        <v>figure</v>
      </c>
      <c r="P151" t="s">
        <v>15</v>
      </c>
    </row>
    <row r="152" spans="1:16" x14ac:dyDescent="0.25">
      <c r="A152">
        <v>151</v>
      </c>
      <c r="B152">
        <v>184</v>
      </c>
      <c r="C152" t="s">
        <v>105</v>
      </c>
      <c r="D152" t="s">
        <v>125</v>
      </c>
      <c r="E152" t="s">
        <v>49</v>
      </c>
      <c r="F152" t="s">
        <v>19</v>
      </c>
      <c r="G152" t="s">
        <v>20</v>
      </c>
      <c r="H152" t="s">
        <v>21</v>
      </c>
      <c r="I152" t="s">
        <v>55</v>
      </c>
      <c r="J152" t="s">
        <v>23</v>
      </c>
      <c r="K152">
        <v>2091</v>
      </c>
      <c r="L152" s="4">
        <v>51.683893099999999</v>
      </c>
      <c r="M152" s="4">
        <v>-1.8130445210063517E-2</v>
      </c>
      <c r="N152" s="4">
        <v>-0.69898571560516654</v>
      </c>
      <c r="O152" s="1" t="str">
        <f>HYPERLINK(".\sm_car_241122_2356\sm_car_241122_2356_151_Ca184TrN_MaMPK_ode23t_1.png","figure")</f>
        <v>figure</v>
      </c>
      <c r="P152" t="s">
        <v>15</v>
      </c>
    </row>
    <row r="153" spans="1:16" x14ac:dyDescent="0.25">
      <c r="A153">
        <v>152</v>
      </c>
      <c r="B153">
        <v>184</v>
      </c>
      <c r="C153" t="s">
        <v>105</v>
      </c>
      <c r="D153" t="s">
        <v>125</v>
      </c>
      <c r="E153" t="s">
        <v>49</v>
      </c>
      <c r="F153" t="s">
        <v>19</v>
      </c>
      <c r="G153" t="s">
        <v>20</v>
      </c>
      <c r="H153" t="s">
        <v>21</v>
      </c>
      <c r="I153" t="s">
        <v>56</v>
      </c>
      <c r="J153" t="s">
        <v>23</v>
      </c>
      <c r="K153">
        <v>2170</v>
      </c>
      <c r="L153" s="4">
        <v>49.883767599999999</v>
      </c>
      <c r="M153" s="4">
        <v>0.77504067001194876</v>
      </c>
      <c r="N153" s="4">
        <v>-0.32958888405163067</v>
      </c>
      <c r="O153" s="1" t="str">
        <f>HYPERLINK(".\sm_car_241122_2356\sm_car_241122_2356_152_Ca184TrN_MaMPC_ode23t_1.png","figure")</f>
        <v>figure</v>
      </c>
      <c r="P153" t="s">
        <v>15</v>
      </c>
    </row>
    <row r="154" spans="1:16" x14ac:dyDescent="0.25">
      <c r="A154">
        <v>153</v>
      </c>
      <c r="B154">
        <v>195</v>
      </c>
      <c r="C154" t="s">
        <v>45</v>
      </c>
      <c r="D154" t="s">
        <v>58</v>
      </c>
      <c r="E154" t="s">
        <v>108</v>
      </c>
      <c r="F154" t="s">
        <v>19</v>
      </c>
      <c r="G154" t="s">
        <v>26</v>
      </c>
      <c r="H154" t="s">
        <v>21</v>
      </c>
      <c r="I154" t="s">
        <v>55</v>
      </c>
      <c r="J154" t="s">
        <v>23</v>
      </c>
      <c r="K154">
        <v>3137</v>
      </c>
      <c r="L154" s="4">
        <v>31.681452</v>
      </c>
      <c r="M154" s="4">
        <v>-1.9810511836431594E-2</v>
      </c>
      <c r="N154" s="4">
        <v>-0.55652317060085066</v>
      </c>
      <c r="O154" s="1" t="str">
        <f>HYPERLINK(".\sm_car_241122_2356\sm_car_241122_2356_153_Ca195TrN_MaMPK_ode23t_1.png","figure")</f>
        <v>figure</v>
      </c>
      <c r="P154" t="s">
        <v>15</v>
      </c>
    </row>
    <row r="155" spans="1:16" x14ac:dyDescent="0.25">
      <c r="A155">
        <v>154</v>
      </c>
      <c r="B155">
        <v>195</v>
      </c>
      <c r="C155" t="s">
        <v>45</v>
      </c>
      <c r="D155" t="s">
        <v>58</v>
      </c>
      <c r="E155" t="s">
        <v>108</v>
      </c>
      <c r="F155" t="s">
        <v>19</v>
      </c>
      <c r="G155" t="s">
        <v>26</v>
      </c>
      <c r="H155" t="s">
        <v>21</v>
      </c>
      <c r="I155" t="s">
        <v>56</v>
      </c>
      <c r="J155" t="s">
        <v>23</v>
      </c>
      <c r="K155">
        <v>3391</v>
      </c>
      <c r="L155" s="4">
        <v>35.400410600000001</v>
      </c>
      <c r="M155" s="4">
        <v>0.78603403384223469</v>
      </c>
      <c r="N155" s="4">
        <v>-0.35566150176446359</v>
      </c>
      <c r="O155" s="1" t="str">
        <f>HYPERLINK(".\sm_car_241122_2356\sm_car_241122_2356_154_Ca195TrN_MaMPC_ode23t_1.png","figure")</f>
        <v>figure</v>
      </c>
      <c r="P155" t="s">
        <v>15</v>
      </c>
    </row>
    <row r="156" spans="1:16" x14ac:dyDescent="0.25">
      <c r="A156">
        <v>155</v>
      </c>
      <c r="B156">
        <v>198</v>
      </c>
      <c r="C156" t="s">
        <v>105</v>
      </c>
      <c r="D156" t="s">
        <v>125</v>
      </c>
      <c r="E156" t="s">
        <v>108</v>
      </c>
      <c r="F156" t="s">
        <v>19</v>
      </c>
      <c r="G156" t="s">
        <v>20</v>
      </c>
      <c r="H156" t="s">
        <v>21</v>
      </c>
      <c r="I156" t="s">
        <v>55</v>
      </c>
      <c r="J156" t="s">
        <v>23</v>
      </c>
      <c r="K156">
        <v>2128</v>
      </c>
      <c r="L156" s="4">
        <v>27.723287500000001</v>
      </c>
      <c r="M156" s="4">
        <v>-2.2772171663045238E-3</v>
      </c>
      <c r="N156" s="4">
        <v>-0.69949119120577441</v>
      </c>
      <c r="O156" s="1" t="str">
        <f>HYPERLINK(".\sm_car_241122_2356\sm_car_241122_2356_155_Ca198TrN_MaMPK_ode23t_1.png","figure")</f>
        <v>figure</v>
      </c>
      <c r="P156" t="s">
        <v>15</v>
      </c>
    </row>
    <row r="157" spans="1:16" x14ac:dyDescent="0.25">
      <c r="A157">
        <v>156</v>
      </c>
      <c r="B157">
        <v>198</v>
      </c>
      <c r="C157" t="s">
        <v>105</v>
      </c>
      <c r="D157" t="s">
        <v>125</v>
      </c>
      <c r="E157" t="s">
        <v>108</v>
      </c>
      <c r="F157" t="s">
        <v>19</v>
      </c>
      <c r="G157" t="s">
        <v>20</v>
      </c>
      <c r="H157" t="s">
        <v>21</v>
      </c>
      <c r="I157" t="s">
        <v>56</v>
      </c>
      <c r="J157" t="s">
        <v>23</v>
      </c>
      <c r="K157">
        <v>2193</v>
      </c>
      <c r="L157" s="4">
        <v>28.8453628</v>
      </c>
      <c r="M157" s="4">
        <v>0.78874244246508773</v>
      </c>
      <c r="N157" s="4">
        <v>-0.32973708897288107</v>
      </c>
      <c r="O157" s="1" t="str">
        <f>HYPERLINK(".\sm_car_241122_2356\sm_car_241122_2356_156_Ca198TrN_MaMPC_ode23t_1.png","figure")</f>
        <v>figure</v>
      </c>
      <c r="P157" t="s">
        <v>15</v>
      </c>
    </row>
    <row r="158" spans="1:16" x14ac:dyDescent="0.25">
      <c r="A158">
        <v>157</v>
      </c>
      <c r="B158">
        <v>151</v>
      </c>
      <c r="C158" t="s">
        <v>16</v>
      </c>
      <c r="D158" t="s">
        <v>17</v>
      </c>
      <c r="E158" t="s">
        <v>18</v>
      </c>
      <c r="F158" t="s">
        <v>19</v>
      </c>
      <c r="G158" t="s">
        <v>59</v>
      </c>
      <c r="H158" t="s">
        <v>21</v>
      </c>
      <c r="I158" t="s">
        <v>24</v>
      </c>
      <c r="J158" t="s">
        <v>23</v>
      </c>
      <c r="K158">
        <v>511</v>
      </c>
      <c r="L158" s="4">
        <v>11.1235822</v>
      </c>
      <c r="M158" s="4">
        <v>73.325264565701644</v>
      </c>
      <c r="N158" s="4">
        <v>-0.84176717421758052</v>
      </c>
      <c r="O158" s="1" t="str">
        <f>HYPERLINK(".\sm_car_241122_2356\sm_car_241122_2356_157_Ca151TrN_MaLSS_ode23t_1.png","figure")</f>
        <v>figure</v>
      </c>
      <c r="P158" t="s">
        <v>15</v>
      </c>
    </row>
    <row r="159" spans="1:16" x14ac:dyDescent="0.25">
      <c r="A159">
        <v>158</v>
      </c>
      <c r="B159">
        <v>152</v>
      </c>
      <c r="C159" t="s">
        <v>16</v>
      </c>
      <c r="D159" t="s">
        <v>17</v>
      </c>
      <c r="E159" t="s">
        <v>18</v>
      </c>
      <c r="F159" t="s">
        <v>19</v>
      </c>
      <c r="G159" t="s">
        <v>60</v>
      </c>
      <c r="H159" t="s">
        <v>21</v>
      </c>
      <c r="I159" t="s">
        <v>24</v>
      </c>
      <c r="J159" t="s">
        <v>23</v>
      </c>
      <c r="K159">
        <v>534</v>
      </c>
      <c r="L159" s="4">
        <v>12.0939829</v>
      </c>
      <c r="M159" s="4">
        <v>71.689885736740607</v>
      </c>
      <c r="N159" s="4">
        <v>-0.54363172188917508</v>
      </c>
      <c r="O159" s="1" t="str">
        <f>HYPERLINK(".\sm_car_241122_2356\sm_car_241122_2356_158_Ca152TrN_MaLSS_ode23t_1.png","figure")</f>
        <v>figure</v>
      </c>
      <c r="P159" t="s">
        <v>15</v>
      </c>
    </row>
    <row r="160" spans="1:16" x14ac:dyDescent="0.25">
      <c r="A160">
        <v>159</v>
      </c>
      <c r="B160">
        <v>153</v>
      </c>
      <c r="C160" t="s">
        <v>16</v>
      </c>
      <c r="D160" t="s">
        <v>17</v>
      </c>
      <c r="E160" t="s">
        <v>18</v>
      </c>
      <c r="F160" t="s">
        <v>19</v>
      </c>
      <c r="G160" t="s">
        <v>61</v>
      </c>
      <c r="H160" t="s">
        <v>21</v>
      </c>
      <c r="I160" t="s">
        <v>24</v>
      </c>
      <c r="J160" t="s">
        <v>23</v>
      </c>
      <c r="K160">
        <v>547</v>
      </c>
      <c r="L160" s="4">
        <v>13.057900500000001</v>
      </c>
      <c r="M160" s="4">
        <v>71.557721790847282</v>
      </c>
      <c r="N160" s="4">
        <v>-0.89025332849071259</v>
      </c>
      <c r="O160" s="1" t="str">
        <f>HYPERLINK(".\sm_car_241122_2356\sm_car_241122_2356_159_Ca153TrN_MaLSS_ode23t_1.png","figure")</f>
        <v>figure</v>
      </c>
      <c r="P160" t="s">
        <v>15</v>
      </c>
    </row>
    <row r="161" spans="1:16" x14ac:dyDescent="0.25">
      <c r="A161">
        <v>160</v>
      </c>
      <c r="B161">
        <v>154</v>
      </c>
      <c r="C161" t="s">
        <v>16</v>
      </c>
      <c r="D161" t="s">
        <v>17</v>
      </c>
      <c r="E161" t="s">
        <v>18</v>
      </c>
      <c r="F161" t="s">
        <v>19</v>
      </c>
      <c r="G161" t="s">
        <v>109</v>
      </c>
      <c r="H161" t="s">
        <v>21</v>
      </c>
      <c r="I161" t="s">
        <v>24</v>
      </c>
      <c r="J161" t="s">
        <v>23</v>
      </c>
      <c r="K161">
        <v>504</v>
      </c>
      <c r="L161" s="4">
        <v>15.8635666</v>
      </c>
      <c r="M161" s="4">
        <v>71.722290066733322</v>
      </c>
      <c r="N161" s="4">
        <v>-0.36677779281746581</v>
      </c>
      <c r="O161" s="1" t="str">
        <f>HYPERLINK(".\sm_car_241122_2356\sm_car_241122_2356_160_Ca154TrN_MaLSS_ode23t_1.png","figure")</f>
        <v>figure</v>
      </c>
      <c r="P161" t="s">
        <v>15</v>
      </c>
    </row>
    <row r="162" spans="1:16" x14ac:dyDescent="0.25">
      <c r="A162">
        <v>161</v>
      </c>
      <c r="B162">
        <v>155</v>
      </c>
      <c r="C162" t="s">
        <v>16</v>
      </c>
      <c r="D162" t="s">
        <v>17</v>
      </c>
      <c r="E162" t="s">
        <v>18</v>
      </c>
      <c r="F162" t="s">
        <v>19</v>
      </c>
      <c r="G162" t="s">
        <v>62</v>
      </c>
      <c r="H162" t="s">
        <v>21</v>
      </c>
      <c r="I162" t="s">
        <v>24</v>
      </c>
      <c r="J162" t="s">
        <v>23</v>
      </c>
      <c r="K162">
        <v>549</v>
      </c>
      <c r="L162" s="4">
        <v>16.796268999999999</v>
      </c>
      <c r="M162" s="4">
        <v>71.56091870965416</v>
      </c>
      <c r="N162" s="4">
        <v>-0.86414933457281107</v>
      </c>
      <c r="O162" s="1" t="str">
        <f>HYPERLINK(".\sm_car_241122_2356\sm_car_241122_2356_161_Ca155TrN_MaLSS_ode23t_1.png","figure")</f>
        <v>figure</v>
      </c>
      <c r="P162" t="s">
        <v>15</v>
      </c>
    </row>
    <row r="163" spans="1:16" x14ac:dyDescent="0.25">
      <c r="A163">
        <v>162</v>
      </c>
      <c r="B163">
        <v>4</v>
      </c>
      <c r="C163" t="s">
        <v>16</v>
      </c>
      <c r="D163" t="s">
        <v>17</v>
      </c>
      <c r="E163" t="s">
        <v>18</v>
      </c>
      <c r="F163" t="s">
        <v>28</v>
      </c>
      <c r="G163" t="s">
        <v>20</v>
      </c>
      <c r="H163" t="s">
        <v>21</v>
      </c>
      <c r="I163" t="s">
        <v>22</v>
      </c>
      <c r="J163" t="s">
        <v>63</v>
      </c>
      <c r="K163">
        <v>3246</v>
      </c>
      <c r="L163" s="4">
        <v>8.4875983999999995</v>
      </c>
      <c r="M163" s="4">
        <v>233.86868495957117</v>
      </c>
      <c r="N163" s="4">
        <v>1.5279868512777874E-2</v>
      </c>
      <c r="O163" s="1" t="str">
        <f>HYPERLINK(".\sm_car_241122_2356\sm_car_241122_2356_162_Ca004TrN_MaWOT_ode3_1.png","figure")</f>
        <v>figure</v>
      </c>
      <c r="P163" t="s">
        <v>15</v>
      </c>
    </row>
    <row r="164" spans="1:16" x14ac:dyDescent="0.25">
      <c r="A164">
        <v>163</v>
      </c>
      <c r="B164">
        <v>4</v>
      </c>
      <c r="C164" t="s">
        <v>16</v>
      </c>
      <c r="D164" t="s">
        <v>17</v>
      </c>
      <c r="E164" t="s">
        <v>18</v>
      </c>
      <c r="F164" t="s">
        <v>28</v>
      </c>
      <c r="G164" t="s">
        <v>20</v>
      </c>
      <c r="H164" t="s">
        <v>21</v>
      </c>
      <c r="I164" t="s">
        <v>24</v>
      </c>
      <c r="J164" t="s">
        <v>63</v>
      </c>
      <c r="K164">
        <v>2564</v>
      </c>
      <c r="L164" s="4">
        <v>6.9624740999999997</v>
      </c>
      <c r="M164" s="4">
        <v>71.992416552873522</v>
      </c>
      <c r="N164" s="4">
        <v>-0.55216478985760642</v>
      </c>
      <c r="O164" s="1" t="str">
        <f>HYPERLINK(".\sm_car_241122_2356\sm_car_241122_2356_163_Ca004TrN_MaLSS_ode3_1.png","figure")</f>
        <v>figure</v>
      </c>
      <c r="P164" t="s">
        <v>15</v>
      </c>
    </row>
    <row r="165" spans="1:16" x14ac:dyDescent="0.25">
      <c r="A165">
        <v>164</v>
      </c>
      <c r="B165">
        <v>4</v>
      </c>
      <c r="C165" t="s">
        <v>16</v>
      </c>
      <c r="D165" t="s">
        <v>17</v>
      </c>
      <c r="E165" t="s">
        <v>18</v>
      </c>
      <c r="F165" t="s">
        <v>28</v>
      </c>
      <c r="G165" t="s">
        <v>20</v>
      </c>
      <c r="H165" t="s">
        <v>21</v>
      </c>
      <c r="I165" t="s">
        <v>64</v>
      </c>
      <c r="J165" t="s">
        <v>63</v>
      </c>
      <c r="K165">
        <v>2562</v>
      </c>
      <c r="L165" s="4">
        <v>6.8174957999999997</v>
      </c>
      <c r="M165" s="4">
        <v>64.314286423663845</v>
      </c>
      <c r="N165" s="4">
        <v>-25.500994053949178</v>
      </c>
      <c r="O165" s="1" t="str">
        <f>HYPERLINK(".\sm_car_241122_2356\sm_car_241122_2356_164_Ca004TrN_MaTUR_ode3_1.png","figure")</f>
        <v>figure</v>
      </c>
      <c r="P165" t="s">
        <v>15</v>
      </c>
    </row>
    <row r="166" spans="1:16" x14ac:dyDescent="0.25">
      <c r="A166">
        <v>165</v>
      </c>
      <c r="B166">
        <v>116</v>
      </c>
      <c r="C166" t="s">
        <v>16</v>
      </c>
      <c r="D166" t="s">
        <v>35</v>
      </c>
      <c r="E166" t="s">
        <v>18</v>
      </c>
      <c r="F166" t="s">
        <v>28</v>
      </c>
      <c r="G166" t="s">
        <v>20</v>
      </c>
      <c r="H166" t="s">
        <v>21</v>
      </c>
      <c r="I166" t="s">
        <v>22</v>
      </c>
      <c r="J166" t="s">
        <v>63</v>
      </c>
      <c r="K166">
        <v>3244</v>
      </c>
      <c r="L166" s="4">
        <v>3.6743583000000002</v>
      </c>
      <c r="M166" s="4">
        <v>242.70379428436041</v>
      </c>
      <c r="N166" s="4">
        <v>0.23327324309701689</v>
      </c>
      <c r="O166" s="1" t="str">
        <f>HYPERLINK(".\sm_car_241122_2356\sm_car_241122_2356_165_Ca116TrN_MaWOT_ode3_1.png","figure")</f>
        <v>figure</v>
      </c>
      <c r="P166" t="s">
        <v>15</v>
      </c>
    </row>
    <row r="167" spans="1:16" x14ac:dyDescent="0.25">
      <c r="A167">
        <v>166</v>
      </c>
      <c r="B167">
        <v>116</v>
      </c>
      <c r="C167" t="s">
        <v>16</v>
      </c>
      <c r="D167" t="s">
        <v>35</v>
      </c>
      <c r="E167" t="s">
        <v>18</v>
      </c>
      <c r="F167" t="s">
        <v>28</v>
      </c>
      <c r="G167" t="s">
        <v>20</v>
      </c>
      <c r="H167" t="s">
        <v>21</v>
      </c>
      <c r="I167" t="s">
        <v>24</v>
      </c>
      <c r="J167" t="s">
        <v>63</v>
      </c>
      <c r="K167">
        <v>2564</v>
      </c>
      <c r="L167" s="4">
        <v>2.9511821999999999</v>
      </c>
      <c r="M167" s="4">
        <v>74.659491982450774</v>
      </c>
      <c r="N167" s="4">
        <v>-0.34093758006291858</v>
      </c>
      <c r="O167" s="1" t="str">
        <f>HYPERLINK(".\sm_car_241122_2356\sm_car_241122_2356_166_Ca116TrN_MaLSS_ode3_1.png","figure")</f>
        <v>figure</v>
      </c>
      <c r="P167" t="s">
        <v>15</v>
      </c>
    </row>
    <row r="168" spans="1:16" x14ac:dyDescent="0.25">
      <c r="A168">
        <v>167</v>
      </c>
      <c r="B168">
        <v>116</v>
      </c>
      <c r="C168" t="s">
        <v>16</v>
      </c>
      <c r="D168" t="s">
        <v>35</v>
      </c>
      <c r="E168" t="s">
        <v>18</v>
      </c>
      <c r="F168" t="s">
        <v>28</v>
      </c>
      <c r="G168" t="s">
        <v>20</v>
      </c>
      <c r="H168" t="s">
        <v>21</v>
      </c>
      <c r="I168" t="s">
        <v>64</v>
      </c>
      <c r="J168" t="s">
        <v>63</v>
      </c>
      <c r="K168">
        <v>2563</v>
      </c>
      <c r="L168" s="4">
        <v>3.0249600000000001</v>
      </c>
      <c r="M168" s="4">
        <v>71.32397117118802</v>
      </c>
      <c r="N168" s="4">
        <v>-17.591551103430934</v>
      </c>
      <c r="O168" s="1" t="str">
        <f>HYPERLINK(".\sm_car_241122_2356\sm_car_241122_2356_167_Ca116TrN_MaTUR_ode3_1.png","figure")</f>
        <v>figure</v>
      </c>
      <c r="P168" t="s">
        <v>15</v>
      </c>
    </row>
    <row r="169" spans="1:16" x14ac:dyDescent="0.25">
      <c r="A169">
        <v>168</v>
      </c>
      <c r="B169">
        <v>124</v>
      </c>
      <c r="C169" t="s">
        <v>16</v>
      </c>
      <c r="D169" t="s">
        <v>35</v>
      </c>
      <c r="E169" t="s">
        <v>49</v>
      </c>
      <c r="F169" t="s">
        <v>28</v>
      </c>
      <c r="G169" t="s">
        <v>20</v>
      </c>
      <c r="H169" t="s">
        <v>21</v>
      </c>
      <c r="I169" t="s">
        <v>22</v>
      </c>
      <c r="J169" t="s">
        <v>63</v>
      </c>
      <c r="K169">
        <v>3244</v>
      </c>
      <c r="L169" s="4">
        <v>2.1195748000000001</v>
      </c>
      <c r="M169" s="4">
        <v>242.88013068819623</v>
      </c>
      <c r="N169" s="4">
        <v>0.23307974035338433</v>
      </c>
      <c r="O169" s="1" t="str">
        <f>HYPERLINK(".\sm_car_241122_2356\sm_car_241122_2356_168_Ca124TrN_MaWOT_ode3_1.png","figure")</f>
        <v>figure</v>
      </c>
      <c r="P169" t="s">
        <v>15</v>
      </c>
    </row>
    <row r="170" spans="1:16" x14ac:dyDescent="0.25">
      <c r="A170">
        <v>169</v>
      </c>
      <c r="B170">
        <v>124</v>
      </c>
      <c r="C170" t="s">
        <v>16</v>
      </c>
      <c r="D170" t="s">
        <v>35</v>
      </c>
      <c r="E170" t="s">
        <v>49</v>
      </c>
      <c r="F170" t="s">
        <v>28</v>
      </c>
      <c r="G170" t="s">
        <v>20</v>
      </c>
      <c r="H170" t="s">
        <v>21</v>
      </c>
      <c r="I170" t="s">
        <v>24</v>
      </c>
      <c r="J170" t="s">
        <v>63</v>
      </c>
      <c r="K170">
        <v>2565</v>
      </c>
      <c r="L170" s="4">
        <v>1.6679112</v>
      </c>
      <c r="M170" s="4">
        <v>74.798394612599097</v>
      </c>
      <c r="N170" s="4">
        <v>-0.34251622055333664</v>
      </c>
      <c r="O170" s="1" t="str">
        <f>HYPERLINK(".\sm_car_241122_2356\sm_car_241122_2356_169_Ca124TrN_MaLSS_ode3_1.png","figure")</f>
        <v>figure</v>
      </c>
      <c r="P170" t="s">
        <v>15</v>
      </c>
    </row>
    <row r="171" spans="1:16" x14ac:dyDescent="0.25">
      <c r="A171">
        <v>170</v>
      </c>
      <c r="B171">
        <v>124</v>
      </c>
      <c r="C171" t="s">
        <v>16</v>
      </c>
      <c r="D171" t="s">
        <v>35</v>
      </c>
      <c r="E171" t="s">
        <v>49</v>
      </c>
      <c r="F171" t="s">
        <v>28</v>
      </c>
      <c r="G171" t="s">
        <v>20</v>
      </c>
      <c r="H171" t="s">
        <v>21</v>
      </c>
      <c r="I171" t="s">
        <v>64</v>
      </c>
      <c r="J171" t="s">
        <v>63</v>
      </c>
      <c r="K171">
        <v>2564</v>
      </c>
      <c r="L171" s="4">
        <v>1.7010883000000001</v>
      </c>
      <c r="M171" s="4">
        <v>71.449352968456878</v>
      </c>
      <c r="N171" s="4">
        <v>-17.63759605520924</v>
      </c>
      <c r="O171" s="1" t="str">
        <f>HYPERLINK(".\sm_car_241122_2356\sm_car_241122_2356_170_Ca124TrN_MaTUR_ode3_1.png","figure")</f>
        <v>figure</v>
      </c>
      <c r="P171" t="s">
        <v>15</v>
      </c>
    </row>
    <row r="172" spans="1:16" x14ac:dyDescent="0.25">
      <c r="A172">
        <v>171</v>
      </c>
      <c r="B172">
        <v>141</v>
      </c>
      <c r="C172" t="s">
        <v>45</v>
      </c>
      <c r="D172" t="s">
        <v>17</v>
      </c>
      <c r="E172" t="s">
        <v>18</v>
      </c>
      <c r="F172" t="s">
        <v>28</v>
      </c>
      <c r="G172" t="s">
        <v>26</v>
      </c>
      <c r="H172" t="s">
        <v>21</v>
      </c>
      <c r="I172" t="s">
        <v>22</v>
      </c>
      <c r="J172" t="s">
        <v>63</v>
      </c>
      <c r="K172">
        <v>3834</v>
      </c>
      <c r="L172" s="4">
        <v>11.735822900000001</v>
      </c>
      <c r="M172" s="4">
        <v>411.22792845504802</v>
      </c>
      <c r="N172" s="4">
        <v>1.5233270410949393</v>
      </c>
      <c r="O172" s="1" t="str">
        <f>HYPERLINK(".\sm_car_241122_2356\sm_car_241122_2356_171_Ca141TrN_MaWOT_ode3_1.png","figure")</f>
        <v>figure</v>
      </c>
      <c r="P172" t="s">
        <v>15</v>
      </c>
    </row>
    <row r="173" spans="1:16" x14ac:dyDescent="0.25">
      <c r="A173">
        <v>172</v>
      </c>
      <c r="B173">
        <v>141</v>
      </c>
      <c r="C173" t="s">
        <v>45</v>
      </c>
      <c r="D173" t="s">
        <v>17</v>
      </c>
      <c r="E173" t="s">
        <v>18</v>
      </c>
      <c r="F173" t="s">
        <v>28</v>
      </c>
      <c r="G173" t="s">
        <v>26</v>
      </c>
      <c r="H173" t="s">
        <v>21</v>
      </c>
      <c r="I173" t="s">
        <v>24</v>
      </c>
      <c r="J173" t="s">
        <v>63</v>
      </c>
      <c r="K173">
        <v>3192</v>
      </c>
      <c r="L173" s="4">
        <v>9.8690280999999995</v>
      </c>
      <c r="M173" s="4">
        <v>157.12815753753512</v>
      </c>
      <c r="N173" s="4">
        <v>-0.5645994214673864</v>
      </c>
      <c r="O173" s="1" t="str">
        <f>HYPERLINK(".\sm_car_241122_2356\sm_car_241122_2356_172_Ca141TrN_MaLSS_ode3_1.png","figure")</f>
        <v>figure</v>
      </c>
      <c r="P173" t="s">
        <v>15</v>
      </c>
    </row>
    <row r="174" spans="1:16" x14ac:dyDescent="0.25">
      <c r="A174">
        <v>173</v>
      </c>
      <c r="B174">
        <v>141</v>
      </c>
      <c r="C174" t="s">
        <v>45</v>
      </c>
      <c r="D174" t="s">
        <v>17</v>
      </c>
      <c r="E174" t="s">
        <v>18</v>
      </c>
      <c r="F174" t="s">
        <v>28</v>
      </c>
      <c r="G174" t="s">
        <v>26</v>
      </c>
      <c r="H174" t="s">
        <v>21</v>
      </c>
      <c r="I174" t="s">
        <v>64</v>
      </c>
      <c r="J174" t="s">
        <v>63</v>
      </c>
      <c r="K174">
        <v>3160</v>
      </c>
      <c r="L174" s="4">
        <v>10.036341800000001</v>
      </c>
      <c r="M174" s="4">
        <v>99.142812458786821</v>
      </c>
      <c r="N174" s="4">
        <v>-89.336781371922427</v>
      </c>
      <c r="O174" s="1" t="str">
        <f>HYPERLINK(".\sm_car_241122_2356\sm_car_241122_2356_173_Ca141TrN_MaTUR_ode3_1.png","figure")</f>
        <v>figure</v>
      </c>
      <c r="P174" t="s">
        <v>15</v>
      </c>
    </row>
    <row r="175" spans="1:16" x14ac:dyDescent="0.25">
      <c r="A175">
        <v>174</v>
      </c>
      <c r="B175">
        <v>145</v>
      </c>
      <c r="C175" t="s">
        <v>46</v>
      </c>
      <c r="D175" t="s">
        <v>17</v>
      </c>
      <c r="E175" t="s">
        <v>50</v>
      </c>
      <c r="F175" t="s">
        <v>19</v>
      </c>
      <c r="G175" t="s">
        <v>26</v>
      </c>
      <c r="H175" t="s">
        <v>21</v>
      </c>
      <c r="I175" t="s">
        <v>22</v>
      </c>
      <c r="J175" t="s">
        <v>63</v>
      </c>
      <c r="K175">
        <v>2852</v>
      </c>
      <c r="L175" s="4">
        <v>7.5253477999999996</v>
      </c>
      <c r="M175" s="4">
        <v>96.916371304272687</v>
      </c>
      <c r="N175" s="4">
        <v>8.5601703201293677E-2</v>
      </c>
      <c r="O175" s="1" t="str">
        <f>HYPERLINK(".\sm_car_241122_2356\sm_car_241122_2356_174_Ca145TrN_MaWOT_ode3_1.png","figure")</f>
        <v>figure</v>
      </c>
      <c r="P175" t="s">
        <v>15</v>
      </c>
    </row>
    <row r="176" spans="1:16" x14ac:dyDescent="0.25">
      <c r="A176">
        <v>175</v>
      </c>
      <c r="B176">
        <v>145</v>
      </c>
      <c r="C176" t="s">
        <v>46</v>
      </c>
      <c r="D176" t="s">
        <v>17</v>
      </c>
      <c r="E176" t="s">
        <v>50</v>
      </c>
      <c r="F176" t="s">
        <v>19</v>
      </c>
      <c r="G176" t="s">
        <v>26</v>
      </c>
      <c r="H176" t="s">
        <v>21</v>
      </c>
      <c r="I176" t="s">
        <v>24</v>
      </c>
      <c r="J176" t="s">
        <v>63</v>
      </c>
      <c r="K176">
        <v>2380</v>
      </c>
      <c r="L176" s="4">
        <v>6.5857533999999998</v>
      </c>
      <c r="M176" s="4">
        <v>25.406467729560834</v>
      </c>
      <c r="N176" s="4">
        <v>-4.2611526033001723E-2</v>
      </c>
      <c r="O176" s="1" t="str">
        <f>HYPERLINK(".\sm_car_241122_2356\sm_car_241122_2356_175_Ca145TrN_MaLSS_ode3_1.png","figure")</f>
        <v>figure</v>
      </c>
      <c r="P176" t="s">
        <v>15</v>
      </c>
    </row>
    <row r="177" spans="1:16" x14ac:dyDescent="0.25">
      <c r="A177">
        <v>176</v>
      </c>
      <c r="B177">
        <v>145</v>
      </c>
      <c r="C177" t="s">
        <v>46</v>
      </c>
      <c r="D177" t="s">
        <v>17</v>
      </c>
      <c r="E177" t="s">
        <v>50</v>
      </c>
      <c r="F177" t="s">
        <v>19</v>
      </c>
      <c r="G177" t="s">
        <v>26</v>
      </c>
      <c r="H177" t="s">
        <v>21</v>
      </c>
      <c r="I177" t="s">
        <v>64</v>
      </c>
      <c r="J177" t="s">
        <v>63</v>
      </c>
      <c r="K177">
        <v>2379</v>
      </c>
      <c r="L177" s="4">
        <v>6.5757120999999996</v>
      </c>
      <c r="M177" s="4">
        <v>25.251864087667411</v>
      </c>
      <c r="N177" s="4">
        <v>-2.6276347914826599</v>
      </c>
      <c r="O177" s="1" t="str">
        <f>HYPERLINK(".\sm_car_241122_2356\sm_car_241122_2356_176_Ca145TrN_MaTUR_ode3_1.png","figure")</f>
        <v>figure</v>
      </c>
      <c r="P177" t="s">
        <v>15</v>
      </c>
    </row>
    <row r="178" spans="1:16" x14ac:dyDescent="0.25">
      <c r="A178">
        <v>177</v>
      </c>
      <c r="B178">
        <v>199</v>
      </c>
      <c r="C178" t="s">
        <v>46</v>
      </c>
      <c r="D178" t="s">
        <v>17</v>
      </c>
      <c r="E178" t="s">
        <v>110</v>
      </c>
      <c r="F178" t="s">
        <v>19</v>
      </c>
      <c r="G178" t="s">
        <v>26</v>
      </c>
      <c r="H178" t="s">
        <v>21</v>
      </c>
      <c r="I178" t="s">
        <v>22</v>
      </c>
      <c r="J178" t="s">
        <v>63</v>
      </c>
      <c r="K178">
        <v>2855</v>
      </c>
      <c r="L178" s="4">
        <v>8.8884589999999992</v>
      </c>
      <c r="M178" s="4">
        <v>97.72820602001029</v>
      </c>
      <c r="N178" s="4">
        <v>-5.0753388459234966E-2</v>
      </c>
      <c r="O178" s="1" t="str">
        <f>HYPERLINK(".\sm_car_241122_2356\sm_car_241122_2356_177_Ca199TrN_MaWOT_ode3_1.png","figure")</f>
        <v>figure</v>
      </c>
      <c r="P178" t="s">
        <v>15</v>
      </c>
    </row>
    <row r="179" spans="1:16" x14ac:dyDescent="0.25">
      <c r="A179">
        <v>178</v>
      </c>
      <c r="B179">
        <v>199</v>
      </c>
      <c r="C179" t="s">
        <v>46</v>
      </c>
      <c r="D179" t="s">
        <v>17</v>
      </c>
      <c r="E179" t="s">
        <v>110</v>
      </c>
      <c r="F179" t="s">
        <v>19</v>
      </c>
      <c r="G179" t="s">
        <v>26</v>
      </c>
      <c r="H179" t="s">
        <v>21</v>
      </c>
      <c r="I179" t="s">
        <v>24</v>
      </c>
      <c r="J179" t="s">
        <v>63</v>
      </c>
      <c r="K179">
        <v>2381</v>
      </c>
      <c r="L179" s="4">
        <v>7.3810843999999998</v>
      </c>
      <c r="M179" s="4">
        <v>26.092671747695043</v>
      </c>
      <c r="N179" s="4">
        <v>-5.5251833176126051E-2</v>
      </c>
      <c r="O179" s="1" t="str">
        <f>HYPERLINK(".\sm_car_241122_2356\sm_car_241122_2356_178_Ca199TrN_MaLSS_ode3_1.png","figure")</f>
        <v>figure</v>
      </c>
      <c r="P179" t="s">
        <v>15</v>
      </c>
    </row>
    <row r="180" spans="1:16" x14ac:dyDescent="0.25">
      <c r="A180">
        <v>179</v>
      </c>
      <c r="B180">
        <v>199</v>
      </c>
      <c r="C180" t="s">
        <v>46</v>
      </c>
      <c r="D180" t="s">
        <v>17</v>
      </c>
      <c r="E180" t="s">
        <v>110</v>
      </c>
      <c r="F180" t="s">
        <v>19</v>
      </c>
      <c r="G180" t="s">
        <v>26</v>
      </c>
      <c r="H180" t="s">
        <v>21</v>
      </c>
      <c r="I180" t="s">
        <v>64</v>
      </c>
      <c r="J180" t="s">
        <v>63</v>
      </c>
      <c r="K180">
        <v>2385</v>
      </c>
      <c r="L180" s="4">
        <v>7.0921281</v>
      </c>
      <c r="M180" s="4">
        <v>25.926773909678545</v>
      </c>
      <c r="N180" s="4">
        <v>-2.7324579658090737</v>
      </c>
      <c r="O180" s="1" t="str">
        <f>HYPERLINK(".\sm_car_241122_2356\sm_car_241122_2356_179_Ca199TrN_MaTUR_ode3_1.png","figure")</f>
        <v>figure</v>
      </c>
      <c r="P180" t="s">
        <v>15</v>
      </c>
    </row>
    <row r="181" spans="1:16" x14ac:dyDescent="0.25">
      <c r="A181">
        <v>180</v>
      </c>
      <c r="B181">
        <v>139</v>
      </c>
      <c r="C181" t="s">
        <v>45</v>
      </c>
      <c r="D181" t="s">
        <v>17</v>
      </c>
      <c r="E181" t="s">
        <v>18</v>
      </c>
      <c r="F181" t="s">
        <v>19</v>
      </c>
      <c r="G181" t="s">
        <v>26</v>
      </c>
      <c r="H181" t="s">
        <v>21</v>
      </c>
      <c r="I181" t="s">
        <v>53</v>
      </c>
      <c r="J181" t="s">
        <v>23</v>
      </c>
      <c r="K181">
        <v>553</v>
      </c>
      <c r="L181" s="4">
        <v>9.0601345999999996</v>
      </c>
      <c r="M181" s="4">
        <v>254.14540976175732</v>
      </c>
      <c r="N181" s="4">
        <v>-6.1064291125401127E-3</v>
      </c>
      <c r="O181" s="1" t="str">
        <f>HYPERLINK(".\sm_car_241122_2356\sm_car_241122_2356_180_Ca139TrN_MaDLC_ode23t_1.png","figure")</f>
        <v>figure</v>
      </c>
      <c r="P181" t="s">
        <v>15</v>
      </c>
    </row>
    <row r="182" spans="1:16" x14ac:dyDescent="0.25">
      <c r="A182">
        <v>181</v>
      </c>
      <c r="B182">
        <v>139</v>
      </c>
      <c r="C182" t="s">
        <v>45</v>
      </c>
      <c r="D182" t="s">
        <v>17</v>
      </c>
      <c r="E182" t="s">
        <v>18</v>
      </c>
      <c r="F182" t="s">
        <v>19</v>
      </c>
      <c r="G182" t="s">
        <v>26</v>
      </c>
      <c r="H182" t="s">
        <v>65</v>
      </c>
      <c r="I182" t="s">
        <v>53</v>
      </c>
      <c r="J182" t="s">
        <v>23</v>
      </c>
      <c r="K182">
        <v>931</v>
      </c>
      <c r="L182" s="4">
        <v>28.576925500000002</v>
      </c>
      <c r="M182" s="4">
        <v>253.36333291340162</v>
      </c>
      <c r="N182" s="4">
        <v>0.18550848405063469</v>
      </c>
      <c r="O182" s="1" t="str">
        <f>HYPERLINK(".\sm_car_241122_2356\sm_car_241122_2356_181_Ca139TrE_MaDLC_ode23t_1.png","figure")</f>
        <v>figure</v>
      </c>
      <c r="P182" t="s">
        <v>15</v>
      </c>
    </row>
    <row r="183" spans="1:16" x14ac:dyDescent="0.25">
      <c r="A183">
        <v>182</v>
      </c>
      <c r="B183">
        <v>139</v>
      </c>
      <c r="C183" t="s">
        <v>45</v>
      </c>
      <c r="D183" t="s">
        <v>17</v>
      </c>
      <c r="E183" t="s">
        <v>18</v>
      </c>
      <c r="F183" t="s">
        <v>19</v>
      </c>
      <c r="G183" t="s">
        <v>26</v>
      </c>
      <c r="H183" t="s">
        <v>66</v>
      </c>
      <c r="I183" t="s">
        <v>53</v>
      </c>
      <c r="J183" t="s">
        <v>23</v>
      </c>
      <c r="K183">
        <v>957</v>
      </c>
      <c r="L183" s="4">
        <v>30.9726626</v>
      </c>
      <c r="M183" s="4">
        <v>255.79150962426274</v>
      </c>
      <c r="N183" s="4">
        <v>-5.0084548765516601E-3</v>
      </c>
      <c r="O183" s="1" t="str">
        <f>HYPERLINK(".\sm_car_241122_2356\sm_car_241122_2356_182_Ca139TrT_MaDLC_ode23t_1.png","figure")</f>
        <v>figure</v>
      </c>
      <c r="P183" t="s">
        <v>15</v>
      </c>
    </row>
    <row r="184" spans="1:16" x14ac:dyDescent="0.25">
      <c r="A184">
        <v>183</v>
      </c>
      <c r="B184">
        <v>139</v>
      </c>
      <c r="C184" t="s">
        <v>45</v>
      </c>
      <c r="D184" t="s">
        <v>17</v>
      </c>
      <c r="E184" t="s">
        <v>18</v>
      </c>
      <c r="F184" t="s">
        <v>19</v>
      </c>
      <c r="G184" t="s">
        <v>26</v>
      </c>
      <c r="H184" t="s">
        <v>65</v>
      </c>
      <c r="I184" t="s">
        <v>53</v>
      </c>
      <c r="J184" t="s">
        <v>23</v>
      </c>
      <c r="K184">
        <v>769</v>
      </c>
      <c r="L184" s="4">
        <v>17.7898563</v>
      </c>
      <c r="M184" s="4">
        <v>253.38234152486029</v>
      </c>
      <c r="N184" s="4">
        <v>1.2448194171594373E-2</v>
      </c>
      <c r="O184" s="1" t="str">
        <f>HYPERLINK(".\sm_car_241122_2356\sm_car_241122_2356_183_Ca139TrE_MaDLC_ode23t_1.png","figure")</f>
        <v>figure</v>
      </c>
      <c r="P184" t="s">
        <v>15</v>
      </c>
    </row>
    <row r="185" spans="1:16" x14ac:dyDescent="0.25">
      <c r="A185">
        <v>184</v>
      </c>
      <c r="B185">
        <v>2</v>
      </c>
      <c r="C185" t="s">
        <v>16</v>
      </c>
      <c r="D185" t="s">
        <v>17</v>
      </c>
      <c r="E185" t="s">
        <v>18</v>
      </c>
      <c r="F185" t="s">
        <v>19</v>
      </c>
      <c r="G185" t="s">
        <v>26</v>
      </c>
      <c r="H185" t="s">
        <v>21</v>
      </c>
      <c r="I185" t="s">
        <v>53</v>
      </c>
      <c r="J185" t="s">
        <v>23</v>
      </c>
      <c r="K185">
        <v>627</v>
      </c>
      <c r="L185" s="4">
        <v>8.6903278000000004</v>
      </c>
      <c r="M185" s="4">
        <v>254.09720073246558</v>
      </c>
      <c r="N185" s="4">
        <v>3.2818725150702832E-3</v>
      </c>
      <c r="O185" s="1" t="str">
        <f>HYPERLINK(".\sm_car_241122_2356\sm_car_241122_2356_184_Ca002TrN_MaDLC_ode23t_1.png","figure")</f>
        <v>figure</v>
      </c>
      <c r="P185" t="s">
        <v>15</v>
      </c>
    </row>
    <row r="186" spans="1:16" x14ac:dyDescent="0.25">
      <c r="A186">
        <v>185</v>
      </c>
      <c r="B186">
        <v>2</v>
      </c>
      <c r="C186" t="s">
        <v>16</v>
      </c>
      <c r="D186" t="s">
        <v>17</v>
      </c>
      <c r="E186" t="s">
        <v>18</v>
      </c>
      <c r="F186" t="s">
        <v>19</v>
      </c>
      <c r="G186" t="s">
        <v>26</v>
      </c>
      <c r="H186" t="s">
        <v>65</v>
      </c>
      <c r="I186" t="s">
        <v>53</v>
      </c>
      <c r="J186" t="s">
        <v>23</v>
      </c>
      <c r="K186">
        <v>783</v>
      </c>
      <c r="L186" s="4">
        <v>20.054580699999999</v>
      </c>
      <c r="M186" s="4">
        <v>253.26782291678302</v>
      </c>
      <c r="N186" s="4">
        <v>3.7347252785560059E-3</v>
      </c>
      <c r="O186" s="1" t="str">
        <f>HYPERLINK(".\sm_car_241122_2356\sm_car_241122_2356_185_Ca002TrE_MaDLC_ode23t_1.png","figure")</f>
        <v>figure</v>
      </c>
      <c r="P186" t="s">
        <v>15</v>
      </c>
    </row>
    <row r="187" spans="1:16" x14ac:dyDescent="0.25">
      <c r="A187">
        <v>186</v>
      </c>
      <c r="B187">
        <v>2</v>
      </c>
      <c r="C187" t="s">
        <v>16</v>
      </c>
      <c r="D187" t="s">
        <v>17</v>
      </c>
      <c r="E187" t="s">
        <v>18</v>
      </c>
      <c r="F187" t="s">
        <v>19</v>
      </c>
      <c r="G187" t="s">
        <v>26</v>
      </c>
      <c r="H187" t="s">
        <v>66</v>
      </c>
      <c r="I187" t="s">
        <v>53</v>
      </c>
      <c r="J187" t="s">
        <v>23</v>
      </c>
      <c r="K187">
        <v>891</v>
      </c>
      <c r="L187" s="4">
        <v>23.304504699999999</v>
      </c>
      <c r="M187" s="4">
        <v>253.47980773318812</v>
      </c>
      <c r="N187" s="4">
        <v>3.6264141682069706E-3</v>
      </c>
      <c r="O187" s="1" t="str">
        <f>HYPERLINK(".\sm_car_241122_2356\sm_car_241122_2356_186_Ca002TrT_MaDLC_ode23t_1.png","figure")</f>
        <v>figure</v>
      </c>
      <c r="P187" t="s">
        <v>15</v>
      </c>
    </row>
    <row r="188" spans="1:16" x14ac:dyDescent="0.25">
      <c r="A188">
        <v>187</v>
      </c>
      <c r="B188">
        <v>2</v>
      </c>
      <c r="C188" t="s">
        <v>16</v>
      </c>
      <c r="D188" t="s">
        <v>17</v>
      </c>
      <c r="E188" t="s">
        <v>18</v>
      </c>
      <c r="F188" t="s">
        <v>19</v>
      </c>
      <c r="G188" t="s">
        <v>26</v>
      </c>
      <c r="H188" t="s">
        <v>65</v>
      </c>
      <c r="I188" t="s">
        <v>53</v>
      </c>
      <c r="J188" t="s">
        <v>23</v>
      </c>
      <c r="K188">
        <v>792</v>
      </c>
      <c r="L188" s="4">
        <v>16.559412500000001</v>
      </c>
      <c r="M188" s="4">
        <v>253.20194537074639</v>
      </c>
      <c r="N188" s="4">
        <v>3.7695400955621849E-3</v>
      </c>
      <c r="O188" s="1" t="str">
        <f>HYPERLINK(".\sm_car_241122_2356\sm_car_241122_2356_187_Ca002TrE_MaDLC_ode23t_1.png","figure")</f>
        <v>figure</v>
      </c>
      <c r="P188" t="s">
        <v>15</v>
      </c>
    </row>
    <row r="189" spans="1:16" x14ac:dyDescent="0.25">
      <c r="A189">
        <v>188</v>
      </c>
      <c r="B189">
        <v>145</v>
      </c>
      <c r="C189" t="s">
        <v>46</v>
      </c>
      <c r="D189" t="s">
        <v>17</v>
      </c>
      <c r="E189" t="s">
        <v>50</v>
      </c>
      <c r="F189" t="s">
        <v>19</v>
      </c>
      <c r="G189" t="s">
        <v>26</v>
      </c>
      <c r="H189" t="s">
        <v>21</v>
      </c>
      <c r="I189" t="s">
        <v>53</v>
      </c>
      <c r="J189" t="s">
        <v>23</v>
      </c>
      <c r="K189">
        <v>478</v>
      </c>
      <c r="L189" s="4">
        <v>17.274964099999998</v>
      </c>
      <c r="M189" s="4">
        <v>255.4635888938148</v>
      </c>
      <c r="N189" s="4">
        <v>4.0814600066976681E-2</v>
      </c>
      <c r="O189" s="1" t="str">
        <f>HYPERLINK(".\sm_car_241122_2356\sm_car_241122_2356_188_Ca145TrN_MaDLC_ode23t_1.png","figure")</f>
        <v>figure</v>
      </c>
      <c r="P189" t="s">
        <v>15</v>
      </c>
    </row>
    <row r="190" spans="1:16" x14ac:dyDescent="0.25">
      <c r="A190">
        <v>189</v>
      </c>
      <c r="B190">
        <v>145</v>
      </c>
      <c r="C190" t="s">
        <v>46</v>
      </c>
      <c r="D190" t="s">
        <v>17</v>
      </c>
      <c r="E190" t="s">
        <v>50</v>
      </c>
      <c r="F190" t="s">
        <v>19</v>
      </c>
      <c r="G190" t="s">
        <v>26</v>
      </c>
      <c r="H190" t="s">
        <v>65</v>
      </c>
      <c r="I190" t="s">
        <v>53</v>
      </c>
      <c r="J190" t="s">
        <v>23</v>
      </c>
      <c r="K190">
        <v>567</v>
      </c>
      <c r="L190" s="4">
        <v>31.225279</v>
      </c>
      <c r="M190" s="4">
        <v>254.2474034544249</v>
      </c>
      <c r="N190" s="4">
        <v>4.5806953688348528E-2</v>
      </c>
      <c r="O190" s="1" t="str">
        <f>HYPERLINK(".\sm_car_241122_2356\sm_car_241122_2356_189_Ca145TrE_MaDLC_ode23t_1.png","figure")</f>
        <v>figure</v>
      </c>
      <c r="P190" t="s">
        <v>15</v>
      </c>
    </row>
    <row r="191" spans="1:16" x14ac:dyDescent="0.25">
      <c r="A191">
        <v>190</v>
      </c>
      <c r="B191">
        <v>145</v>
      </c>
      <c r="C191" t="s">
        <v>46</v>
      </c>
      <c r="D191" t="s">
        <v>17</v>
      </c>
      <c r="E191" t="s">
        <v>50</v>
      </c>
      <c r="F191" t="s">
        <v>19</v>
      </c>
      <c r="G191" t="s">
        <v>26</v>
      </c>
      <c r="H191" t="s">
        <v>66</v>
      </c>
      <c r="I191" t="s">
        <v>53</v>
      </c>
      <c r="J191" t="s">
        <v>23</v>
      </c>
      <c r="K191">
        <v>666</v>
      </c>
      <c r="L191" s="4">
        <v>39.386133000000001</v>
      </c>
      <c r="M191" s="4">
        <v>253.44310822721349</v>
      </c>
      <c r="N191" s="4">
        <v>4.8537483599234932E-2</v>
      </c>
      <c r="O191" s="1" t="str">
        <f>HYPERLINK(".\sm_car_241122_2356\sm_car_241122_2356_190_Ca145TrT_MaDLC_ode23t_1.png","figure")</f>
        <v>figure</v>
      </c>
      <c r="P191" t="s">
        <v>15</v>
      </c>
    </row>
    <row r="192" spans="1:16" x14ac:dyDescent="0.25">
      <c r="A192">
        <v>191</v>
      </c>
      <c r="B192">
        <v>145</v>
      </c>
      <c r="C192" t="s">
        <v>46</v>
      </c>
      <c r="D192" t="s">
        <v>17</v>
      </c>
      <c r="E192" t="s">
        <v>50</v>
      </c>
      <c r="F192" t="s">
        <v>19</v>
      </c>
      <c r="G192" t="s">
        <v>26</v>
      </c>
      <c r="H192" t="s">
        <v>65</v>
      </c>
      <c r="I192" t="s">
        <v>53</v>
      </c>
      <c r="J192" t="s">
        <v>23</v>
      </c>
      <c r="K192">
        <v>563</v>
      </c>
      <c r="L192" s="4">
        <v>26.904511200000002</v>
      </c>
      <c r="M192" s="4">
        <v>253.93509128754442</v>
      </c>
      <c r="N192" s="4">
        <v>4.6981441060429674E-2</v>
      </c>
      <c r="O192" s="1" t="str">
        <f>HYPERLINK(".\sm_car_241122_2356\sm_car_241122_2356_191_Ca145TrE_MaDLC_ode23t_1.png","figure")</f>
        <v>figure</v>
      </c>
      <c r="P192" t="s">
        <v>15</v>
      </c>
    </row>
    <row r="193" spans="1:16" x14ac:dyDescent="0.25">
      <c r="A193">
        <v>192</v>
      </c>
      <c r="B193">
        <v>199</v>
      </c>
      <c r="C193" t="s">
        <v>46</v>
      </c>
      <c r="D193" t="s">
        <v>17</v>
      </c>
      <c r="E193" t="s">
        <v>110</v>
      </c>
      <c r="F193" t="s">
        <v>19</v>
      </c>
      <c r="G193" t="s">
        <v>26</v>
      </c>
      <c r="H193" t="s">
        <v>21</v>
      </c>
      <c r="I193" t="s">
        <v>53</v>
      </c>
      <c r="J193" t="s">
        <v>23</v>
      </c>
      <c r="K193">
        <v>481</v>
      </c>
      <c r="L193" s="4">
        <v>6.7517094000000002</v>
      </c>
      <c r="M193" s="4">
        <v>255.46399227613233</v>
      </c>
      <c r="N193" s="4">
        <v>4.0815453869549323E-2</v>
      </c>
      <c r="O193" s="1" t="str">
        <f>HYPERLINK(".\sm_car_241122_2356\sm_car_241122_2356_192_Ca199TrN_MaDLC_ode23t_1.png","figure")</f>
        <v>figure</v>
      </c>
      <c r="P193" t="s">
        <v>15</v>
      </c>
    </row>
    <row r="194" spans="1:16" x14ac:dyDescent="0.25">
      <c r="A194">
        <v>193</v>
      </c>
      <c r="B194">
        <v>199</v>
      </c>
      <c r="C194" t="s">
        <v>46</v>
      </c>
      <c r="D194" t="s">
        <v>17</v>
      </c>
      <c r="E194" t="s">
        <v>110</v>
      </c>
      <c r="F194" t="s">
        <v>19</v>
      </c>
      <c r="G194" t="s">
        <v>26</v>
      </c>
      <c r="H194" t="s">
        <v>65</v>
      </c>
      <c r="I194" t="s">
        <v>53</v>
      </c>
      <c r="J194" t="s">
        <v>23</v>
      </c>
      <c r="K194">
        <v>561</v>
      </c>
      <c r="L194" s="4">
        <v>17.191293399999999</v>
      </c>
      <c r="M194" s="4">
        <v>254.24919366943902</v>
      </c>
      <c r="N194" s="4">
        <v>4.5764484091730395E-2</v>
      </c>
      <c r="O194" s="1" t="str">
        <f>HYPERLINK(".\sm_car_241122_2356\sm_car_241122_2356_193_Ca199TrE_MaDLC_ode23t_1.png","figure")</f>
        <v>figure</v>
      </c>
      <c r="P194" t="s">
        <v>15</v>
      </c>
    </row>
    <row r="195" spans="1:16" x14ac:dyDescent="0.25">
      <c r="A195">
        <v>194</v>
      </c>
      <c r="B195">
        <v>199</v>
      </c>
      <c r="C195" t="s">
        <v>46</v>
      </c>
      <c r="D195" t="s">
        <v>17</v>
      </c>
      <c r="E195" t="s">
        <v>110</v>
      </c>
      <c r="F195" t="s">
        <v>19</v>
      </c>
      <c r="G195" t="s">
        <v>26</v>
      </c>
      <c r="H195" t="s">
        <v>66</v>
      </c>
      <c r="I195" t="s">
        <v>53</v>
      </c>
      <c r="J195" t="s">
        <v>23</v>
      </c>
      <c r="K195">
        <v>630</v>
      </c>
      <c r="L195" s="4">
        <v>16.465728599999998</v>
      </c>
      <c r="M195" s="4">
        <v>255.10812360386126</v>
      </c>
      <c r="N195" s="4">
        <v>4.2464826572892633E-2</v>
      </c>
      <c r="O195" s="1" t="str">
        <f>HYPERLINK(".\sm_car_241122_2356\sm_car_241122_2356_194_Ca199TrT_MaDLC_ode23t_1.png","figure")</f>
        <v>figure</v>
      </c>
      <c r="P195" t="s">
        <v>15</v>
      </c>
    </row>
    <row r="196" spans="1:16" x14ac:dyDescent="0.25">
      <c r="A196">
        <v>195</v>
      </c>
      <c r="B196">
        <v>199</v>
      </c>
      <c r="C196" t="s">
        <v>46</v>
      </c>
      <c r="D196" t="s">
        <v>17</v>
      </c>
      <c r="E196" t="s">
        <v>110</v>
      </c>
      <c r="F196" t="s">
        <v>19</v>
      </c>
      <c r="G196" t="s">
        <v>26</v>
      </c>
      <c r="H196" t="s">
        <v>65</v>
      </c>
      <c r="I196" t="s">
        <v>53</v>
      </c>
      <c r="J196" t="s">
        <v>23</v>
      </c>
      <c r="K196">
        <v>558</v>
      </c>
      <c r="L196" s="4">
        <v>11.3840825</v>
      </c>
      <c r="M196" s="4">
        <v>254.24760276541605</v>
      </c>
      <c r="N196" s="4">
        <v>4.5803503114377087E-2</v>
      </c>
      <c r="O196" s="1" t="str">
        <f>HYPERLINK(".\sm_car_241122_2356\sm_car_241122_2356_195_Ca199TrE_MaDLC_ode23t_1.png","figure")</f>
        <v>figure</v>
      </c>
      <c r="P196" t="s">
        <v>15</v>
      </c>
    </row>
    <row r="197" spans="1:16" x14ac:dyDescent="0.25">
      <c r="A197">
        <v>196</v>
      </c>
      <c r="B197">
        <v>139</v>
      </c>
      <c r="C197" t="s">
        <v>45</v>
      </c>
      <c r="D197" t="s">
        <v>17</v>
      </c>
      <c r="E197" t="s">
        <v>18</v>
      </c>
      <c r="F197" t="s">
        <v>19</v>
      </c>
      <c r="G197" t="s">
        <v>26</v>
      </c>
      <c r="H197" t="s">
        <v>65</v>
      </c>
      <c r="I197" t="s">
        <v>67</v>
      </c>
      <c r="J197" t="s">
        <v>23</v>
      </c>
      <c r="K197">
        <v>444</v>
      </c>
      <c r="L197" s="4">
        <v>11.998061999999999</v>
      </c>
      <c r="M197" s="4">
        <v>261.07492468688241</v>
      </c>
      <c r="N197" s="4">
        <v>2.501610284203426</v>
      </c>
      <c r="O197" s="1" t="str">
        <f>HYPERLINK(".\sm_car_241122_2356\sm_car_241122_2356_196_Ca139TrE_MaTRD_ode23t_1.png","figure")</f>
        <v>figure</v>
      </c>
      <c r="P197" t="s">
        <v>15</v>
      </c>
    </row>
    <row r="198" spans="1:16" x14ac:dyDescent="0.25">
      <c r="A198">
        <v>197</v>
      </c>
      <c r="B198">
        <v>139</v>
      </c>
      <c r="C198" t="s">
        <v>45</v>
      </c>
      <c r="D198" t="s">
        <v>17</v>
      </c>
      <c r="E198" t="s">
        <v>18</v>
      </c>
      <c r="F198" t="s">
        <v>19</v>
      </c>
      <c r="G198" t="s">
        <v>26</v>
      </c>
      <c r="H198" t="s">
        <v>65</v>
      </c>
      <c r="I198" t="s">
        <v>67</v>
      </c>
      <c r="J198" t="s">
        <v>23</v>
      </c>
      <c r="K198">
        <v>494</v>
      </c>
      <c r="L198" s="4">
        <v>11.2991928</v>
      </c>
      <c r="M198" s="4">
        <v>261.05815449609725</v>
      </c>
      <c r="N198" s="4">
        <v>2.5013153461080293</v>
      </c>
      <c r="O198" s="1" t="str">
        <f>HYPERLINK(".\sm_car_241122_2356\sm_car_241122_2356_197_Ca139TrU_MaTRD_ode23t_1.png","figure")</f>
        <v>figure</v>
      </c>
      <c r="P198" t="s">
        <v>15</v>
      </c>
    </row>
    <row r="199" spans="1:16" x14ac:dyDescent="0.25">
      <c r="A199">
        <v>198</v>
      </c>
      <c r="B199">
        <v>149</v>
      </c>
      <c r="C199" t="s">
        <v>46</v>
      </c>
      <c r="D199" t="s">
        <v>17</v>
      </c>
      <c r="E199" t="s">
        <v>68</v>
      </c>
      <c r="F199" t="s">
        <v>19</v>
      </c>
      <c r="G199" t="s">
        <v>26</v>
      </c>
      <c r="H199" t="s">
        <v>21</v>
      </c>
      <c r="I199" t="s">
        <v>69</v>
      </c>
      <c r="J199" t="s">
        <v>23</v>
      </c>
      <c r="K199">
        <v>1243</v>
      </c>
      <c r="L199" s="4">
        <v>11.650923300000001</v>
      </c>
      <c r="M199" s="4">
        <v>-5.2736576071327366E-3</v>
      </c>
      <c r="N199" s="4">
        <v>-6.4958492128400951E-4</v>
      </c>
      <c r="O199" s="1" t="str">
        <f>HYPERLINK(".\sm_car_241122_2356\sm_car_241122_2356_198_Ca149TrN_MaPST_ode23t_1.png","figure")</f>
        <v>figure</v>
      </c>
      <c r="P199" t="s">
        <v>15</v>
      </c>
    </row>
    <row r="200" spans="1:16" x14ac:dyDescent="0.25">
      <c r="A200">
        <v>199</v>
      </c>
      <c r="B200">
        <v>139</v>
      </c>
      <c r="C200" t="s">
        <v>45</v>
      </c>
      <c r="D200" t="s">
        <v>17</v>
      </c>
      <c r="E200" t="s">
        <v>18</v>
      </c>
      <c r="F200" t="s">
        <v>19</v>
      </c>
      <c r="G200" t="s">
        <v>26</v>
      </c>
      <c r="H200" t="s">
        <v>21</v>
      </c>
      <c r="I200" t="s">
        <v>70</v>
      </c>
      <c r="J200" t="s">
        <v>23</v>
      </c>
      <c r="K200">
        <v>1596</v>
      </c>
      <c r="L200" s="4">
        <v>35.8885139</v>
      </c>
      <c r="M200" s="4">
        <v>36.479725728575005</v>
      </c>
      <c r="N200" s="4">
        <v>0.34642078479553168</v>
      </c>
      <c r="O200" s="1" t="str">
        <f>HYPERLINK(".\sm_car_241122_2356\sm_car_241122_2356_199_Ca139TrN_MaSKD_ode23t_1.png","figure")</f>
        <v>figure</v>
      </c>
      <c r="P200" t="s">
        <v>15</v>
      </c>
    </row>
    <row r="201" spans="1:16" x14ac:dyDescent="0.25">
      <c r="A201">
        <v>200</v>
      </c>
      <c r="B201">
        <v>139</v>
      </c>
      <c r="C201" t="s">
        <v>45</v>
      </c>
      <c r="D201" t="s">
        <v>17</v>
      </c>
      <c r="E201" t="s">
        <v>18</v>
      </c>
      <c r="F201" t="s">
        <v>19</v>
      </c>
      <c r="G201" t="s">
        <v>26</v>
      </c>
      <c r="H201" t="s">
        <v>21</v>
      </c>
      <c r="I201" t="s">
        <v>71</v>
      </c>
      <c r="J201" t="s">
        <v>23</v>
      </c>
      <c r="K201">
        <v>1160</v>
      </c>
      <c r="L201" s="4">
        <v>34.046785499999999</v>
      </c>
      <c r="M201" s="4">
        <v>3.3419640767826984</v>
      </c>
      <c r="N201" s="4">
        <v>26.727378989355739</v>
      </c>
      <c r="O201" s="1" t="str">
        <f>HYPERLINK(".\sm_car_241122_2356\sm_car_241122_2356_200_Ca139TrN_MaRAD_ode23t_1.png","figure")</f>
        <v>figure</v>
      </c>
      <c r="P201" t="s">
        <v>15</v>
      </c>
    </row>
    <row r="202" spans="1:16" x14ac:dyDescent="0.25">
      <c r="A202">
        <v>201</v>
      </c>
      <c r="B202">
        <v>184</v>
      </c>
      <c r="C202" t="s">
        <v>105</v>
      </c>
      <c r="D202" t="s">
        <v>125</v>
      </c>
      <c r="E202" t="s">
        <v>49</v>
      </c>
      <c r="F202" t="s">
        <v>19</v>
      </c>
      <c r="G202" t="s">
        <v>20</v>
      </c>
      <c r="H202" t="s">
        <v>21</v>
      </c>
      <c r="I202" t="s">
        <v>70</v>
      </c>
      <c r="J202" t="s">
        <v>23</v>
      </c>
      <c r="K202">
        <v>1332</v>
      </c>
      <c r="L202" s="4">
        <v>48.134803699999999</v>
      </c>
      <c r="M202" s="4">
        <v>36.476331308089421</v>
      </c>
      <c r="N202" s="4">
        <v>0.24109185881455872</v>
      </c>
      <c r="O202" s="1" t="str">
        <f>HYPERLINK(".\sm_car_241122_2356\sm_car_241122_2356_201_Ca184TrN_MaSKD_ode23t_1.png","figure")</f>
        <v>figure</v>
      </c>
      <c r="P202" t="s">
        <v>15</v>
      </c>
    </row>
    <row r="203" spans="1:16" x14ac:dyDescent="0.25">
      <c r="A203">
        <v>202</v>
      </c>
      <c r="B203">
        <v>184</v>
      </c>
      <c r="C203" t="s">
        <v>105</v>
      </c>
      <c r="D203" t="s">
        <v>125</v>
      </c>
      <c r="E203" t="s">
        <v>49</v>
      </c>
      <c r="F203" t="s">
        <v>19</v>
      </c>
      <c r="G203" t="s">
        <v>20</v>
      </c>
      <c r="H203" t="s">
        <v>21</v>
      </c>
      <c r="I203" t="s">
        <v>71</v>
      </c>
      <c r="J203" t="s">
        <v>23</v>
      </c>
      <c r="K203">
        <v>643</v>
      </c>
      <c r="L203" s="4">
        <v>21.417674099999999</v>
      </c>
      <c r="M203" s="4">
        <v>12.326067638556825</v>
      </c>
      <c r="N203" s="4">
        <v>21.751464354787551</v>
      </c>
      <c r="O203" s="1" t="str">
        <f>HYPERLINK(".\sm_car_241122_2356\sm_car_241122_2356_202_Ca184TrN_MaRAD_ode23t_1.png","figure")</f>
        <v>figure</v>
      </c>
      <c r="P203" t="s">
        <v>15</v>
      </c>
    </row>
    <row r="204" spans="1:16" x14ac:dyDescent="0.25">
      <c r="A204">
        <v>203</v>
      </c>
      <c r="B204">
        <v>198</v>
      </c>
      <c r="C204" t="s">
        <v>105</v>
      </c>
      <c r="D204" t="s">
        <v>125</v>
      </c>
      <c r="E204" t="s">
        <v>108</v>
      </c>
      <c r="F204" t="s">
        <v>19</v>
      </c>
      <c r="G204" t="s">
        <v>20</v>
      </c>
      <c r="H204" t="s">
        <v>21</v>
      </c>
      <c r="I204" t="s">
        <v>70</v>
      </c>
      <c r="J204" t="s">
        <v>23</v>
      </c>
      <c r="K204">
        <v>1451</v>
      </c>
      <c r="L204" s="4">
        <v>28.771369400000001</v>
      </c>
      <c r="M204" s="4">
        <v>36.483214822677049</v>
      </c>
      <c r="N204" s="4">
        <v>0.2407170927131643</v>
      </c>
      <c r="O204" s="1" t="str">
        <f>HYPERLINK(".\sm_car_241122_2356\sm_car_241122_2356_203_Ca198TrN_MaSKD_ode23t_1.png","figure")</f>
        <v>figure</v>
      </c>
      <c r="P204" t="s">
        <v>15</v>
      </c>
    </row>
    <row r="205" spans="1:16" x14ac:dyDescent="0.25">
      <c r="A205">
        <v>204</v>
      </c>
      <c r="B205">
        <v>198</v>
      </c>
      <c r="C205" t="s">
        <v>105</v>
      </c>
      <c r="D205" t="s">
        <v>125</v>
      </c>
      <c r="E205" t="s">
        <v>108</v>
      </c>
      <c r="F205" t="s">
        <v>19</v>
      </c>
      <c r="G205" t="s">
        <v>20</v>
      </c>
      <c r="H205" t="s">
        <v>21</v>
      </c>
      <c r="I205" t="s">
        <v>71</v>
      </c>
      <c r="J205" t="s">
        <v>23</v>
      </c>
      <c r="K205">
        <v>678</v>
      </c>
      <c r="L205" s="4">
        <v>12.801954500000001</v>
      </c>
      <c r="M205" s="4">
        <v>12.310792710679211</v>
      </c>
      <c r="N205" s="4">
        <v>21.705426376680116</v>
      </c>
      <c r="O205" s="1" t="str">
        <f>HYPERLINK(".\sm_car_241122_2356\sm_car_241122_2356_204_Ca198TrN_MaRAD_ode23t_1.png","figure")</f>
        <v>figure</v>
      </c>
      <c r="P205" t="s">
        <v>15</v>
      </c>
    </row>
    <row r="206" spans="1:16" x14ac:dyDescent="0.25">
      <c r="A206">
        <v>205</v>
      </c>
      <c r="B206">
        <v>156</v>
      </c>
      <c r="C206" t="s">
        <v>45</v>
      </c>
      <c r="D206" t="s">
        <v>17</v>
      </c>
      <c r="E206" t="s">
        <v>18</v>
      </c>
      <c r="F206" t="s">
        <v>19</v>
      </c>
      <c r="G206" t="s">
        <v>38</v>
      </c>
      <c r="H206" t="s">
        <v>21</v>
      </c>
      <c r="I206" t="s">
        <v>54</v>
      </c>
      <c r="J206" t="s">
        <v>23</v>
      </c>
      <c r="K206">
        <v>27407</v>
      </c>
      <c r="L206" s="4">
        <v>390.62343720000001</v>
      </c>
      <c r="M206" s="4">
        <v>20.222311949235632</v>
      </c>
      <c r="N206" s="4">
        <v>3.1741188588587064</v>
      </c>
      <c r="O206" s="1" t="str">
        <f>HYPERLINK(".\sm_car_241122_2356\sm_car_241122_2356_205_Ca156TrN_MaIPA_ode23t.png","figure")</f>
        <v>figure</v>
      </c>
      <c r="P206" t="s">
        <v>15</v>
      </c>
    </row>
    <row r="207" spans="1:16" x14ac:dyDescent="0.25">
      <c r="A207">
        <v>206</v>
      </c>
      <c r="B207">
        <v>130</v>
      </c>
      <c r="C207" t="s">
        <v>16</v>
      </c>
      <c r="D207" t="s">
        <v>17</v>
      </c>
      <c r="E207" t="s">
        <v>18</v>
      </c>
      <c r="F207" t="s">
        <v>19</v>
      </c>
      <c r="G207" t="s">
        <v>38</v>
      </c>
      <c r="H207" t="s">
        <v>21</v>
      </c>
      <c r="I207" t="s">
        <v>54</v>
      </c>
      <c r="J207" t="s">
        <v>23</v>
      </c>
      <c r="K207">
        <v>19431</v>
      </c>
      <c r="L207" s="4">
        <v>257.76092549999998</v>
      </c>
      <c r="M207" s="4">
        <v>16.621970321166863</v>
      </c>
      <c r="N207" s="4">
        <v>0.60006432420704492</v>
      </c>
      <c r="O207" s="1" t="str">
        <f>HYPERLINK(".\sm_car_241122_2356\sm_car_241122_2356_206_Ca130TrN_MaIPA_ode23t.png","figure")</f>
        <v>figure</v>
      </c>
      <c r="P207" t="s">
        <v>15</v>
      </c>
    </row>
    <row r="208" spans="1:16" x14ac:dyDescent="0.25">
      <c r="A208">
        <v>207</v>
      </c>
      <c r="B208">
        <v>171</v>
      </c>
      <c r="C208" t="s">
        <v>45</v>
      </c>
      <c r="D208" t="s">
        <v>17</v>
      </c>
      <c r="E208" t="s">
        <v>72</v>
      </c>
      <c r="F208" t="s">
        <v>19</v>
      </c>
      <c r="G208" t="s">
        <v>26</v>
      </c>
      <c r="H208" t="s">
        <v>21</v>
      </c>
      <c r="I208" t="s">
        <v>73</v>
      </c>
      <c r="J208" t="s">
        <v>23</v>
      </c>
      <c r="K208">
        <v>1373</v>
      </c>
      <c r="L208" s="4">
        <v>21.860942000000001</v>
      </c>
      <c r="M208" s="4">
        <v>346.62822107586891</v>
      </c>
      <c r="N208" s="4">
        <v>0.71615267114841674</v>
      </c>
      <c r="O208" s="1" t="str">
        <f>HYPERLINK(".\sm_car_241122_2356\sm_car_241122_2356_207_Ca171TrN_MaRDP_ode23t_1.png","figure")</f>
        <v>figure</v>
      </c>
      <c r="P208" t="s">
        <v>15</v>
      </c>
    </row>
    <row r="209" spans="1:16" x14ac:dyDescent="0.25">
      <c r="A209">
        <v>208</v>
      </c>
      <c r="B209">
        <v>172</v>
      </c>
      <c r="C209" t="s">
        <v>46</v>
      </c>
      <c r="D209" t="s">
        <v>17</v>
      </c>
      <c r="E209" t="s">
        <v>72</v>
      </c>
      <c r="F209" t="s">
        <v>19</v>
      </c>
      <c r="G209" t="s">
        <v>26</v>
      </c>
      <c r="H209" t="s">
        <v>21</v>
      </c>
      <c r="I209" t="s">
        <v>73</v>
      </c>
      <c r="J209" t="s">
        <v>23</v>
      </c>
      <c r="K209">
        <v>1342</v>
      </c>
      <c r="L209" s="4">
        <v>11.2666442</v>
      </c>
      <c r="M209" s="4">
        <v>142.00487270337521</v>
      </c>
      <c r="N209" s="4">
        <v>3.7347184840143974E-2</v>
      </c>
      <c r="O209" s="1" t="str">
        <f>HYPERLINK(".\sm_car_241122_2356\sm_car_241122_2356_208_Ca172TrN_MaRDP_ode23t_1.png","figure")</f>
        <v>figure</v>
      </c>
      <c r="P209" t="s">
        <v>15</v>
      </c>
    </row>
    <row r="210" spans="1:16" x14ac:dyDescent="0.25">
      <c r="A210">
        <v>209</v>
      </c>
      <c r="B210">
        <v>139</v>
      </c>
      <c r="C210" t="s">
        <v>45</v>
      </c>
      <c r="D210" t="s">
        <v>17</v>
      </c>
      <c r="E210" t="s">
        <v>18</v>
      </c>
      <c r="F210" t="s">
        <v>19</v>
      </c>
      <c r="G210" t="s">
        <v>26</v>
      </c>
      <c r="H210" t="s">
        <v>21</v>
      </c>
      <c r="I210" t="s">
        <v>74</v>
      </c>
      <c r="J210" t="s">
        <v>23</v>
      </c>
      <c r="K210">
        <v>1467</v>
      </c>
      <c r="L210" s="4">
        <v>18.8153933</v>
      </c>
      <c r="M210" s="4">
        <v>370.70454122174476</v>
      </c>
      <c r="N210" s="4">
        <v>0.81029325507257244</v>
      </c>
      <c r="O210" s="1" t="str">
        <f>HYPERLINK(".\sm_car_241122_2356\sm_car_241122_2356_209_Ca139TrN_MaZPL_ode23t_1.png","figure")</f>
        <v>figure</v>
      </c>
      <c r="P210" t="s">
        <v>15</v>
      </c>
    </row>
    <row r="211" spans="1:16" x14ac:dyDescent="0.25">
      <c r="A211">
        <v>210</v>
      </c>
      <c r="B211">
        <v>165</v>
      </c>
      <c r="C211" t="s">
        <v>45</v>
      </c>
      <c r="D211" t="s">
        <v>35</v>
      </c>
      <c r="E211" t="s">
        <v>49</v>
      </c>
      <c r="F211" t="s">
        <v>19</v>
      </c>
      <c r="G211" t="s">
        <v>26</v>
      </c>
      <c r="H211" t="s">
        <v>21</v>
      </c>
      <c r="I211" t="s">
        <v>74</v>
      </c>
      <c r="J211" t="s">
        <v>23</v>
      </c>
      <c r="K211">
        <v>2112</v>
      </c>
      <c r="L211" s="4">
        <v>9.4357646000000006</v>
      </c>
      <c r="M211" s="4">
        <v>397.66397342664675</v>
      </c>
      <c r="N211" s="4">
        <v>0.3348367842314367</v>
      </c>
      <c r="O211" s="1" t="str">
        <f>HYPERLINK(".\sm_car_241122_2356\sm_car_241122_2356_210_Ca165TrN_MaZPL_ode23t_1.png","figure")</f>
        <v>figure</v>
      </c>
      <c r="P211" t="s">
        <v>15</v>
      </c>
    </row>
    <row r="212" spans="1:16" x14ac:dyDescent="0.25">
      <c r="A212">
        <v>211</v>
      </c>
      <c r="B212">
        <v>171</v>
      </c>
      <c r="C212" t="s">
        <v>45</v>
      </c>
      <c r="D212" t="s">
        <v>17</v>
      </c>
      <c r="E212" t="s">
        <v>72</v>
      </c>
      <c r="F212" t="s">
        <v>19</v>
      </c>
      <c r="G212" t="s">
        <v>26</v>
      </c>
      <c r="H212" t="s">
        <v>21</v>
      </c>
      <c r="I212" t="s">
        <v>74</v>
      </c>
      <c r="J212" t="s">
        <v>23</v>
      </c>
      <c r="K212">
        <v>1461</v>
      </c>
      <c r="L212" s="4">
        <v>22.005512100000001</v>
      </c>
      <c r="M212" s="4">
        <v>370.69851263068006</v>
      </c>
      <c r="N212" s="4">
        <v>0.78247008529081974</v>
      </c>
      <c r="O212" s="1" t="str">
        <f>HYPERLINK(".\sm_car_241122_2356\sm_car_241122_2356_211_Ca171TrN_MaZPL_ode23t_1.png","figure")</f>
        <v>figure</v>
      </c>
      <c r="P212" t="s">
        <v>15</v>
      </c>
    </row>
    <row r="213" spans="1:16" x14ac:dyDescent="0.25">
      <c r="A213">
        <v>212</v>
      </c>
      <c r="B213">
        <v>165</v>
      </c>
      <c r="C213" t="s">
        <v>45</v>
      </c>
      <c r="D213" t="s">
        <v>35</v>
      </c>
      <c r="E213" t="s">
        <v>49</v>
      </c>
      <c r="F213" t="s">
        <v>19</v>
      </c>
      <c r="G213" t="s">
        <v>26</v>
      </c>
      <c r="H213" t="s">
        <v>21</v>
      </c>
      <c r="I213" t="s">
        <v>75</v>
      </c>
      <c r="J213" t="s">
        <v>23</v>
      </c>
      <c r="K213">
        <v>501</v>
      </c>
      <c r="L213" s="4">
        <v>4.0287318000000001</v>
      </c>
      <c r="M213" s="4">
        <v>378.3422698051105</v>
      </c>
      <c r="N213" s="4">
        <v>0.32219380153144195</v>
      </c>
      <c r="O213" s="1" t="str">
        <f>HYPERLINK(".\sm_car_241122_2356\sm_car_241122_2356_212_Ca165TrN_MaCPL_ode23t_1.png","figure")</f>
        <v>figure</v>
      </c>
      <c r="P213" t="s">
        <v>15</v>
      </c>
    </row>
    <row r="214" spans="1:16" x14ac:dyDescent="0.25">
      <c r="A214">
        <v>213</v>
      </c>
      <c r="B214">
        <v>171</v>
      </c>
      <c r="C214" t="s">
        <v>45</v>
      </c>
      <c r="D214" t="s">
        <v>17</v>
      </c>
      <c r="E214" t="s">
        <v>72</v>
      </c>
      <c r="F214" t="s">
        <v>19</v>
      </c>
      <c r="G214" t="s">
        <v>26</v>
      </c>
      <c r="H214" t="s">
        <v>21</v>
      </c>
      <c r="I214" t="s">
        <v>75</v>
      </c>
      <c r="J214" t="s">
        <v>23</v>
      </c>
      <c r="K214">
        <v>449</v>
      </c>
      <c r="L214" s="4">
        <v>16.233160999999999</v>
      </c>
      <c r="M214" s="4">
        <v>346.54110307156452</v>
      </c>
      <c r="N214" s="4">
        <v>0.66830012382219206</v>
      </c>
      <c r="O214" s="1" t="str">
        <f>HYPERLINK(".\sm_car_241122_2356\sm_car_241122_2356_213_Ca171TrN_MaCPL_ode23t_1.png","figure")</f>
        <v>figure</v>
      </c>
      <c r="P214" t="s">
        <v>15</v>
      </c>
    </row>
    <row r="215" spans="1:16" x14ac:dyDescent="0.25">
      <c r="A215">
        <v>214</v>
      </c>
      <c r="B215">
        <v>171</v>
      </c>
      <c r="C215" t="s">
        <v>45</v>
      </c>
      <c r="D215" t="s">
        <v>17</v>
      </c>
      <c r="E215" t="s">
        <v>72</v>
      </c>
      <c r="F215" t="s">
        <v>19</v>
      </c>
      <c r="G215" t="s">
        <v>26</v>
      </c>
      <c r="H215" t="s">
        <v>21</v>
      </c>
      <c r="I215" t="s">
        <v>76</v>
      </c>
      <c r="J215" t="s">
        <v>23</v>
      </c>
      <c r="K215">
        <v>2484</v>
      </c>
      <c r="L215" s="4">
        <v>36.373816900000001</v>
      </c>
      <c r="M215" s="4">
        <v>152.4588171540081</v>
      </c>
      <c r="N215" s="4">
        <v>1.9463286976075483E-3</v>
      </c>
      <c r="O215" s="1" t="str">
        <f>HYPERLINK(".\sm_car_241122_2356\sm_car_241122_2356_214_Ca171TrN_MaRDR_ode23t_1.png","figure")</f>
        <v>figure</v>
      </c>
      <c r="P215" t="s">
        <v>15</v>
      </c>
    </row>
    <row r="216" spans="1:16" x14ac:dyDescent="0.25">
      <c r="A216">
        <v>215</v>
      </c>
      <c r="B216">
        <v>172</v>
      </c>
      <c r="C216" t="s">
        <v>46</v>
      </c>
      <c r="D216" t="s">
        <v>17</v>
      </c>
      <c r="E216" t="s">
        <v>72</v>
      </c>
      <c r="F216" t="s">
        <v>19</v>
      </c>
      <c r="G216" t="s">
        <v>26</v>
      </c>
      <c r="H216" t="s">
        <v>21</v>
      </c>
      <c r="I216" t="s">
        <v>76</v>
      </c>
      <c r="J216" t="s">
        <v>23</v>
      </c>
      <c r="K216">
        <v>2917</v>
      </c>
      <c r="L216" s="4">
        <v>26.046858199999999</v>
      </c>
      <c r="M216" s="4">
        <v>146.53713274467407</v>
      </c>
      <c r="N216" s="4">
        <v>-4.7509646389272096E-3</v>
      </c>
      <c r="O216" s="1" t="str">
        <f>HYPERLINK(".\sm_car_241122_2356\sm_car_241122_2356_215_Ca172TrN_MaRDR_ode23t_1.png","figure")</f>
        <v>figure</v>
      </c>
      <c r="P216" t="s">
        <v>15</v>
      </c>
    </row>
    <row r="217" spans="1:16" x14ac:dyDescent="0.25">
      <c r="A217">
        <v>216</v>
      </c>
      <c r="B217">
        <v>139</v>
      </c>
      <c r="C217" t="s">
        <v>45</v>
      </c>
      <c r="D217" t="s">
        <v>17</v>
      </c>
      <c r="E217" t="s">
        <v>18</v>
      </c>
      <c r="F217" t="s">
        <v>19</v>
      </c>
      <c r="G217" t="s">
        <v>26</v>
      </c>
      <c r="H217" t="s">
        <v>21</v>
      </c>
      <c r="I217" t="s">
        <v>77</v>
      </c>
      <c r="J217" t="s">
        <v>23</v>
      </c>
      <c r="K217">
        <v>2975</v>
      </c>
      <c r="L217" s="4">
        <v>31.2874768</v>
      </c>
      <c r="M217" s="4">
        <v>176.57330593128117</v>
      </c>
      <c r="N217" s="4">
        <v>8.623144173515705E-4</v>
      </c>
      <c r="O217" s="1" t="str">
        <f>HYPERLINK(".\sm_car_241122_2356\sm_car_241122_2356_216_Ca139TrN_MaZRR_ode23t_1.png","figure")</f>
        <v>figure</v>
      </c>
      <c r="P217" t="s">
        <v>15</v>
      </c>
    </row>
    <row r="218" spans="1:16" x14ac:dyDescent="0.25">
      <c r="A218">
        <v>217</v>
      </c>
      <c r="B218">
        <v>165</v>
      </c>
      <c r="C218" t="s">
        <v>45</v>
      </c>
      <c r="D218" t="s">
        <v>35</v>
      </c>
      <c r="E218" t="s">
        <v>49</v>
      </c>
      <c r="F218" t="s">
        <v>19</v>
      </c>
      <c r="G218" t="s">
        <v>26</v>
      </c>
      <c r="H218" t="s">
        <v>21</v>
      </c>
      <c r="I218" t="s">
        <v>77</v>
      </c>
      <c r="J218" t="s">
        <v>23</v>
      </c>
      <c r="K218">
        <v>3556</v>
      </c>
      <c r="L218" s="4">
        <v>18.9242855</v>
      </c>
      <c r="M218" s="4">
        <v>176.84780097344782</v>
      </c>
      <c r="N218" s="4">
        <v>8.1140426820333714E-5</v>
      </c>
      <c r="O218" s="1" t="str">
        <f>HYPERLINK(".\sm_car_241122_2356\sm_car_241122_2356_217_Ca165TrN_MaZRR_ode23t_1.png","figure")</f>
        <v>figure</v>
      </c>
      <c r="P218" t="s">
        <v>15</v>
      </c>
    </row>
    <row r="219" spans="1:16" x14ac:dyDescent="0.25">
      <c r="A219">
        <v>218</v>
      </c>
      <c r="B219">
        <v>171</v>
      </c>
      <c r="C219" t="s">
        <v>45</v>
      </c>
      <c r="D219" t="s">
        <v>17</v>
      </c>
      <c r="E219" t="s">
        <v>72</v>
      </c>
      <c r="F219" t="s">
        <v>19</v>
      </c>
      <c r="G219" t="s">
        <v>26</v>
      </c>
      <c r="H219" t="s">
        <v>21</v>
      </c>
      <c r="I219" t="s">
        <v>77</v>
      </c>
      <c r="J219" t="s">
        <v>23</v>
      </c>
      <c r="K219">
        <v>3059</v>
      </c>
      <c r="L219" s="4">
        <v>46.917736300000001</v>
      </c>
      <c r="M219" s="4">
        <v>176.58075756759033</v>
      </c>
      <c r="N219" s="4">
        <v>8.8251552160374159E-4</v>
      </c>
      <c r="O219" s="1" t="str">
        <f>HYPERLINK(".\sm_car_241122_2356\sm_car_241122_2356_218_Ca171TrN_MaZRR_ode23t_1.png","figure")</f>
        <v>figure</v>
      </c>
      <c r="P219" t="s">
        <v>15</v>
      </c>
    </row>
    <row r="220" spans="1:16" x14ac:dyDescent="0.25">
      <c r="A220">
        <v>219</v>
      </c>
      <c r="B220">
        <v>170</v>
      </c>
      <c r="C220" t="s">
        <v>45</v>
      </c>
      <c r="D220" t="s">
        <v>35</v>
      </c>
      <c r="E220" t="s">
        <v>49</v>
      </c>
      <c r="F220" t="s">
        <v>19</v>
      </c>
      <c r="G220" t="s">
        <v>20</v>
      </c>
      <c r="H220" t="s">
        <v>21</v>
      </c>
      <c r="I220" t="s">
        <v>78</v>
      </c>
      <c r="J220" t="s">
        <v>23</v>
      </c>
      <c r="K220">
        <v>5134</v>
      </c>
      <c r="L220" s="4">
        <v>16.3491587</v>
      </c>
      <c r="M220" s="4">
        <v>-5.9993663604697343</v>
      </c>
      <c r="N220" s="4">
        <v>2.9037244938445268E-3</v>
      </c>
      <c r="O220" s="1" t="str">
        <f>HYPERLINK(".\sm_car_241122_2356\sm_car_241122_2356_219_Ca170TrN_MaCMP_ode23t_1.png","figure")</f>
        <v>figure</v>
      </c>
      <c r="P220" t="s">
        <v>15</v>
      </c>
    </row>
    <row r="221" spans="1:16" x14ac:dyDescent="0.25">
      <c r="A221">
        <v>220</v>
      </c>
      <c r="B221">
        <v>170</v>
      </c>
      <c r="C221" t="s">
        <v>45</v>
      </c>
      <c r="D221" t="s">
        <v>35</v>
      </c>
      <c r="E221" t="s">
        <v>49</v>
      </c>
      <c r="F221" t="s">
        <v>19</v>
      </c>
      <c r="G221" t="s">
        <v>20</v>
      </c>
      <c r="H221" t="s">
        <v>21</v>
      </c>
      <c r="I221" t="s">
        <v>79</v>
      </c>
      <c r="J221" t="s">
        <v>23</v>
      </c>
      <c r="K221">
        <v>1811</v>
      </c>
      <c r="L221" s="4">
        <v>10.637109199999999</v>
      </c>
      <c r="M221" s="4">
        <v>-5.9989539923306694</v>
      </c>
      <c r="N221" s="4">
        <v>2.877992535847541E-3</v>
      </c>
      <c r="O221" s="1" t="str">
        <f>HYPERLINK(".\sm_car_241122_2356\sm_car_241122_2356_220_Ca170TrN_MaCMF_ode23t_1.png","figure")</f>
        <v>figure</v>
      </c>
      <c r="P221" t="s">
        <v>15</v>
      </c>
    </row>
    <row r="222" spans="1:16" x14ac:dyDescent="0.25">
      <c r="A222">
        <v>221</v>
      </c>
      <c r="B222">
        <v>170</v>
      </c>
      <c r="C222" t="s">
        <v>45</v>
      </c>
      <c r="D222" t="s">
        <v>35</v>
      </c>
      <c r="E222" t="s">
        <v>49</v>
      </c>
      <c r="F222" t="s">
        <v>19</v>
      </c>
      <c r="G222" t="s">
        <v>20</v>
      </c>
      <c r="H222" t="s">
        <v>21</v>
      </c>
      <c r="I222" t="s">
        <v>80</v>
      </c>
      <c r="J222" t="s">
        <v>23</v>
      </c>
      <c r="K222">
        <v>4629</v>
      </c>
      <c r="L222" s="4">
        <v>32.276278599999998</v>
      </c>
      <c r="M222" s="4">
        <v>-329.53452364299972</v>
      </c>
      <c r="N222" s="4">
        <v>6.1280134387842597</v>
      </c>
      <c r="O222" s="1" t="str">
        <f>HYPERLINK(".\sm_car_241122_2356\sm_car_241122_2356_221_Ca170TrN_MaMPO_ode23t_1.png","figure")</f>
        <v>figure</v>
      </c>
      <c r="P222" t="s">
        <v>15</v>
      </c>
    </row>
    <row r="223" spans="1:16" x14ac:dyDescent="0.25">
      <c r="A223">
        <v>222</v>
      </c>
      <c r="B223">
        <v>170</v>
      </c>
      <c r="C223" t="s">
        <v>45</v>
      </c>
      <c r="D223" t="s">
        <v>35</v>
      </c>
      <c r="E223" t="s">
        <v>49</v>
      </c>
      <c r="F223" t="s">
        <v>19</v>
      </c>
      <c r="G223" t="s">
        <v>20</v>
      </c>
      <c r="H223" t="s">
        <v>21</v>
      </c>
      <c r="I223" t="s">
        <v>81</v>
      </c>
      <c r="J223" t="s">
        <v>23</v>
      </c>
      <c r="K223">
        <v>1206</v>
      </c>
      <c r="L223" s="4">
        <v>8.7238442999999997</v>
      </c>
      <c r="M223" s="4">
        <v>-13.871399348139057</v>
      </c>
      <c r="N223" s="4">
        <v>0.2221665699456139</v>
      </c>
      <c r="O223" s="1" t="str">
        <f>HYPERLINK(".\sm_car_241122_2356\sm_car_241122_2356_222_Ca170TrN_MaMCI_ode23t_1.png","figure")</f>
        <v>figure</v>
      </c>
      <c r="P223" t="s">
        <v>15</v>
      </c>
    </row>
    <row r="224" spans="1:16" x14ac:dyDescent="0.25">
      <c r="A224">
        <v>223</v>
      </c>
      <c r="B224">
        <v>170</v>
      </c>
      <c r="C224" t="s">
        <v>45</v>
      </c>
      <c r="D224" t="s">
        <v>35</v>
      </c>
      <c r="E224" t="s">
        <v>49</v>
      </c>
      <c r="F224" t="s">
        <v>19</v>
      </c>
      <c r="G224" t="s">
        <v>20</v>
      </c>
      <c r="H224" t="s">
        <v>21</v>
      </c>
      <c r="I224" t="s">
        <v>111</v>
      </c>
      <c r="J224" t="s">
        <v>23</v>
      </c>
      <c r="K224">
        <v>5788</v>
      </c>
      <c r="L224" s="4">
        <v>16.3889128</v>
      </c>
      <c r="M224" s="4">
        <v>-5.9992725915411791</v>
      </c>
      <c r="N224" s="4">
        <v>-4.4775335255764527E-3</v>
      </c>
      <c r="O224" s="1" t="str">
        <f>HYPERLINK(".\sm_car_241122_2356\sm_car_241122_2356_223_Ca170TrN_MaCHO_ode23t_1.png","figure")</f>
        <v>figure</v>
      </c>
      <c r="P224" t="s">
        <v>15</v>
      </c>
    </row>
    <row r="225" spans="1:16" x14ac:dyDescent="0.25">
      <c r="A225">
        <v>224</v>
      </c>
      <c r="B225">
        <v>170</v>
      </c>
      <c r="C225" t="s">
        <v>45</v>
      </c>
      <c r="D225" t="s">
        <v>35</v>
      </c>
      <c r="E225" t="s">
        <v>49</v>
      </c>
      <c r="F225" t="s">
        <v>19</v>
      </c>
      <c r="G225" t="s">
        <v>20</v>
      </c>
      <c r="H225" t="s">
        <v>21</v>
      </c>
      <c r="I225" t="s">
        <v>112</v>
      </c>
      <c r="J225" t="s">
        <v>23</v>
      </c>
      <c r="K225">
        <v>3420</v>
      </c>
      <c r="L225" s="4">
        <v>16.0060632</v>
      </c>
      <c r="M225" s="4">
        <v>-5.9983247558354869</v>
      </c>
      <c r="N225" s="4">
        <v>-4.4962108292958079E-3</v>
      </c>
      <c r="O225" s="1" t="str">
        <f>HYPERLINK(".\sm_car_241122_2356\sm_car_241122_2356_224_Ca170TrN_MaCHF_ode23t_1.png","figure")</f>
        <v>figure</v>
      </c>
      <c r="P225" t="s">
        <v>15</v>
      </c>
    </row>
    <row r="226" spans="1:16" x14ac:dyDescent="0.25">
      <c r="A226">
        <v>225</v>
      </c>
      <c r="B226">
        <v>170</v>
      </c>
      <c r="C226" t="s">
        <v>45</v>
      </c>
      <c r="D226" t="s">
        <v>35</v>
      </c>
      <c r="E226" t="s">
        <v>49</v>
      </c>
      <c r="F226" t="s">
        <v>19</v>
      </c>
      <c r="G226" t="s">
        <v>20</v>
      </c>
      <c r="H226" t="s">
        <v>21</v>
      </c>
      <c r="I226" t="s">
        <v>82</v>
      </c>
      <c r="J226" t="s">
        <v>23</v>
      </c>
      <c r="K226">
        <v>7120</v>
      </c>
      <c r="L226" s="4">
        <v>27.038661699999999</v>
      </c>
      <c r="M226" s="4">
        <v>-752.11424744338444</v>
      </c>
      <c r="N226" s="4">
        <v>628.45218765200252</v>
      </c>
      <c r="O226" s="1" t="str">
        <f>HYPERLINK(".\sm_car_241122_2356\sm_car_241122_2356_225_Ca170TrN_MaCKY_ode23t_1.png","figure")</f>
        <v>figure</v>
      </c>
      <c r="P226" t="s">
        <v>15</v>
      </c>
    </row>
    <row r="227" spans="1:16" x14ac:dyDescent="0.25">
      <c r="A227">
        <v>226</v>
      </c>
      <c r="B227">
        <v>170</v>
      </c>
      <c r="C227" t="s">
        <v>45</v>
      </c>
      <c r="D227" t="s">
        <v>35</v>
      </c>
      <c r="E227" t="s">
        <v>49</v>
      </c>
      <c r="F227" t="s">
        <v>19</v>
      </c>
      <c r="G227" t="s">
        <v>20</v>
      </c>
      <c r="H227" t="s">
        <v>21</v>
      </c>
      <c r="I227" t="s">
        <v>83</v>
      </c>
      <c r="J227" t="s">
        <v>23</v>
      </c>
      <c r="K227">
        <v>2155</v>
      </c>
      <c r="L227" s="4">
        <v>13.830159699999999</v>
      </c>
      <c r="M227" s="4">
        <v>-758.74751009372778</v>
      </c>
      <c r="N227" s="4">
        <v>632.74597114070832</v>
      </c>
      <c r="O227" s="1" t="str">
        <f>HYPERLINK(".\sm_car_241122_2356\sm_car_241122_2356_226_Ca170TrN_MaCKF_ode23t_1.png","figure")</f>
        <v>figure</v>
      </c>
      <c r="P227" t="s">
        <v>15</v>
      </c>
    </row>
    <row r="228" spans="1:16" x14ac:dyDescent="0.25">
      <c r="A228">
        <v>227</v>
      </c>
      <c r="B228">
        <v>170</v>
      </c>
      <c r="C228" t="s">
        <v>45</v>
      </c>
      <c r="D228" t="s">
        <v>35</v>
      </c>
      <c r="E228" t="s">
        <v>49</v>
      </c>
      <c r="F228" t="s">
        <v>19</v>
      </c>
      <c r="G228" t="s">
        <v>20</v>
      </c>
      <c r="H228" t="s">
        <v>21</v>
      </c>
      <c r="I228" t="s">
        <v>84</v>
      </c>
      <c r="J228" t="s">
        <v>23</v>
      </c>
      <c r="K228">
        <v>2826</v>
      </c>
      <c r="L228" s="4">
        <v>13.981215000000001</v>
      </c>
      <c r="M228" s="4">
        <v>177.34509209027519</v>
      </c>
      <c r="N228" s="4">
        <v>288.25146099871347</v>
      </c>
      <c r="O228" s="1" t="str">
        <f>HYPERLINK(".\sm_car_241122_2356\sm_car_241122_2356_227_Ca170TrN_MaCNN_ode23t_1.png","figure")</f>
        <v>figure</v>
      </c>
      <c r="P228" t="s">
        <v>15</v>
      </c>
    </row>
    <row r="229" spans="1:16" x14ac:dyDescent="0.25">
      <c r="A229">
        <v>228</v>
      </c>
      <c r="B229">
        <v>170</v>
      </c>
      <c r="C229" t="s">
        <v>45</v>
      </c>
      <c r="D229" t="s">
        <v>35</v>
      </c>
      <c r="E229" t="s">
        <v>49</v>
      </c>
      <c r="F229" t="s">
        <v>19</v>
      </c>
      <c r="G229" t="s">
        <v>20</v>
      </c>
      <c r="H229" t="s">
        <v>21</v>
      </c>
      <c r="I229" t="s">
        <v>85</v>
      </c>
      <c r="J229" t="s">
        <v>23</v>
      </c>
      <c r="K229">
        <v>4390</v>
      </c>
      <c r="L229" s="4">
        <v>57.697115799999999</v>
      </c>
      <c r="M229" s="4">
        <v>2994.8755220891894</v>
      </c>
      <c r="N229" s="4">
        <v>-3064.8911528474741</v>
      </c>
      <c r="O229" s="1" t="str">
        <f>HYPERLINK(".\sm_car_241122_2356\sm_car_241122_2356_228_Ca170TrN_MaCNF_ode23t_1.png","figure")</f>
        <v>figure</v>
      </c>
      <c r="P229" t="s">
        <v>15</v>
      </c>
    </row>
    <row r="230" spans="1:16" x14ac:dyDescent="0.25">
      <c r="A230">
        <v>229</v>
      </c>
      <c r="B230">
        <v>170</v>
      </c>
      <c r="C230" t="s">
        <v>45</v>
      </c>
      <c r="D230" t="s">
        <v>35</v>
      </c>
      <c r="E230" t="s">
        <v>49</v>
      </c>
      <c r="F230" t="s">
        <v>19</v>
      </c>
      <c r="G230" t="s">
        <v>20</v>
      </c>
      <c r="H230" t="s">
        <v>21</v>
      </c>
      <c r="I230" t="s">
        <v>86</v>
      </c>
      <c r="J230" t="s">
        <v>23</v>
      </c>
      <c r="K230">
        <v>2957</v>
      </c>
      <c r="L230" s="4">
        <v>11.9482743</v>
      </c>
      <c r="M230" s="4">
        <v>522.24180054858095</v>
      </c>
      <c r="N230" s="4">
        <v>-164.33037572020785</v>
      </c>
      <c r="O230" s="1" t="str">
        <f>HYPERLINK(".\sm_car_241122_2356\sm_car_241122_2356_229_Ca170TrN_MaCSZ_ode23t_1.png","figure")</f>
        <v>figure</v>
      </c>
      <c r="P230" t="s">
        <v>15</v>
      </c>
    </row>
    <row r="231" spans="1:16" x14ac:dyDescent="0.25">
      <c r="A231">
        <v>230</v>
      </c>
      <c r="B231">
        <v>170</v>
      </c>
      <c r="C231" t="s">
        <v>45</v>
      </c>
      <c r="D231" t="s">
        <v>35</v>
      </c>
      <c r="E231" t="s">
        <v>49</v>
      </c>
      <c r="F231" t="s">
        <v>19</v>
      </c>
      <c r="G231" t="s">
        <v>20</v>
      </c>
      <c r="H231" t="s">
        <v>21</v>
      </c>
      <c r="I231" t="s">
        <v>87</v>
      </c>
      <c r="J231" t="s">
        <v>23</v>
      </c>
      <c r="K231">
        <v>5697</v>
      </c>
      <c r="L231" s="4">
        <v>71.788178299999998</v>
      </c>
      <c r="M231" s="4">
        <v>-8.9656680082501214</v>
      </c>
      <c r="N231" s="4">
        <v>1.0003004396622307E-2</v>
      </c>
      <c r="O231" s="1" t="str">
        <f>HYPERLINK(".\sm_car_241122_2356\sm_car_241122_2356_230_Ca170TrN_MaCSF_ode23t_1.png","figure")</f>
        <v>figure</v>
      </c>
      <c r="P231" t="s">
        <v>15</v>
      </c>
    </row>
    <row r="232" spans="1:16" x14ac:dyDescent="0.25">
      <c r="A232">
        <v>231</v>
      </c>
      <c r="B232">
        <v>170</v>
      </c>
      <c r="C232" t="s">
        <v>45</v>
      </c>
      <c r="D232" t="s">
        <v>35</v>
      </c>
      <c r="E232" t="s">
        <v>49</v>
      </c>
      <c r="F232" t="s">
        <v>19</v>
      </c>
      <c r="G232" t="s">
        <v>20</v>
      </c>
      <c r="H232" t="s">
        <v>21</v>
      </c>
      <c r="I232" t="s">
        <v>88</v>
      </c>
      <c r="J232" t="s">
        <v>23</v>
      </c>
      <c r="K232">
        <v>2040</v>
      </c>
      <c r="L232" s="4">
        <v>13.1730114</v>
      </c>
      <c r="M232" s="4">
        <v>209.02244120983042</v>
      </c>
      <c r="N232" s="4">
        <v>379.24615281822742</v>
      </c>
      <c r="O232" s="1" t="str">
        <f>HYPERLINK(".\sm_car_241122_2356\sm_car_241122_2356_231_Ca170TrN_MaCPU_ode23t_1.png","figure")</f>
        <v>figure</v>
      </c>
      <c r="P232" t="s">
        <v>15</v>
      </c>
    </row>
    <row r="233" spans="1:16" x14ac:dyDescent="0.25">
      <c r="A233">
        <v>232</v>
      </c>
      <c r="B233">
        <v>170</v>
      </c>
      <c r="C233" t="s">
        <v>45</v>
      </c>
      <c r="D233" t="s">
        <v>35</v>
      </c>
      <c r="E233" t="s">
        <v>49</v>
      </c>
      <c r="F233" t="s">
        <v>19</v>
      </c>
      <c r="G233" t="s">
        <v>20</v>
      </c>
      <c r="H233" t="s">
        <v>21</v>
      </c>
      <c r="I233" t="s">
        <v>89</v>
      </c>
      <c r="J233" t="s">
        <v>23</v>
      </c>
      <c r="K233">
        <v>2589</v>
      </c>
      <c r="L233" s="4">
        <v>15.052679100000001</v>
      </c>
      <c r="M233" s="4">
        <v>183.03257378028661</v>
      </c>
      <c r="N233" s="4">
        <v>-170.24457901970891</v>
      </c>
      <c r="O233" s="1" t="str">
        <f>HYPERLINK(".\sm_car_241122_2356\sm_car_241122_2356_232_Ca170TrN_MaCPD_ode23t_1.png","figure")</f>
        <v>figure</v>
      </c>
      <c r="P233" t="s">
        <v>15</v>
      </c>
    </row>
    <row r="234" spans="1:16" x14ac:dyDescent="0.25">
      <c r="A234">
        <v>233</v>
      </c>
      <c r="B234">
        <v>202</v>
      </c>
      <c r="C234" t="s">
        <v>45</v>
      </c>
      <c r="D234" t="s">
        <v>35</v>
      </c>
      <c r="E234" t="s">
        <v>108</v>
      </c>
      <c r="F234" t="s">
        <v>19</v>
      </c>
      <c r="G234" t="s">
        <v>20</v>
      </c>
      <c r="H234" t="s">
        <v>21</v>
      </c>
      <c r="I234" t="s">
        <v>79</v>
      </c>
      <c r="J234" t="s">
        <v>23</v>
      </c>
      <c r="K234">
        <v>1833</v>
      </c>
      <c r="L234" s="4">
        <v>3.8011335000000002</v>
      </c>
      <c r="M234" s="4">
        <v>-5.9992060519496455</v>
      </c>
      <c r="N234" s="4">
        <v>2.854592736124532E-3</v>
      </c>
      <c r="O234" s="1" t="str">
        <f>HYPERLINK(".\sm_car_241122_2356\sm_car_241122_2356_233_Ca202TrN_MaCMF_ode23t_1.png","figure")</f>
        <v>figure</v>
      </c>
      <c r="P234" t="s">
        <v>15</v>
      </c>
    </row>
    <row r="235" spans="1:16" x14ac:dyDescent="0.25">
      <c r="A235">
        <v>234</v>
      </c>
      <c r="B235">
        <v>202</v>
      </c>
      <c r="C235" t="s">
        <v>45</v>
      </c>
      <c r="D235" t="s">
        <v>35</v>
      </c>
      <c r="E235" t="s">
        <v>108</v>
      </c>
      <c r="F235" t="s">
        <v>19</v>
      </c>
      <c r="G235" t="s">
        <v>20</v>
      </c>
      <c r="H235" t="s">
        <v>21</v>
      </c>
      <c r="I235" t="s">
        <v>80</v>
      </c>
      <c r="J235" t="s">
        <v>23</v>
      </c>
      <c r="K235">
        <v>4516</v>
      </c>
      <c r="L235" s="4">
        <v>20.3549252</v>
      </c>
      <c r="M235" s="4">
        <v>-329.52903004929163</v>
      </c>
      <c r="N235" s="4">
        <v>6.1140173141356184</v>
      </c>
      <c r="O235" s="1" t="str">
        <f>HYPERLINK(".\sm_car_241122_2356\sm_car_241122_2356_234_Ca202TrN_MaMPO_ode23t_1.png","figure")</f>
        <v>figure</v>
      </c>
      <c r="P235" t="s">
        <v>15</v>
      </c>
    </row>
    <row r="236" spans="1:16" x14ac:dyDescent="0.25">
      <c r="A236">
        <v>235</v>
      </c>
      <c r="B236">
        <v>202</v>
      </c>
      <c r="C236" t="s">
        <v>45</v>
      </c>
      <c r="D236" t="s">
        <v>35</v>
      </c>
      <c r="E236" t="s">
        <v>108</v>
      </c>
      <c r="F236" t="s">
        <v>19</v>
      </c>
      <c r="G236" t="s">
        <v>20</v>
      </c>
      <c r="H236" t="s">
        <v>21</v>
      </c>
      <c r="I236" t="s">
        <v>81</v>
      </c>
      <c r="J236" t="s">
        <v>23</v>
      </c>
      <c r="K236">
        <v>1196</v>
      </c>
      <c r="L236" s="4">
        <v>5.2106070000000004</v>
      </c>
      <c r="M236" s="4">
        <v>-13.865174707496607</v>
      </c>
      <c r="N236" s="4">
        <v>0.22605105232142364</v>
      </c>
      <c r="O236" s="1" t="str">
        <f>HYPERLINK(".\sm_car_241122_2356\sm_car_241122_2356_235_Ca202TrN_MaMCI_ode23t_1.png","figure")</f>
        <v>figure</v>
      </c>
      <c r="P236" t="s">
        <v>15</v>
      </c>
    </row>
    <row r="237" spans="1:16" x14ac:dyDescent="0.25">
      <c r="A237">
        <v>236</v>
      </c>
      <c r="B237">
        <v>202</v>
      </c>
      <c r="C237" t="s">
        <v>45</v>
      </c>
      <c r="D237" t="s">
        <v>35</v>
      </c>
      <c r="E237" t="s">
        <v>108</v>
      </c>
      <c r="F237" t="s">
        <v>19</v>
      </c>
      <c r="G237" t="s">
        <v>20</v>
      </c>
      <c r="H237" t="s">
        <v>21</v>
      </c>
      <c r="I237" t="s">
        <v>83</v>
      </c>
      <c r="J237" t="s">
        <v>23</v>
      </c>
      <c r="K237">
        <v>3604</v>
      </c>
      <c r="L237" s="4">
        <v>8.3897484999999996</v>
      </c>
      <c r="M237" s="4">
        <v>-5.9991348085524541</v>
      </c>
      <c r="N237" s="4">
        <v>-7.2217868045486352E-3</v>
      </c>
      <c r="O237" s="1" t="str">
        <f>HYPERLINK(".\sm_car_241122_2356\sm_car_241122_2356_236_Ca202TrN_MaCKF_ode23t_1.png","figure")</f>
        <v>figure</v>
      </c>
      <c r="P237" t="s">
        <v>15</v>
      </c>
    </row>
    <row r="238" spans="1:16" x14ac:dyDescent="0.25">
      <c r="A238">
        <v>237</v>
      </c>
      <c r="B238">
        <v>202</v>
      </c>
      <c r="C238" t="s">
        <v>45</v>
      </c>
      <c r="D238" t="s">
        <v>35</v>
      </c>
      <c r="E238" t="s">
        <v>108</v>
      </c>
      <c r="F238" t="s">
        <v>19</v>
      </c>
      <c r="G238" t="s">
        <v>20</v>
      </c>
      <c r="H238" t="s">
        <v>21</v>
      </c>
      <c r="I238" t="s">
        <v>85</v>
      </c>
      <c r="J238" t="s">
        <v>23</v>
      </c>
      <c r="K238">
        <v>10318</v>
      </c>
      <c r="L238" s="4">
        <v>86.189089999999993</v>
      </c>
      <c r="M238" s="4">
        <v>-8.9888091262615575</v>
      </c>
      <c r="N238" s="4">
        <v>4.7020759764764344E-2</v>
      </c>
      <c r="O238" s="1" t="str">
        <f>HYPERLINK(".\sm_car_241122_2356\sm_car_241122_2356_237_Ca202TrN_MaCNF_ode23t_1.png","figure")</f>
        <v>figure</v>
      </c>
      <c r="P238" t="s">
        <v>15</v>
      </c>
    </row>
    <row r="239" spans="1:16" x14ac:dyDescent="0.25">
      <c r="A239">
        <v>238</v>
      </c>
      <c r="B239">
        <v>202</v>
      </c>
      <c r="C239" t="s">
        <v>45</v>
      </c>
      <c r="D239" t="s">
        <v>35</v>
      </c>
      <c r="E239" t="s">
        <v>108</v>
      </c>
      <c r="F239" t="s">
        <v>19</v>
      </c>
      <c r="G239" t="s">
        <v>20</v>
      </c>
      <c r="H239" t="s">
        <v>21</v>
      </c>
      <c r="I239" t="s">
        <v>87</v>
      </c>
      <c r="J239" t="s">
        <v>23</v>
      </c>
      <c r="K239">
        <v>5740</v>
      </c>
      <c r="L239" s="4">
        <v>41.780465399999997</v>
      </c>
      <c r="M239" s="4">
        <v>-8.9571486132992533</v>
      </c>
      <c r="N239" s="4">
        <v>9.936272673557919E-3</v>
      </c>
      <c r="O239" s="1" t="str">
        <f>HYPERLINK(".\sm_car_241122_2356\sm_car_241122_2356_238_Ca202TrN_MaCSF_ode23t_1.png","figure")</f>
        <v>figure</v>
      </c>
      <c r="P239" t="s">
        <v>15</v>
      </c>
    </row>
    <row r="240" spans="1:16" x14ac:dyDescent="0.25">
      <c r="A240">
        <v>239</v>
      </c>
      <c r="B240">
        <v>202</v>
      </c>
      <c r="C240" t="s">
        <v>45</v>
      </c>
      <c r="D240" t="s">
        <v>35</v>
      </c>
      <c r="E240" t="s">
        <v>108</v>
      </c>
      <c r="F240" t="s">
        <v>19</v>
      </c>
      <c r="G240" t="s">
        <v>20</v>
      </c>
      <c r="H240" t="s">
        <v>21</v>
      </c>
      <c r="I240" t="s">
        <v>78</v>
      </c>
      <c r="J240" t="s">
        <v>23</v>
      </c>
      <c r="K240">
        <v>5549</v>
      </c>
      <c r="L240" s="4">
        <v>17.63288</v>
      </c>
      <c r="M240" s="4">
        <v>-5.9991612247549346</v>
      </c>
      <c r="N240" s="4">
        <v>2.9793002447769412E-3</v>
      </c>
      <c r="O240" s="1" t="str">
        <f>HYPERLINK(".\sm_car_241122_2356\sm_car_241122_2356_239_Ca202TrN_MaCMP_ode23t_1.png","figure")</f>
        <v>figure</v>
      </c>
      <c r="P240" t="s">
        <v>15</v>
      </c>
    </row>
    <row r="241" spans="1:16" x14ac:dyDescent="0.25">
      <c r="A241">
        <v>240</v>
      </c>
      <c r="B241">
        <v>202</v>
      </c>
      <c r="C241" t="s">
        <v>45</v>
      </c>
      <c r="D241" t="s">
        <v>35</v>
      </c>
      <c r="E241" t="s">
        <v>108</v>
      </c>
      <c r="F241" t="s">
        <v>19</v>
      </c>
      <c r="G241" t="s">
        <v>20</v>
      </c>
      <c r="H241" t="s">
        <v>21</v>
      </c>
      <c r="I241" t="s">
        <v>82</v>
      </c>
      <c r="J241" t="s">
        <v>23</v>
      </c>
      <c r="K241">
        <v>14988</v>
      </c>
      <c r="L241" s="4">
        <v>48.484853999999999</v>
      </c>
      <c r="M241" s="4">
        <v>-5.9960606730688264</v>
      </c>
      <c r="N241" s="4">
        <v>-8.9185621972918978E-3</v>
      </c>
      <c r="O241" s="1" t="str">
        <f>HYPERLINK(".\sm_car_241122_2356\sm_car_241122_2356_240_Ca202TrN_MaCKY_ode23t_1.png","figure")</f>
        <v>figure</v>
      </c>
      <c r="P241" t="s">
        <v>15</v>
      </c>
    </row>
    <row r="242" spans="1:16" x14ac:dyDescent="0.25">
      <c r="A242">
        <v>241</v>
      </c>
      <c r="B242">
        <v>202</v>
      </c>
      <c r="C242" t="s">
        <v>45</v>
      </c>
      <c r="D242" t="s">
        <v>35</v>
      </c>
      <c r="E242" t="s">
        <v>108</v>
      </c>
      <c r="F242" t="s">
        <v>19</v>
      </c>
      <c r="G242" t="s">
        <v>20</v>
      </c>
      <c r="H242" t="s">
        <v>21</v>
      </c>
      <c r="I242" t="s">
        <v>75</v>
      </c>
      <c r="J242" t="s">
        <v>23</v>
      </c>
      <c r="K242">
        <v>454</v>
      </c>
      <c r="L242" s="4">
        <v>2.4288637</v>
      </c>
      <c r="M242" s="4">
        <v>381.37278207713604</v>
      </c>
      <c r="N242" s="4">
        <v>0.32873488124669442</v>
      </c>
      <c r="O242" s="1" t="str">
        <f>HYPERLINK(".\sm_car_241122_2356\sm_car_241122_2356_241_Ca202TrN_MaCPL_ode23t_1.png","figure")</f>
        <v>figure</v>
      </c>
      <c r="P242" t="s">
        <v>15</v>
      </c>
    </row>
    <row r="243" spans="1:16" x14ac:dyDescent="0.25">
      <c r="A243">
        <v>242</v>
      </c>
      <c r="B243">
        <v>140</v>
      </c>
      <c r="C243" t="s">
        <v>45</v>
      </c>
      <c r="D243" t="s">
        <v>17</v>
      </c>
      <c r="E243" t="s">
        <v>49</v>
      </c>
      <c r="F243" t="s">
        <v>19</v>
      </c>
      <c r="G243" t="s">
        <v>26</v>
      </c>
      <c r="H243" t="s">
        <v>21</v>
      </c>
      <c r="I243" t="s">
        <v>113</v>
      </c>
      <c r="J243" t="s">
        <v>23</v>
      </c>
      <c r="K243">
        <v>2814</v>
      </c>
      <c r="L243" s="4">
        <v>39.273456000000003</v>
      </c>
      <c r="M243" s="4">
        <v>176.38098413289705</v>
      </c>
      <c r="N243" s="4">
        <v>7.4941510016348018E-4</v>
      </c>
      <c r="O243" s="1" t="str">
        <f>HYPERLINK(".\sm_car_241122_2356\sm_car_241122_2356_242_Ca140TrN_MaCRR_ode23t_1.png","figure")</f>
        <v>figure</v>
      </c>
      <c r="P243" t="s">
        <v>15</v>
      </c>
    </row>
    <row r="244" spans="1:16" x14ac:dyDescent="0.25">
      <c r="A244">
        <v>243</v>
      </c>
      <c r="B244">
        <v>189</v>
      </c>
      <c r="C244" t="s">
        <v>45</v>
      </c>
      <c r="D244" t="s">
        <v>17</v>
      </c>
      <c r="E244" t="s">
        <v>108</v>
      </c>
      <c r="F244" t="s">
        <v>19</v>
      </c>
      <c r="G244" t="s">
        <v>26</v>
      </c>
      <c r="H244" t="s">
        <v>21</v>
      </c>
      <c r="I244" t="s">
        <v>113</v>
      </c>
      <c r="J244" t="s">
        <v>23</v>
      </c>
      <c r="K244">
        <v>3355</v>
      </c>
      <c r="L244" s="4">
        <v>36.076769300000002</v>
      </c>
      <c r="M244" s="4">
        <v>176.43996498550507</v>
      </c>
      <c r="N244" s="4">
        <v>7.6650101691407848E-4</v>
      </c>
      <c r="O244" s="1" t="str">
        <f>HYPERLINK(".\sm_car_241122_2356\sm_car_241122_2356_243_Ca189TrN_MaCRR_ode23t_1.png","figure")</f>
        <v>figure</v>
      </c>
      <c r="P244" t="s">
        <v>15</v>
      </c>
    </row>
    <row r="245" spans="1:16" x14ac:dyDescent="0.25">
      <c r="A245">
        <v>244</v>
      </c>
      <c r="B245">
        <v>173</v>
      </c>
      <c r="C245" t="s">
        <v>45</v>
      </c>
      <c r="D245" t="s">
        <v>35</v>
      </c>
      <c r="E245" t="s">
        <v>49</v>
      </c>
      <c r="F245" t="s">
        <v>19</v>
      </c>
      <c r="G245" t="s">
        <v>90</v>
      </c>
      <c r="H245" t="s">
        <v>21</v>
      </c>
      <c r="I245" t="s">
        <v>91</v>
      </c>
      <c r="J245" t="s">
        <v>92</v>
      </c>
      <c r="K245">
        <v>1588</v>
      </c>
      <c r="L245" s="4">
        <v>67.676812400000003</v>
      </c>
      <c r="M245" s="4">
        <v>51.299838907290415</v>
      </c>
      <c r="N245" s="4">
        <v>9.0085651612820186E-3</v>
      </c>
      <c r="O245" s="1" t="str">
        <f>HYPERLINK(".\sm_car_241122_2356\sm_car_241122_2356_244_Ca173TrN_MaDCA_daessc_1.png","figure")</f>
        <v>figure</v>
      </c>
      <c r="P245" t="s">
        <v>15</v>
      </c>
    </row>
    <row r="246" spans="1:16" x14ac:dyDescent="0.25">
      <c r="A246">
        <v>245</v>
      </c>
      <c r="B246">
        <v>173</v>
      </c>
      <c r="C246" t="s">
        <v>45</v>
      </c>
      <c r="D246" t="s">
        <v>35</v>
      </c>
      <c r="E246" t="s">
        <v>49</v>
      </c>
      <c r="F246" t="s">
        <v>19</v>
      </c>
      <c r="G246" t="s">
        <v>90</v>
      </c>
      <c r="H246" t="s">
        <v>21</v>
      </c>
      <c r="I246" t="s">
        <v>93</v>
      </c>
      <c r="J246" t="s">
        <v>92</v>
      </c>
      <c r="K246">
        <v>4101</v>
      </c>
      <c r="L246" s="4">
        <v>106.7700619</v>
      </c>
      <c r="M246" s="4">
        <v>980.46968581984697</v>
      </c>
      <c r="N246" s="4">
        <v>0.72237673183601603</v>
      </c>
      <c r="O246" s="1" t="str">
        <f>HYPERLINK(".\sm_car_241122_2356\sm_car_241122_2356_245_Ca173TrN_MaDC1_daessc_1.png","figure")</f>
        <v>figure</v>
      </c>
      <c r="P246" t="s">
        <v>15</v>
      </c>
    </row>
    <row r="247" spans="1:16" x14ac:dyDescent="0.25">
      <c r="A247">
        <v>246</v>
      </c>
      <c r="B247">
        <v>165</v>
      </c>
      <c r="C247" t="s">
        <v>45</v>
      </c>
      <c r="D247" t="s">
        <v>35</v>
      </c>
      <c r="E247" t="s">
        <v>49</v>
      </c>
      <c r="F247" t="s">
        <v>19</v>
      </c>
      <c r="G247" t="s">
        <v>26</v>
      </c>
      <c r="H247" t="s">
        <v>21</v>
      </c>
      <c r="I247" t="s">
        <v>91</v>
      </c>
      <c r="J247" t="s">
        <v>23</v>
      </c>
      <c r="K247">
        <v>323</v>
      </c>
      <c r="L247" s="4">
        <v>2.8769051999999999</v>
      </c>
      <c r="M247" s="4">
        <v>53.509311865628931</v>
      </c>
      <c r="N247" s="4">
        <v>9.7596015899140444E-3</v>
      </c>
      <c r="O247" s="1" t="str">
        <f>HYPERLINK(".\sm_car_241122_2356\sm_car_241122_2356_246_Ca165TrN_MaDCA_ode23t_1.png","figure")</f>
        <v>figure</v>
      </c>
      <c r="P247" t="s">
        <v>15</v>
      </c>
    </row>
    <row r="248" spans="1:16" x14ac:dyDescent="0.25">
      <c r="A248">
        <v>247</v>
      </c>
      <c r="B248">
        <v>165</v>
      </c>
      <c r="C248" t="s">
        <v>45</v>
      </c>
      <c r="D248" t="s">
        <v>35</v>
      </c>
      <c r="E248" t="s">
        <v>49</v>
      </c>
      <c r="F248" t="s">
        <v>19</v>
      </c>
      <c r="G248" t="s">
        <v>26</v>
      </c>
      <c r="H248" t="s">
        <v>21</v>
      </c>
      <c r="I248" t="s">
        <v>93</v>
      </c>
      <c r="J248" t="s">
        <v>23</v>
      </c>
      <c r="K248">
        <v>1191</v>
      </c>
      <c r="L248" s="4">
        <v>6.5479889</v>
      </c>
      <c r="M248" s="4">
        <v>992.65310803800003</v>
      </c>
      <c r="N248" s="4">
        <v>0.82052929736214353</v>
      </c>
      <c r="O248" s="1" t="str">
        <f>HYPERLINK(".\sm_car_241122_2356\sm_car_241122_2356_247_Ca165TrN_MaDC1_ode23t_1.png","figure")</f>
        <v>figure</v>
      </c>
      <c r="P248" t="s">
        <v>15</v>
      </c>
    </row>
    <row r="249" spans="1:16" x14ac:dyDescent="0.25">
      <c r="A249">
        <v>248</v>
      </c>
      <c r="B249">
        <v>196</v>
      </c>
      <c r="C249" t="s">
        <v>45</v>
      </c>
      <c r="D249" t="s">
        <v>35</v>
      </c>
      <c r="E249" t="s">
        <v>108</v>
      </c>
      <c r="F249" t="s">
        <v>19</v>
      </c>
      <c r="G249" t="s">
        <v>90</v>
      </c>
      <c r="H249" t="s">
        <v>21</v>
      </c>
      <c r="I249" t="s">
        <v>93</v>
      </c>
      <c r="J249" t="s">
        <v>92</v>
      </c>
      <c r="K249">
        <v>4039</v>
      </c>
      <c r="L249" s="4">
        <v>53.464700000000001</v>
      </c>
      <c r="M249" s="4">
        <v>980.46294543272734</v>
      </c>
      <c r="N249" s="4">
        <v>0.72240217911639359</v>
      </c>
      <c r="O249" s="1" t="str">
        <f>HYPERLINK(".\sm_car_241122_2356\sm_car_241122_2356_248_Ca196TrN_MaDC1_daessc_1.png","figure")</f>
        <v>figure</v>
      </c>
      <c r="P249" t="s">
        <v>15</v>
      </c>
    </row>
    <row r="250" spans="1:16" x14ac:dyDescent="0.25">
      <c r="A250">
        <v>249</v>
      </c>
      <c r="B250">
        <v>179</v>
      </c>
      <c r="C250" t="s">
        <v>45</v>
      </c>
      <c r="D250" t="s">
        <v>57</v>
      </c>
      <c r="E250" t="s">
        <v>18</v>
      </c>
      <c r="F250" t="s">
        <v>19</v>
      </c>
      <c r="G250" t="s">
        <v>26</v>
      </c>
      <c r="H250" t="s">
        <v>21</v>
      </c>
      <c r="I250" t="s">
        <v>22</v>
      </c>
      <c r="J250" t="s">
        <v>23</v>
      </c>
      <c r="K250">
        <v>492</v>
      </c>
      <c r="L250" s="4">
        <v>4.5669477000000001</v>
      </c>
      <c r="M250" s="4">
        <v>147.84654327795116</v>
      </c>
      <c r="N250" s="4">
        <v>9.4965689110981036E-2</v>
      </c>
      <c r="O250" s="1" t="str">
        <f>HYPERLINK(".\sm_car_241122_2356\sm_car_241122_2356_249_Ca179TrN_MaWOT_ode23t_1.png","figure")</f>
        <v>figure</v>
      </c>
      <c r="P250" t="s">
        <v>15</v>
      </c>
    </row>
    <row r="251" spans="1:16" x14ac:dyDescent="0.25">
      <c r="A251">
        <v>250</v>
      </c>
      <c r="B251">
        <v>180</v>
      </c>
      <c r="C251" t="s">
        <v>45</v>
      </c>
      <c r="D251" t="s">
        <v>57</v>
      </c>
      <c r="E251" t="s">
        <v>49</v>
      </c>
      <c r="F251" t="s">
        <v>19</v>
      </c>
      <c r="G251" t="s">
        <v>26</v>
      </c>
      <c r="H251" t="s">
        <v>21</v>
      </c>
      <c r="I251" t="s">
        <v>22</v>
      </c>
      <c r="J251" t="s">
        <v>23</v>
      </c>
      <c r="K251">
        <v>507</v>
      </c>
      <c r="L251" s="4">
        <v>5.9596261999999998</v>
      </c>
      <c r="M251" s="4">
        <v>147.83047104296492</v>
      </c>
      <c r="N251" s="4">
        <v>9.4430558969068254E-2</v>
      </c>
      <c r="O251" s="1" t="str">
        <f>HYPERLINK(".\sm_car_241122_2356\sm_car_241122_2356_250_Ca180TrN_MaWOT_ode23t_1.png","figure")</f>
        <v>figure</v>
      </c>
      <c r="P251" t="s">
        <v>15</v>
      </c>
    </row>
    <row r="252" spans="1:16" x14ac:dyDescent="0.25">
      <c r="A252">
        <v>251</v>
      </c>
      <c r="B252">
        <v>197</v>
      </c>
      <c r="C252" t="s">
        <v>45</v>
      </c>
      <c r="D252" t="s">
        <v>57</v>
      </c>
      <c r="E252" t="s">
        <v>108</v>
      </c>
      <c r="F252" t="s">
        <v>19</v>
      </c>
      <c r="G252" t="s">
        <v>26</v>
      </c>
      <c r="H252" t="s">
        <v>21</v>
      </c>
      <c r="I252" t="s">
        <v>22</v>
      </c>
      <c r="J252" t="s">
        <v>23</v>
      </c>
      <c r="K252">
        <v>470</v>
      </c>
      <c r="L252" s="4">
        <v>1.9179645000000001</v>
      </c>
      <c r="M252" s="4">
        <v>147.85949824461082</v>
      </c>
      <c r="N252" s="4">
        <v>9.4533006765711788E-2</v>
      </c>
      <c r="O252" s="1" t="str">
        <f>HYPERLINK(".\sm_car_241122_2356\sm_car_241122_2356_251_Ca197TrN_MaWOT_ode23t_1.png","figure")</f>
        <v>figure</v>
      </c>
      <c r="P252" t="s">
        <v>15</v>
      </c>
    </row>
    <row r="253" spans="1:16" x14ac:dyDescent="0.25">
      <c r="A253">
        <v>252</v>
      </c>
      <c r="B253">
        <v>182</v>
      </c>
      <c r="C253" t="s">
        <v>45</v>
      </c>
      <c r="D253" t="s">
        <v>17</v>
      </c>
      <c r="E253" t="s">
        <v>49</v>
      </c>
      <c r="F253" t="s">
        <v>19</v>
      </c>
      <c r="G253" t="s">
        <v>26</v>
      </c>
      <c r="H253" t="s">
        <v>21</v>
      </c>
      <c r="I253" t="s">
        <v>64</v>
      </c>
      <c r="J253" t="s">
        <v>23</v>
      </c>
      <c r="K253">
        <v>414</v>
      </c>
      <c r="L253" s="4">
        <v>11.662494199999999</v>
      </c>
      <c r="M253" s="4">
        <v>63.170402740877307</v>
      </c>
      <c r="N253" s="4">
        <v>-25.339355432324108</v>
      </c>
      <c r="O253" s="1" t="str">
        <f>HYPERLINK(".\sm_car_241122_2356\sm_car_241122_2356_252_Ca182TrN_MaTUR_ode23t_1.png","figure")</f>
        <v>figure</v>
      </c>
      <c r="P253" t="s">
        <v>15</v>
      </c>
    </row>
    <row r="254" spans="1:16" x14ac:dyDescent="0.25">
      <c r="A254">
        <v>253</v>
      </c>
      <c r="B254">
        <v>203</v>
      </c>
      <c r="C254" t="s">
        <v>45</v>
      </c>
      <c r="D254" t="s">
        <v>17</v>
      </c>
      <c r="E254" t="s">
        <v>108</v>
      </c>
      <c r="F254" t="s">
        <v>19</v>
      </c>
      <c r="G254" t="s">
        <v>26</v>
      </c>
      <c r="H254" t="s">
        <v>21</v>
      </c>
      <c r="I254" t="s">
        <v>64</v>
      </c>
      <c r="J254" t="s">
        <v>23</v>
      </c>
      <c r="K254">
        <v>364</v>
      </c>
      <c r="L254" s="4">
        <v>4.3018530000000004</v>
      </c>
      <c r="M254" s="4">
        <v>63.141186529644656</v>
      </c>
      <c r="N254" s="4">
        <v>-25.326688577130984</v>
      </c>
      <c r="O254" s="1" t="str">
        <f>HYPERLINK(".\sm_car_241122_2356\sm_car_241122_2356_253_Ca203TrN_MaTUR_ode23t_1.png","figure")</f>
        <v>figure</v>
      </c>
      <c r="P254" t="s">
        <v>15</v>
      </c>
    </row>
    <row r="255" spans="1:16" x14ac:dyDescent="0.25">
      <c r="A255">
        <v>254</v>
      </c>
      <c r="B255">
        <v>185</v>
      </c>
      <c r="C255" t="s">
        <v>45</v>
      </c>
      <c r="D255" t="s">
        <v>17</v>
      </c>
      <c r="E255" t="s">
        <v>18</v>
      </c>
      <c r="F255" t="s">
        <v>19</v>
      </c>
      <c r="G255" t="s">
        <v>26</v>
      </c>
      <c r="H255" t="s">
        <v>21</v>
      </c>
      <c r="I255" t="s">
        <v>64</v>
      </c>
      <c r="J255" t="s">
        <v>23</v>
      </c>
      <c r="K255">
        <v>545</v>
      </c>
      <c r="L255" s="4">
        <v>21.443236200000001</v>
      </c>
      <c r="M255" s="4">
        <v>114.17775170858596</v>
      </c>
      <c r="N255" s="4">
        <v>-80.795518420827136</v>
      </c>
      <c r="O255" s="1" t="str">
        <f>HYPERLINK(".\sm_car_241122_2356\sm_car_241122_2356_254_Ca185TrN_MaTUR_ode23t_1.png","figure")</f>
        <v>figure</v>
      </c>
      <c r="P255" t="s">
        <v>15</v>
      </c>
    </row>
    <row r="256" spans="1:16" x14ac:dyDescent="0.25">
      <c r="A256">
        <v>255</v>
      </c>
      <c r="B256">
        <v>188</v>
      </c>
      <c r="C256" t="s">
        <v>45</v>
      </c>
      <c r="D256" t="s">
        <v>114</v>
      </c>
      <c r="E256" t="s">
        <v>49</v>
      </c>
      <c r="F256" t="s">
        <v>19</v>
      </c>
      <c r="G256" t="s">
        <v>26</v>
      </c>
      <c r="H256" t="s">
        <v>21</v>
      </c>
      <c r="I256" t="s">
        <v>64</v>
      </c>
      <c r="J256" t="s">
        <v>23</v>
      </c>
      <c r="K256">
        <v>554</v>
      </c>
      <c r="L256" s="4">
        <v>6.3628496999999999</v>
      </c>
      <c r="M256" s="4">
        <v>140.63855783100419</v>
      </c>
      <c r="N256" s="4">
        <v>-71.768103942223306</v>
      </c>
      <c r="O256" s="1" t="str">
        <f>HYPERLINK(".\sm_car_241122_2356\sm_car_241122_2356_255_Ca188TrN_MaTUR_ode23t_1.png","figure")</f>
        <v>figure</v>
      </c>
      <c r="P256" t="s">
        <v>15</v>
      </c>
    </row>
    <row r="257" spans="1:16" x14ac:dyDescent="0.25">
      <c r="A257">
        <v>256</v>
      </c>
      <c r="B257" t="s">
        <v>94</v>
      </c>
      <c r="C257" t="s">
        <v>95</v>
      </c>
      <c r="D257" t="s">
        <v>35</v>
      </c>
      <c r="E257" t="s">
        <v>18</v>
      </c>
      <c r="F257" t="s">
        <v>19</v>
      </c>
      <c r="G257" t="s">
        <v>96</v>
      </c>
      <c r="H257" t="s">
        <v>21</v>
      </c>
      <c r="I257" t="s">
        <v>22</v>
      </c>
      <c r="J257" t="s">
        <v>23</v>
      </c>
      <c r="K257">
        <v>438</v>
      </c>
      <c r="L257" s="4">
        <v>13.681131199999999</v>
      </c>
      <c r="M257" s="4">
        <v>79.219542366997288</v>
      </c>
      <c r="N257" s="4">
        <v>-0.33383675790894024</v>
      </c>
      <c r="O257" s="1" t="str">
        <f>HYPERLINK(".\sm_car_241122_2356\sm_car_Axle3_241122_2356_256_CaAxle3_000TrN_MaWOT_ode23t_1.png","figure")</f>
        <v>figure</v>
      </c>
      <c r="P257" t="s">
        <v>15</v>
      </c>
    </row>
    <row r="258" spans="1:16" x14ac:dyDescent="0.25">
      <c r="A258">
        <v>257</v>
      </c>
      <c r="B258" t="s">
        <v>99</v>
      </c>
      <c r="C258" t="s">
        <v>100</v>
      </c>
      <c r="D258" t="s">
        <v>35</v>
      </c>
      <c r="E258" t="s">
        <v>18</v>
      </c>
      <c r="F258" t="s">
        <v>19</v>
      </c>
      <c r="G258" t="s">
        <v>96</v>
      </c>
      <c r="H258" t="s">
        <v>21</v>
      </c>
      <c r="I258" t="s">
        <v>22</v>
      </c>
      <c r="J258" t="s">
        <v>23</v>
      </c>
      <c r="K258">
        <v>498</v>
      </c>
      <c r="L258" s="4">
        <v>12.847865499999999</v>
      </c>
      <c r="M258" s="4">
        <v>69.133372940784071</v>
      </c>
      <c r="N258" s="4">
        <v>8.3860847378028749E-2</v>
      </c>
      <c r="O258" s="1" t="str">
        <f>HYPERLINK(".\sm_car_241122_2356\sm_car_Axle3_241122_2356_257_CaAxle3_008TrN_MaWOT_ode23t_1.png","figure")</f>
        <v>figure</v>
      </c>
      <c r="P258" t="s">
        <v>15</v>
      </c>
    </row>
    <row r="259" spans="1:16" x14ac:dyDescent="0.25">
      <c r="A259">
        <v>258</v>
      </c>
      <c r="B259" t="s">
        <v>97</v>
      </c>
      <c r="C259" t="s">
        <v>95</v>
      </c>
      <c r="D259" t="s">
        <v>35</v>
      </c>
      <c r="E259" t="s">
        <v>49</v>
      </c>
      <c r="F259" t="s">
        <v>19</v>
      </c>
      <c r="G259" t="s">
        <v>98</v>
      </c>
      <c r="H259" t="s">
        <v>21</v>
      </c>
      <c r="I259" t="s">
        <v>22</v>
      </c>
      <c r="J259" t="s">
        <v>23</v>
      </c>
      <c r="K259">
        <v>426</v>
      </c>
      <c r="L259" s="4">
        <v>10.828050899999999</v>
      </c>
      <c r="M259" s="4">
        <v>79.26753082601013</v>
      </c>
      <c r="N259" s="4">
        <v>-0.31346583892466412</v>
      </c>
      <c r="O259" s="1" t="str">
        <f>HYPERLINK(".\sm_car_241122_2356\sm_car_Axle3_241122_2356_258_CaAxle3_003TrN_MaWOT_ode23t_1.png","figure")</f>
        <v>figure</v>
      </c>
      <c r="P259" t="s">
        <v>15</v>
      </c>
    </row>
    <row r="260" spans="1:16" x14ac:dyDescent="0.25">
      <c r="A260">
        <v>259</v>
      </c>
      <c r="B260" t="s">
        <v>115</v>
      </c>
      <c r="C260" t="s">
        <v>95</v>
      </c>
      <c r="D260" t="s">
        <v>35</v>
      </c>
      <c r="E260" t="s">
        <v>108</v>
      </c>
      <c r="F260" t="s">
        <v>19</v>
      </c>
      <c r="G260" t="s">
        <v>98</v>
      </c>
      <c r="H260" t="s">
        <v>21</v>
      </c>
      <c r="I260" t="s">
        <v>22</v>
      </c>
      <c r="J260" t="s">
        <v>23</v>
      </c>
      <c r="K260">
        <v>438</v>
      </c>
      <c r="L260" s="4">
        <v>1.7237324999999999</v>
      </c>
      <c r="M260" s="4">
        <v>80.149536181477046</v>
      </c>
      <c r="N260" s="4">
        <v>-0.31965340500242301</v>
      </c>
      <c r="O260" s="1" t="str">
        <f>HYPERLINK(".\sm_car_241122_2356\sm_car_Axle3_241122_2356_259_CaAxle3_017TrN_MaWOT_ode23t_1.png","figure")</f>
        <v>figure</v>
      </c>
      <c r="P260" t="s">
        <v>15</v>
      </c>
    </row>
    <row r="261" spans="1:16" x14ac:dyDescent="0.25">
      <c r="A261">
        <v>260</v>
      </c>
      <c r="B261" t="s">
        <v>101</v>
      </c>
      <c r="C261" t="s">
        <v>100</v>
      </c>
      <c r="D261" t="s">
        <v>35</v>
      </c>
      <c r="E261" t="s">
        <v>49</v>
      </c>
      <c r="F261" t="s">
        <v>19</v>
      </c>
      <c r="G261" t="s">
        <v>96</v>
      </c>
      <c r="H261" t="s">
        <v>102</v>
      </c>
      <c r="I261" t="s">
        <v>22</v>
      </c>
      <c r="J261" t="s">
        <v>23</v>
      </c>
      <c r="K261">
        <v>380</v>
      </c>
      <c r="L261" s="4">
        <v>25.202376300000001</v>
      </c>
      <c r="M261" s="4">
        <v>23.326491618587372</v>
      </c>
      <c r="N261" s="4">
        <v>2.4826709087205634E-3</v>
      </c>
      <c r="O261" s="1" t="str">
        <f>HYPERLINK(".\sm_car_241122_2356\sm_car_Axle3_241122_2356_260_CaAxle3_010TrK_MaWOT_ode23t_1.png","figure")</f>
        <v>figure</v>
      </c>
      <c r="P261" t="s">
        <v>15</v>
      </c>
    </row>
    <row r="262" spans="1:16" x14ac:dyDescent="0.25">
      <c r="A262">
        <v>261</v>
      </c>
      <c r="B262" t="s">
        <v>101</v>
      </c>
      <c r="C262" t="s">
        <v>100</v>
      </c>
      <c r="D262" t="s">
        <v>35</v>
      </c>
      <c r="E262" t="s">
        <v>49</v>
      </c>
      <c r="F262" t="s">
        <v>19</v>
      </c>
      <c r="G262" t="s">
        <v>96</v>
      </c>
      <c r="H262" t="s">
        <v>102</v>
      </c>
      <c r="I262" t="s">
        <v>22</v>
      </c>
      <c r="J262" t="s">
        <v>23</v>
      </c>
      <c r="K262">
        <v>403</v>
      </c>
      <c r="L262" s="4">
        <v>25.8978261</v>
      </c>
      <c r="M262" s="4">
        <v>23.441155000567029</v>
      </c>
      <c r="N262" s="4">
        <v>2.5318366114003392E-3</v>
      </c>
      <c r="O262" s="1" t="str">
        <f>HYPERLINK(".\sm_car_241122_2356\sm_car_Axle3_241122_2356_261_CaAxle3_010TrK_MaWOT_ode23t_1.png","figure")</f>
        <v>figure</v>
      </c>
      <c r="P262" t="s">
        <v>15</v>
      </c>
    </row>
    <row r="263" spans="1:16" x14ac:dyDescent="0.25">
      <c r="A263">
        <v>262</v>
      </c>
      <c r="B263" t="s">
        <v>116</v>
      </c>
      <c r="C263" t="s">
        <v>100</v>
      </c>
      <c r="D263" t="s">
        <v>35</v>
      </c>
      <c r="E263" t="s">
        <v>108</v>
      </c>
      <c r="F263" t="s">
        <v>19</v>
      </c>
      <c r="G263" t="s">
        <v>96</v>
      </c>
      <c r="H263" t="s">
        <v>102</v>
      </c>
      <c r="I263" t="s">
        <v>22</v>
      </c>
      <c r="J263" t="s">
        <v>23</v>
      </c>
      <c r="K263">
        <v>395</v>
      </c>
      <c r="L263" s="4">
        <v>2.2016852999999998</v>
      </c>
      <c r="M263" s="4">
        <v>26.915089796056098</v>
      </c>
      <c r="N263" s="4">
        <v>3.6189487697875986E-3</v>
      </c>
      <c r="O263" s="1" t="str">
        <f>HYPERLINK(".\sm_car_241122_2356\sm_car_Axle3_241122_2356_262_CaAxle3_019TrK_MaWOT_ode23t_1.png","figure")</f>
        <v>figure</v>
      </c>
      <c r="P263" t="s">
        <v>15</v>
      </c>
    </row>
    <row r="264" spans="1:16" x14ac:dyDescent="0.25">
      <c r="A264">
        <v>263</v>
      </c>
      <c r="B264" t="s">
        <v>116</v>
      </c>
      <c r="C264" t="s">
        <v>100</v>
      </c>
      <c r="D264" t="s">
        <v>35</v>
      </c>
      <c r="E264" t="s">
        <v>108</v>
      </c>
      <c r="F264" t="s">
        <v>19</v>
      </c>
      <c r="G264" t="s">
        <v>96</v>
      </c>
      <c r="H264" t="s">
        <v>102</v>
      </c>
      <c r="I264" t="s">
        <v>22</v>
      </c>
      <c r="J264" t="s">
        <v>23</v>
      </c>
      <c r="K264">
        <v>396</v>
      </c>
      <c r="L264" s="4">
        <v>2.1673840000000002</v>
      </c>
      <c r="M264" s="4">
        <v>26.904160760618034</v>
      </c>
      <c r="N264" s="4">
        <v>3.611469351209276E-3</v>
      </c>
      <c r="O264" s="1" t="str">
        <f>HYPERLINK(".\sm_car_241122_2356\sm_car_Axle3_241122_2356_263_CaAxle3_019TrK_MaWOT_ode23t_1.png","figure")</f>
        <v>figure</v>
      </c>
      <c r="P264" t="s">
        <v>15</v>
      </c>
    </row>
    <row r="265" spans="1:16" x14ac:dyDescent="0.25">
      <c r="A265">
        <v>264</v>
      </c>
      <c r="B265" t="s">
        <v>103</v>
      </c>
      <c r="C265" t="s">
        <v>100</v>
      </c>
      <c r="D265" t="s">
        <v>35</v>
      </c>
      <c r="E265" t="s">
        <v>18</v>
      </c>
      <c r="F265" t="s">
        <v>19</v>
      </c>
      <c r="G265" t="s">
        <v>104</v>
      </c>
      <c r="H265" t="s">
        <v>102</v>
      </c>
      <c r="I265" t="s">
        <v>53</v>
      </c>
      <c r="J265" t="s">
        <v>23</v>
      </c>
      <c r="K265">
        <v>665</v>
      </c>
      <c r="L265" s="4">
        <v>16.369845600000001</v>
      </c>
      <c r="M265" s="4">
        <v>254.41357195616564</v>
      </c>
      <c r="N265" s="4">
        <v>-0.10176591292127313</v>
      </c>
      <c r="O265" s="1" t="str">
        <f>HYPERLINK(".\sm_car_241122_2356\sm_car_Axle3_241122_2356_264_CaAxle3_012TrK_MaDLC_ode23t_1.png","figure")</f>
        <v>figure</v>
      </c>
      <c r="P265" t="s">
        <v>15</v>
      </c>
    </row>
    <row r="266" spans="1:16" x14ac:dyDescent="0.25">
      <c r="A266">
        <v>265</v>
      </c>
      <c r="B266" t="s">
        <v>103</v>
      </c>
      <c r="C266" t="s">
        <v>100</v>
      </c>
      <c r="D266" t="s">
        <v>35</v>
      </c>
      <c r="E266" t="s">
        <v>18</v>
      </c>
      <c r="F266" t="s">
        <v>19</v>
      </c>
      <c r="G266" t="s">
        <v>104</v>
      </c>
      <c r="H266" t="s">
        <v>102</v>
      </c>
      <c r="I266" t="s">
        <v>53</v>
      </c>
      <c r="J266" t="s">
        <v>23</v>
      </c>
      <c r="K266">
        <v>764</v>
      </c>
      <c r="L266" s="4">
        <v>20.516604099999999</v>
      </c>
      <c r="M266" s="4">
        <v>254.27800525549395</v>
      </c>
      <c r="N266" s="4">
        <v>-9.8584669369781608E-2</v>
      </c>
      <c r="O266" s="1" t="str">
        <f>HYPERLINK(".\sm_car_241122_2356\sm_car_Axle3_241122_2356_265_CaAxle3_012TrK_MaDLC_ode23t_1.png","figure")</f>
        <v>figure</v>
      </c>
      <c r="P266" t="s">
        <v>15</v>
      </c>
    </row>
    <row r="267" spans="1:16" x14ac:dyDescent="0.25">
      <c r="A267">
        <v>266</v>
      </c>
      <c r="B267" t="s">
        <v>103</v>
      </c>
      <c r="C267" t="s">
        <v>100</v>
      </c>
      <c r="D267" t="s">
        <v>35</v>
      </c>
      <c r="E267" t="s">
        <v>18</v>
      </c>
      <c r="F267" t="s">
        <v>19</v>
      </c>
      <c r="G267" t="s">
        <v>104</v>
      </c>
      <c r="H267" t="s">
        <v>102</v>
      </c>
      <c r="I267" t="s">
        <v>53</v>
      </c>
      <c r="J267" t="s">
        <v>23</v>
      </c>
      <c r="K267">
        <v>656</v>
      </c>
      <c r="L267" s="4">
        <v>16.410234299999999</v>
      </c>
      <c r="M267" s="4">
        <v>255.36182041784144</v>
      </c>
      <c r="N267" s="4">
        <v>-0.10365635731548295</v>
      </c>
      <c r="O267" s="1" t="str">
        <f>HYPERLINK(".\sm_car_241122_2356\sm_car_Axle3_241122_2356_266_CaAxle3_012TrK_MaDLC_ode23t_1.png","figure")</f>
        <v>figure</v>
      </c>
      <c r="P267" t="s">
        <v>15</v>
      </c>
    </row>
    <row r="268" spans="1:16" x14ac:dyDescent="0.25">
      <c r="A268">
        <v>267</v>
      </c>
      <c r="B268" t="s">
        <v>103</v>
      </c>
      <c r="C268" t="s">
        <v>100</v>
      </c>
      <c r="D268" t="s">
        <v>35</v>
      </c>
      <c r="E268" t="s">
        <v>18</v>
      </c>
      <c r="F268" t="s">
        <v>19</v>
      </c>
      <c r="G268" t="s">
        <v>104</v>
      </c>
      <c r="H268" t="s">
        <v>102</v>
      </c>
      <c r="I268" t="s">
        <v>53</v>
      </c>
      <c r="J268" t="s">
        <v>23</v>
      </c>
      <c r="K268">
        <v>929</v>
      </c>
      <c r="L268" s="4">
        <v>21.464057700000001</v>
      </c>
      <c r="M268" s="4">
        <v>253.33793714753881</v>
      </c>
      <c r="N268" s="4">
        <v>-8.9224143723044769E-2</v>
      </c>
      <c r="O268" s="1" t="str">
        <f>HYPERLINK(".\sm_car_241122_2356\sm_car_Axle3_241122_2356_267_CaAxle3_012TrK_MaDLC_ode23t_1.png","figure")</f>
        <v>figure</v>
      </c>
      <c r="P268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2024a_240930_0021</vt:lpstr>
      <vt:lpstr>2024a_241122_0001</vt:lpstr>
      <vt:lpstr>2024a_241122_2356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2020-05-28T11:17:57Z</dcterms:created>
  <dcterms:modified xsi:type="dcterms:W3CDTF">2024-11-23T02:37:55Z</dcterms:modified>
</cp:coreProperties>
</file>