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8_{FC361F32-A3AC-4AAB-BD9D-CC3C7D55A1E5}" xr6:coauthVersionLast="47" xr6:coauthVersionMax="47" xr10:uidLastSave="{00000000-0000-0000-0000-000000000000}"/>
  <bookViews>
    <workbookView xWindow="-120" yWindow="-120" windowWidth="29040" windowHeight="15840" activeTab="1" xr2:uid="{86C44CE1-1010-4E30-92B1-BDE677C7682C}"/>
  </bookViews>
  <sheets>
    <sheet name="2023a_240930_1119" sheetId="16" r:id="rId1"/>
    <sheet name="2023a_250420_1604" sheetId="17" r:id="rId2"/>
  </sheets>
  <definedNames>
    <definedName name="_xlnm._FilterDatabase" localSheetId="0" hidden="1">'2023a_240930_1119'!$A$1:$P$266</definedName>
    <definedName name="_xlnm._FilterDatabase" localSheetId="1" hidden="1">'2023a_250420_1604'!$A$1:$P$286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</calcChain>
</file>

<file path=xl/sharedStrings.xml><?xml version="1.0" encoding="utf-8"?>
<sst xmlns="http://schemas.openxmlformats.org/spreadsheetml/2006/main" count="5016" uniqueCount="135">
  <si>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</si>
  <si>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</si>
  <si>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</si>
  <si>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</si>
  <si>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</si>
  <si>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</si>
  <si>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</si>
  <si>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</si>
  <si>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</si>
  <si>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</si>
  <si>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</si>
  <si>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</si>
  <si>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</si>
  <si>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</si>
  <si>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</si>
  <si>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</si>
  <si>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</si>
  <si>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</si>
  <si>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</si>
  <si>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</si>
  <si>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</si>
  <si>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</si>
  <si>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</si>
  <si>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</si>
  <si>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</si>
  <si>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</si>
  <si>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</si>
  <si>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</si>
  <si>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</si>
  <si>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</si>
  <si>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</si>
  <si>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</si>
  <si>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</si>
  <si>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</si>
  <si>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</si>
  <si>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</si>
  <si>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</si>
  <si>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</si>
  <si>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</si>
  <si>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</si>
  <si>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</si>
  <si>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</si>
  <si>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</si>
  <si>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</si>
  <si>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</si>
  <si>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</si>
  <si>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</si>
  <si>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</si>
  <si>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</si>
  <si>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</si>
  <si>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</si>
  <si>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</si>
  <si>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</si>
  <si>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</si>
  <si>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</si>
  <si>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</si>
  <si>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</si>
  <si>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</si>
  <si>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</si>
  <si>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</si>
  <si>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</si>
  <si>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</si>
  <si>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</si>
  <si>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</si>
  <si>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</si>
  <si>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</si>
  <si>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</si>
  <si>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</si>
  <si>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</si>
  <si>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</si>
  <si>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</si>
  <si>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</si>
  <si>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</si>
  <si>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</si>
  <si>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</si>
  <si>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</si>
  <si>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</si>
  <si>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</si>
  <si>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</si>
  <si>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</si>
  <si>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</si>
  <si>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</si>
  <si>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</si>
  <si>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</si>
  <si>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</si>
  <si>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</si>
  <si>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</si>
  <si>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</si>
  <si>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</si>
  <si>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</si>
  <si>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</si>
  <si>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</si>
  <si>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</si>
  <si>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</si>
  <si>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</si>
  <si>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</si>
  <si>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</si>
  <si>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</si>
  <si>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</si>
  <si>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</si>
  <si>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</si>
  <si>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</si>
  <si>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</si>
  <si>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</si>
  <si>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</si>
  <si>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</si>
  <si>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</si>
  <si>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</si>
  <si>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</si>
  <si>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</si>
  <si>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</si>
  <si>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</si>
  <si>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</si>
  <si>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</si>
  <si>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</si>
  <si>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</si>
  <si>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</si>
  <si>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30-Sep-2024 15:27:11</t>
  </si>
  <si>
    <t>MUC-VIDEOSTUDIO</t>
  </si>
  <si>
    <t>9.14.0.2306882 (R2023a) Update 4</t>
  </si>
  <si>
    <t>MF-Swift Version: 2312</t>
  </si>
  <si>
    <t>v3p2 R23a newTrajFollower stopXMax</t>
  </si>
  <si>
    <t>dwpull</t>
  </si>
  <si>
    <t>4MotorCool</t>
  </si>
  <si>
    <t>MacPh</t>
  </si>
  <si>
    <t>dwbAU</t>
  </si>
  <si>
    <t>bushings</t>
  </si>
  <si>
    <t>dwpush</t>
  </si>
  <si>
    <t>TwistBeam</t>
  </si>
  <si>
    <t>Fishhook</t>
  </si>
  <si>
    <t>Sine With Dwell</t>
  </si>
  <si>
    <t>Ramp Steer</t>
  </si>
  <si>
    <t>Slalom</t>
  </si>
  <si>
    <t>20-Apr-2025 20:45:53</t>
  </si>
  <si>
    <t>R23a v4p0 KnC Fishhook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</si>
</sst>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D476-479C-456E-8FA6-59DD3EC6DAE2}">
  <dimension ref="A1:R266"/>
  <sheetViews>
    <sheetView workbookViewId="0">
      <selection activeCell="R9" sqref="R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 s="4">
        <v>10.410383599999999</v>
      </c>
      <c r="M2" s="4">
        <v>233.86221125184204</v>
      </c>
      <c r="N2" s="4">
        <v>8.1453449186907941E-3</v>
      </c>
      <c r="O2" s="1" t="str">
        <f>HYPERLINK(".\sm_car_240930_1119\sm_car_240930_1119_001_Ca000TrN_MaWOT_ode23t.png","figure")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 s="4">
        <v>12.5476659</v>
      </c>
      <c r="M3" s="4">
        <v>72.046681083543589</v>
      </c>
      <c r="N3" s="4">
        <v>-0.55373545284533487</v>
      </c>
      <c r="O3" s="1" t="str">
        <f>HYPERLINK(".\sm_car_240930_1119\sm_car_240930_1119_002_Ca000TrN_MaLSS_ode23t.png","figure")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391</v>
      </c>
      <c r="L4" s="4">
        <v>11.4796426</v>
      </c>
      <c r="M4" s="4">
        <v>233.02434143111248</v>
      </c>
      <c r="N4" s="4">
        <v>-1.0918497815023576E-3</v>
      </c>
      <c r="O4" s="1" t="str">
        <f>HYPERLINK(".\sm_car_240930_1119\sm_car_240930_1119_003_Ca001TrN_MaWOT_ode23t.png","figure")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507</v>
      </c>
      <c r="L5" s="4">
        <v>13.8314038</v>
      </c>
      <c r="M5" s="4">
        <v>71.758682432408492</v>
      </c>
      <c r="N5" s="4">
        <v>-0.54700547920929332</v>
      </c>
      <c r="O5" s="1" t="str">
        <f>HYPERLINK(".\sm_car_240930_1119\sm_car_240930_1119_004_Ca001TrN_MaLSS_ode23t.png","figure")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445</v>
      </c>
      <c r="L6" s="4">
        <v>17.9645872</v>
      </c>
      <c r="M6" s="4">
        <v>233.0634743742298</v>
      </c>
      <c r="N6" s="4">
        <v>6.8960561211061672E-2</v>
      </c>
      <c r="O6" s="1" t="str">
        <f>HYPERLINK(".\sm_car_240930_1119\sm_car_240930_1119_005_Ca002TrN_MaWOT_ode23t.png","figure")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521</v>
      </c>
      <c r="L7" s="4">
        <v>17.750867299999999</v>
      </c>
      <c r="M7" s="4">
        <v>71.774720122052727</v>
      </c>
      <c r="N7" s="4">
        <v>-0.54324760216114121</v>
      </c>
      <c r="O7" s="1" t="str">
        <f>HYPERLINK(".\sm_car_240930_1119\sm_car_240930_1119_006_Ca002TrN_MaLSS_ode23t.png","figure")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449</v>
      </c>
      <c r="L8" s="4">
        <v>17.0102902</v>
      </c>
      <c r="M8" s="4">
        <v>232.48515327133916</v>
      </c>
      <c r="N8" s="4">
        <v>6.839056405282333E-2</v>
      </c>
      <c r="O8" s="1" t="str">
        <f>HYPERLINK(".\sm_car_240930_1119\sm_car_240930_1119_007_Ca003TrN_MaWOT_ode23t.png","figure")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547</v>
      </c>
      <c r="L9" s="4">
        <v>18.687806900000002</v>
      </c>
      <c r="M9" s="4">
        <v>71.624553923621434</v>
      </c>
      <c r="N9" s="4">
        <v>-0.53694138159082083</v>
      </c>
      <c r="O9" s="1" t="str">
        <f>HYPERLINK(".\sm_car_240930_1119\sm_car_240930_1119_008_Ca003TrN_MaLSS_ode23t.png","figure")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 s="4">
        <v>17.893334500000002</v>
      </c>
      <c r="M10" s="4">
        <v>234.12909185079528</v>
      </c>
      <c r="N10" s="4">
        <v>1.0860774768222788E-2</v>
      </c>
      <c r="O10" s="1" t="str">
        <f>HYPERLINK(".\sm_car_240930_1119\sm_car_240930_1119_009_Ca004TrN_MaWOT_ode23t.png","figure")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 s="4">
        <v>20.685407600000001</v>
      </c>
      <c r="M11" s="4">
        <v>72.064509522198904</v>
      </c>
      <c r="N11" s="4">
        <v>-0.5553006272805372</v>
      </c>
      <c r="O11" s="1" t="str">
        <f>HYPERLINK(".\sm_car_240930_1119\sm_car_240930_1119_010_Ca004TrN_MaLSS_ode23t.png","figure")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1058</v>
      </c>
      <c r="L12" s="4">
        <v>19.416716699999998</v>
      </c>
      <c r="M12" s="4">
        <v>233.12492318228672</v>
      </c>
      <c r="N12" s="4">
        <v>7.40880057645155E-4</v>
      </c>
      <c r="O12" s="1" t="str">
        <f>HYPERLINK(".\sm_car_240930_1119\sm_car_240930_1119_011_Ca005TrN_MaWOT_ode23t.png","figure")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22.201418700000001</v>
      </c>
      <c r="M13" s="4">
        <v>71.772430045679954</v>
      </c>
      <c r="N13" s="4">
        <v>-0.54987519730485679</v>
      </c>
      <c r="O13" s="1" t="str">
        <f>HYPERLINK(".\sm_car_240930_1119\sm_car_240930_1119_012_Ca005TrN_MaLSS_ode23t.png","figure")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1184</v>
      </c>
      <c r="L14" s="4">
        <v>26.1836512</v>
      </c>
      <c r="M14" s="4">
        <v>233.02547177806287</v>
      </c>
      <c r="N14" s="4">
        <v>6.9600011097732825E-2</v>
      </c>
      <c r="O14" s="1" t="str">
        <f>HYPERLINK(".\sm_car_240930_1119\sm_car_240930_1119_013_Ca006TrN_MaWOT_ode23t.png","figure")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1261</v>
      </c>
      <c r="L15" s="4">
        <v>25.835456099999998</v>
      </c>
      <c r="M15" s="4">
        <v>71.753271431244158</v>
      </c>
      <c r="N15" s="4">
        <v>-0.54346454287154511</v>
      </c>
      <c r="O15" s="1" t="str">
        <f>HYPERLINK(".\sm_car_240930_1119\sm_car_240930_1119_014_Ca006TrN_MaLSS_ode23t.png","figure")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1149</v>
      </c>
      <c r="L16" s="4">
        <v>24.632766799999999</v>
      </c>
      <c r="M16" s="4">
        <v>232.45801498869611</v>
      </c>
      <c r="N16" s="4">
        <v>4.4917149007574216E-2</v>
      </c>
      <c r="O16" s="1" t="str">
        <f>HYPERLINK(".\sm_car_240930_1119\sm_car_240930_1119_015_Ca007TrN_MaWOT_ode23t.png","figure")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1255</v>
      </c>
      <c r="L17" s="4">
        <v>27.9895581</v>
      </c>
      <c r="M17" s="4">
        <v>71.633086143955524</v>
      </c>
      <c r="N17" s="4">
        <v>-0.53893115373512224</v>
      </c>
      <c r="O17" s="1" t="str">
        <f>HYPERLINK(".\sm_car_240930_1119\sm_car_240930_1119_016_Ca007TrN_MaLSS_ode23t.png","figure")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 s="4">
        <v>8.5576840000000001</v>
      </c>
      <c r="M18" s="4">
        <v>234.861558301169</v>
      </c>
      <c r="N18" s="4">
        <v>-6.9133047274948983E-2</v>
      </c>
      <c r="O18" s="1" t="str">
        <f>HYPERLINK(".\sm_car_240930_1119\sm_car_240930_1119_017_Ca016TrN_MaWOT_ode23t.png","figure")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 s="4">
        <v>9.3061696999999999</v>
      </c>
      <c r="M19" s="4">
        <v>72.417435753648007</v>
      </c>
      <c r="N19" s="4">
        <v>-2.1565190119023785E-2</v>
      </c>
      <c r="O19" s="1" t="str">
        <f>HYPERLINK(".\sm_car_240930_1119\sm_car_240930_1119_018_Ca016TrN_MaLSS_ode23t.png","figure")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 s="4">
        <v>12.0433743</v>
      </c>
      <c r="M20" s="4">
        <v>234.02584427601727</v>
      </c>
      <c r="N20" s="4">
        <v>1.9098876699802605E-2</v>
      </c>
      <c r="O20" s="1" t="str">
        <f>HYPERLINK(".\sm_car_240930_1119\sm_car_240930_1119_019_Ca032TrN_MaWOT_ode23t.png","figure")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 s="4">
        <v>13.4871619</v>
      </c>
      <c r="M21" s="4">
        <v>72.052393861855336</v>
      </c>
      <c r="N21" s="4">
        <v>-0.53471027573976815</v>
      </c>
      <c r="O21" s="1" t="str">
        <f>HYPERLINK(".\sm_car_240930_1119\sm_car_240930_1119_020_Ca032TrN_MaLSS_ode23t.png","figure")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13.320499999999999</v>
      </c>
      <c r="M22" s="4">
        <v>233.99499085730272</v>
      </c>
      <c r="N22" s="4">
        <v>-5.095612674170814E-3</v>
      </c>
      <c r="O22" s="1" t="str">
        <f>HYPERLINK(".\sm_car_240930_1119\sm_car_240930_1119_021_Ca048TrN_MaWOT_ode23t.png","figure")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 s="4">
        <v>13.886488399999999</v>
      </c>
      <c r="M23" s="4">
        <v>72.062587404640908</v>
      </c>
      <c r="N23" s="4">
        <v>-0.54384940195108167</v>
      </c>
      <c r="O23" s="1" t="str">
        <f>HYPERLINK(".\sm_car_240930_1119\sm_car_240930_1119_022_Ca048TrN_MaLSS_ode23t.png","figure")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13.303444199999999</v>
      </c>
      <c r="M24" s="4">
        <v>234.07990477936019</v>
      </c>
      <c r="N24" s="4">
        <v>2.1709090939130801E-2</v>
      </c>
      <c r="O24" s="1" t="str">
        <f>HYPERLINK(".\sm_car_240930_1119\sm_car_240930_1119_023_Ca064TrN_MaWOT_ode23t.png","figure")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 s="4">
        <v>14.953122499999999</v>
      </c>
      <c r="M25" s="4">
        <v>72.065466268796158</v>
      </c>
      <c r="N25" s="4">
        <v>-0.5298866515096996</v>
      </c>
      <c r="O25" s="1" t="str">
        <f>HYPERLINK(".\sm_car_240930_1119\sm_car_240930_1119_024_Ca064TrN_MaLSS_ode23t.png","figure")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 s="4">
        <v>13.237237</v>
      </c>
      <c r="M26" s="4">
        <v>234.14302112150185</v>
      </c>
      <c r="N26" s="4">
        <v>-5.5194299463859802E-3</v>
      </c>
      <c r="O26" s="1" t="str">
        <f>HYPERLINK(".\sm_car_240930_1119\sm_car_240930_1119_025_Ca080TrN_MaWOT_ode23t.png","figure")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 s="4">
        <v>13.923110599999999</v>
      </c>
      <c r="M27" s="4">
        <v>72.116557424787871</v>
      </c>
      <c r="N27" s="4">
        <v>-0.53585131896930283</v>
      </c>
      <c r="O27" s="1" t="str">
        <f>HYPERLINK(".\sm_car_240930_1119\sm_car_240930_1119_026_Ca080TrN_MaLSS_ode23t.png","figure")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 s="4">
        <v>9.7087295999999998</v>
      </c>
      <c r="M28" s="4">
        <v>236.0707856015506</v>
      </c>
      <c r="N28" s="4">
        <v>3.1039756642365149E-2</v>
      </c>
      <c r="O28" s="1" t="str">
        <f>HYPERLINK(".\sm_car_240930_1119\sm_car_240930_1119_027_Ca096TrN_MaWOT_ode23t.png","figure")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 s="4">
        <v>11.7423929</v>
      </c>
      <c r="M29" s="4">
        <v>72.654749086232471</v>
      </c>
      <c r="N29" s="4">
        <v>-0.54208042426134073</v>
      </c>
      <c r="O29" s="1" t="str">
        <f>HYPERLINK(".\sm_car_240930_1119\sm_car_240930_1119_028_Ca096TrN_MaLSS_ode23t.png","figure")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 s="4">
        <v>4.0244055000000003</v>
      </c>
      <c r="M30" s="4">
        <v>242.6347610154539</v>
      </c>
      <c r="N30" s="4">
        <v>0.23238227743443512</v>
      </c>
      <c r="O30" s="1" t="str">
        <f>HYPERLINK(".\sm_car_240930_1119\sm_car_240930_1119_029_Ca112TrN_MaWOT_ode23t.png","figure")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 s="4">
        <v>4.4888333999999999</v>
      </c>
      <c r="M31" s="4">
        <v>74.658737205363408</v>
      </c>
      <c r="N31" s="4">
        <v>-0.33759900566581796</v>
      </c>
      <c r="O31" s="1" t="str">
        <f>HYPERLINK(".\sm_car_240930_1119\sm_car_240930_1119_030_Ca112TrN_MaLSS_ode23t.png","figure")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4.7770048999999997</v>
      </c>
      <c r="M32" s="4">
        <v>241.66595681447339</v>
      </c>
      <c r="N32" s="4">
        <v>0.22678465252334948</v>
      </c>
      <c r="O32" s="1" t="str">
        <f>HYPERLINK(".\sm_car_240930_1119\sm_car_240930_1119_031_Ca113TrN_MaWOT_ode23t.png","figure")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 s="4">
        <v>5.6744751000000004</v>
      </c>
      <c r="M33" s="4">
        <v>74.35258302966588</v>
      </c>
      <c r="N33" s="4">
        <v>-0.32867165610372456</v>
      </c>
      <c r="O33" s="1" t="str">
        <f>HYPERLINK(".\sm_car_240930_1119\sm_car_240930_1119_032_Ca113TrN_MaLSS_ode23t.png","figure")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378</v>
      </c>
      <c r="L34" s="4">
        <v>5.2097094999999998</v>
      </c>
      <c r="M34" s="4">
        <v>241.64502260539703</v>
      </c>
      <c r="N34" s="4">
        <v>0.22848272760716321</v>
      </c>
      <c r="O34" s="1" t="str">
        <f>HYPERLINK(".\sm_car_240930_1119\sm_car_240930_1119_033_Ca114TrN_MaWOT_ode23t.png","figure")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5.4270687999999998</v>
      </c>
      <c r="M35" s="4">
        <v>74.356920756212176</v>
      </c>
      <c r="N35" s="4">
        <v>-0.33304433514489173</v>
      </c>
      <c r="O35" s="1" t="str">
        <f>HYPERLINK(".\sm_car_240930_1119\sm_car_240930_1119_034_Ca114TrN_MaLSS_ode23t.png","figure")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400</v>
      </c>
      <c r="L36" s="4">
        <v>5.3498691000000003</v>
      </c>
      <c r="M36" s="4">
        <v>241.12752967081565</v>
      </c>
      <c r="N36" s="4">
        <v>0.22727424029065113</v>
      </c>
      <c r="O36" s="1" t="str">
        <f>HYPERLINK(".\sm_car_240930_1119\sm_car_240930_1119_035_Ca115TrN_MaWOT_ode23t.png","figure")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514</v>
      </c>
      <c r="L37" s="4">
        <v>5.5946555</v>
      </c>
      <c r="M37" s="4">
        <v>74.210810003060075</v>
      </c>
      <c r="N37" s="4">
        <v>-0.33418355896123292</v>
      </c>
      <c r="O37" s="1" t="str">
        <f>HYPERLINK(".\sm_car_240930_1119\sm_car_240930_1119_036_Ca115TrN_MaLSS_ode23t.png","figure")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 s="4">
        <v>7.2013280000000002</v>
      </c>
      <c r="M38" s="4">
        <v>242.46516627962953</v>
      </c>
      <c r="N38" s="4">
        <v>0.23355639756178012</v>
      </c>
      <c r="O38" s="1" t="str">
        <f>HYPERLINK(".\sm_car_240930_1119\sm_car_240930_1119_037_Ca116TrN_MaWOT_ode23t.png","figure")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 s="4">
        <v>7.7709742000000004</v>
      </c>
      <c r="M39" s="4">
        <v>74.66020533823469</v>
      </c>
      <c r="N39" s="4">
        <v>-0.34093339804314021</v>
      </c>
      <c r="O39" s="1" t="str">
        <f>HYPERLINK(".\sm_car_240930_1119\sm_car_240930_1119_038_Ca116TrN_MaLSS_ode23t.png","figure")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 s="4">
        <v>8.0013269000000005</v>
      </c>
      <c r="M40" s="4">
        <v>241.660793294575</v>
      </c>
      <c r="N40" s="4">
        <v>0.22795467749314724</v>
      </c>
      <c r="O40" s="1" t="str">
        <f>HYPERLINK(".\sm_car_240930_1119\sm_car_240930_1119_039_Ca117TrN_MaWOT_ode23t.png","figure")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9.2039901999999998</v>
      </c>
      <c r="M41" s="4">
        <v>74.349120772090018</v>
      </c>
      <c r="N41" s="4">
        <v>-0.33486834782945007</v>
      </c>
      <c r="O41" s="1" t="str">
        <f>HYPERLINK(".\sm_car_240930_1119\sm_car_240930_1119_040_Ca117TrN_MaLSS_ode23t.png","figure")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947</v>
      </c>
      <c r="L42" s="4">
        <v>8.4761138999999996</v>
      </c>
      <c r="M42" s="4">
        <v>241.37675448675455</v>
      </c>
      <c r="N42" s="4">
        <v>0.22794119810278904</v>
      </c>
      <c r="O42" s="1" t="str">
        <f>HYPERLINK(".\sm_car_240930_1119\sm_car_240930_1119_041_Ca118TrN_MaWOT_ode23t.png","figure")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1073</v>
      </c>
      <c r="L43" s="4">
        <v>9.9531234000000008</v>
      </c>
      <c r="M43" s="4">
        <v>74.339421454790141</v>
      </c>
      <c r="N43" s="4">
        <v>-0.33474132199193057</v>
      </c>
      <c r="O43" s="1" t="str">
        <f>HYPERLINK(".\sm_car_240930_1119\sm_car_240930_1119_042_Ca118TrN_MaLSS_ode23t.png","figure")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8.5034256999999993</v>
      </c>
      <c r="M44" s="4">
        <v>241.02385446767263</v>
      </c>
      <c r="N44" s="4">
        <v>0.22516127208946926</v>
      </c>
      <c r="O44" s="1" t="str">
        <f>HYPERLINK(".\sm_car_240930_1119\sm_car_240930_1119_043_Ca119TrN_MaWOT_ode23t.png","figure")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1095</v>
      </c>
      <c r="L45" s="4">
        <v>9.4408177999999996</v>
      </c>
      <c r="M45" s="4">
        <v>74.203595256818872</v>
      </c>
      <c r="N45" s="4">
        <v>-0.33274068668602785</v>
      </c>
      <c r="O45" s="1" t="str">
        <f>HYPERLINK(".\sm_car_240930_1119\sm_car_240930_1119_044_Ca119TrN_MaLSS_ode23t.png","figure")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403</v>
      </c>
      <c r="L46" s="4">
        <v>21.217294899999999</v>
      </c>
      <c r="M46" s="4">
        <v>100.86930806126598</v>
      </c>
      <c r="N46" s="4">
        <v>-1.4855941161444307E-2</v>
      </c>
      <c r="O46" s="1" t="str">
        <f>HYPERLINK(".\sm_car_240930_1119\sm_car_240930_1119_045_Ca128TrN_MaWOT_ode23t.png","figure")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486</v>
      </c>
      <c r="L47" s="4">
        <v>21.370766499999998</v>
      </c>
      <c r="M47" s="4">
        <v>37.314014043601027</v>
      </c>
      <c r="N47" s="4">
        <v>-0.13802261927627205</v>
      </c>
      <c r="O47" s="1" t="str">
        <f>HYPERLINK(".\sm_car_240930_1119\sm_car_240930_1119_046_Ca128TrN_MaLSS_ode23t.png","figure")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410</v>
      </c>
      <c r="L48" s="4">
        <v>21.277830099999999</v>
      </c>
      <c r="M48" s="4">
        <v>232.15670563829335</v>
      </c>
      <c r="N48" s="4">
        <v>7.9877065821775159E-2</v>
      </c>
      <c r="O48" s="1" t="str">
        <f>HYPERLINK(".\sm_car_240930_1119\sm_car_240930_1119_047_Ca129TrN_MaWOT_ode23t.png","figure")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503</v>
      </c>
      <c r="L49" s="4">
        <v>20.742738200000002</v>
      </c>
      <c r="M49" s="4">
        <v>71.506230144233299</v>
      </c>
      <c r="N49" s="4">
        <v>-0.54042703011601334</v>
      </c>
      <c r="O49" s="1" t="str">
        <f>HYPERLINK(".\sm_car_240930_1119\sm_car_240930_1119_048_Ca129TrN_MaLSS_ode23t.png","figure")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790</v>
      </c>
      <c r="L50" s="4">
        <v>35.875935499999997</v>
      </c>
      <c r="M50" s="4">
        <v>220.21056239492768</v>
      </c>
      <c r="N50" s="4">
        <v>-1.468088523073807</v>
      </c>
      <c r="O50" s="1" t="str">
        <f>HYPERLINK(".\sm_car_240930_1119\sm_car_240930_1119_049_Ca130TrN_MaWOT_ode23t.png","figure")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788</v>
      </c>
      <c r="L51" s="4">
        <v>33.883412800000002</v>
      </c>
      <c r="M51" s="4">
        <v>69.56727847054951</v>
      </c>
      <c r="N51" s="4">
        <v>-0.5536144740399086</v>
      </c>
      <c r="O51" s="1" t="str">
        <f>HYPERLINK(".\sm_car_240930_1119\sm_car_240930_1119_050_Ca130TrN_MaLSS_ode23t.png","figure")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588</v>
      </c>
      <c r="L52" s="4">
        <v>22.055301199999999</v>
      </c>
      <c r="M52" s="4">
        <v>177.44597048564043</v>
      </c>
      <c r="N52" s="4">
        <v>-5.9364887226009451</v>
      </c>
      <c r="O52" s="1" t="str">
        <f>HYPERLINK(".\sm_car_240930_1119\sm_car_240930_1119_051_Ca131TrN_MaWOT_ode23t.png","figure")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17.8601408</v>
      </c>
      <c r="M53" s="4">
        <v>37.425794686606217</v>
      </c>
      <c r="N53" s="4">
        <v>-0.16675421557415626</v>
      </c>
      <c r="O53" s="1" t="str">
        <f>HYPERLINK(".\sm_car_240930_1119\sm_car_240930_1119_052_Ca131TrN_MaLSS_ode23t.png","figure")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 s="4">
        <v>12.6536303</v>
      </c>
      <c r="M54" s="4">
        <v>231.91246667211189</v>
      </c>
      <c r="N54" s="4">
        <v>3.339796085426977E-2</v>
      </c>
      <c r="O54" s="1" t="str">
        <f>HYPERLINK(".\sm_car_240930_1119\sm_car_240930_1119_053_Ca132TrN_MaWOT_ode23t.png","figure")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524</v>
      </c>
      <c r="L55" s="4">
        <v>15.282531799999999</v>
      </c>
      <c r="M55" s="4">
        <v>71.222568397319804</v>
      </c>
      <c r="N55" s="4">
        <v>-0.52798020784827893</v>
      </c>
      <c r="O55" s="1" t="str">
        <f>HYPERLINK(".\sm_car_240930_1119\sm_car_240930_1119_054_Ca132TrN_MaLSS_ode23t.png","figure")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391</v>
      </c>
      <c r="L56" s="4">
        <v>11.4772114</v>
      </c>
      <c r="M56" s="4">
        <v>233.02434143111248</v>
      </c>
      <c r="N56" s="4">
        <v>-1.0918497815023576E-3</v>
      </c>
      <c r="O56" s="1" t="str">
        <f>HYPERLINK(".\sm_car_240930_1119\sm_car_240930_1119_055_Ca133TrN_MaWOT_ode23t.png","figure")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507</v>
      </c>
      <c r="L57" s="4">
        <v>13.8540288</v>
      </c>
      <c r="M57" s="4">
        <v>71.758682432408492</v>
      </c>
      <c r="N57" s="4">
        <v>-0.54700547920929332</v>
      </c>
      <c r="O57" s="1" t="str">
        <f>HYPERLINK(".\sm_car_240930_1119\sm_car_240930_1119_056_Ca133TrN_MaLSS_ode23t.png","figure")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367</v>
      </c>
      <c r="L58" s="4">
        <v>11.921271900000001</v>
      </c>
      <c r="M58" s="4">
        <v>233.03586542650788</v>
      </c>
      <c r="N58" s="4">
        <v>8.305067896391935E-4</v>
      </c>
      <c r="O58" s="1" t="str">
        <f>HYPERLINK(".\sm_car_240930_1119\sm_car_240930_1119_057_Ca134TrN_MaWOT_ode23t.png","figure")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490</v>
      </c>
      <c r="L59" s="4">
        <v>14.069755600000001</v>
      </c>
      <c r="M59" s="4">
        <v>71.761747334788367</v>
      </c>
      <c r="N59" s="4">
        <v>-0.54745083199521971</v>
      </c>
      <c r="O59" s="1" t="str">
        <f>HYPERLINK(".\sm_car_240930_1119\sm_car_240930_1119_058_Ca134TrN_MaLSS_ode23t.png","figure")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384</v>
      </c>
      <c r="L60" s="4">
        <v>12.090723499999999</v>
      </c>
      <c r="M60" s="4">
        <v>233.00883025472643</v>
      </c>
      <c r="N60" s="4">
        <v>7.1524726942642596E-4</v>
      </c>
      <c r="O60" s="1" t="str">
        <f>HYPERLINK(".\sm_car_240930_1119\sm_car_240930_1119_059_Ca135TrN_MaWOT_ode23t.png","figure")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515</v>
      </c>
      <c r="L61" s="4">
        <v>13.360745700000001</v>
      </c>
      <c r="M61" s="4">
        <v>71.766424124983672</v>
      </c>
      <c r="N61" s="4">
        <v>-0.54592198793265156</v>
      </c>
      <c r="O61" s="1" t="str">
        <f>HYPERLINK(".\sm_car_240930_1119\sm_car_240930_1119_060_Ca135TrN_MaLSS_ode23t.png","figure")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18.435889299999999</v>
      </c>
      <c r="M62" s="4">
        <v>233.12125034284918</v>
      </c>
      <c r="N62" s="4">
        <v>5.8586609603155815E-2</v>
      </c>
      <c r="O62" s="1" t="str">
        <f>HYPERLINK(".\sm_car_240930_1119\sm_car_240930_1119_061_Ca136TrN_MaWOT_ode23t.png","figure")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 s="4">
        <v>19.609515500000001</v>
      </c>
      <c r="M63" s="4">
        <v>71.766903863444796</v>
      </c>
      <c r="N63" s="4">
        <v>-0.54424914676468927</v>
      </c>
      <c r="O63" s="1" t="str">
        <f>HYPERLINK(".\sm_car_240930_1119\sm_car_240930_1119_062_Ca136TrN_MaLSS_ode23t.png","figure")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4">
        <v>10.472629599999999</v>
      </c>
      <c r="M64" s="4">
        <v>233.54192661676061</v>
      </c>
      <c r="N64" s="4">
        <v>0.14289264090421597</v>
      </c>
      <c r="O64" s="1" t="str">
        <f>HYPERLINK(".\sm_car_240930_1119\sm_car_240930_1119_063_Ca137TrN_MaWOT_ode23t.png","figure")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13.3784768</v>
      </c>
      <c r="M65" s="4">
        <v>71.797656756031969</v>
      </c>
      <c r="N65" s="4">
        <v>-0.50256499105439056</v>
      </c>
      <c r="O65" s="1" t="str">
        <f>HYPERLINK(".\sm_car_240930_1119\sm_car_240930_1119_064_Ca137TrN_MaLSS_ode23t.png","figure")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 s="4">
        <v>14.457337799999999</v>
      </c>
      <c r="M66" s="4">
        <v>233.56809394111403</v>
      </c>
      <c r="N66" s="4">
        <v>0.15369149180942226</v>
      </c>
      <c r="O66" s="1" t="str">
        <f>HYPERLINK(".\sm_car_240930_1119\sm_car_240930_1119_065_Ca138TrN_MaWOT_ode23t.png","figure")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 s="4">
        <v>15.0628981</v>
      </c>
      <c r="M67" s="4">
        <v>71.66114414313968</v>
      </c>
      <c r="N67" s="4">
        <v>-0.82735748055790193</v>
      </c>
      <c r="O67" s="1" t="str">
        <f>HYPERLINK(".\sm_car_240930_1119\sm_car_240930_1119_066_Ca138TrN_MaLSS_ode23t.png","figure")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473</v>
      </c>
      <c r="L68" s="4">
        <v>26.3716401</v>
      </c>
      <c r="M68" s="4">
        <v>411.55901278403769</v>
      </c>
      <c r="N68" s="4">
        <v>1.5290394541661705</v>
      </c>
      <c r="O68" s="1" t="str">
        <f>HYPERLINK(".\sm_car_240930_1119\sm_car_240930_1119_067_Ca139TrN_MaWOT_ode23t.png","figure")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554</v>
      </c>
      <c r="L69" s="4">
        <v>15.9305561</v>
      </c>
      <c r="M69" s="4">
        <v>157.2364546672739</v>
      </c>
      <c r="N69" s="4">
        <v>-0.56724484919864449</v>
      </c>
      <c r="O69" s="1" t="str">
        <f>HYPERLINK(".\sm_car_240930_1119\sm_car_240930_1119_068_Ca139TrN_MaLSS_ode23t.png","figure")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1665</v>
      </c>
      <c r="L70" s="4">
        <v>33.281168299999997</v>
      </c>
      <c r="M70" s="4">
        <v>411.66128851709988</v>
      </c>
      <c r="N70" s="4">
        <v>1.5513660651418055</v>
      </c>
      <c r="O70" s="1" t="str">
        <f>HYPERLINK(".\sm_car_240930_1119\sm_car_240930_1119_069_Ca141TrN_MaWOT_ode23t.png","figure")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1695</v>
      </c>
      <c r="L71" s="4">
        <v>26.368249500000001</v>
      </c>
      <c r="M71" s="4">
        <v>157.30748799429315</v>
      </c>
      <c r="N71" s="4">
        <v>-0.54325651211923487</v>
      </c>
      <c r="O71" s="1" t="str">
        <f>HYPERLINK(".\sm_car_240930_1119\sm_car_240930_1119_070_Ca141TrN_MaLSS_ode23t.png","figure")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342</v>
      </c>
      <c r="L72" s="4">
        <v>24.5050797</v>
      </c>
      <c r="M72" s="4">
        <v>96.663700799913457</v>
      </c>
      <c r="N72" s="4">
        <v>-4.2051776922115668E-2</v>
      </c>
      <c r="O72" s="1" t="str">
        <f>HYPERLINK(".\sm_car_240930_1119\sm_car_240930_1119_071_Ca143TrN_MaWOT_ode23t.png","figure")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464</v>
      </c>
      <c r="L73" s="4">
        <v>26.7233579</v>
      </c>
      <c r="M73" s="4">
        <v>25.169046421467492</v>
      </c>
      <c r="N73" s="4">
        <v>-5.4846838475871573E-2</v>
      </c>
      <c r="O73" s="1" t="str">
        <f>HYPERLINK(".\sm_car_240930_1119\sm_car_240930_1119_072_Ca143TrN_MaLSS_ode23t.png","figure")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331</v>
      </c>
      <c r="L74" s="4">
        <v>16.816337600000001</v>
      </c>
      <c r="M74" s="4">
        <v>115.11955138616108</v>
      </c>
      <c r="N74" s="4">
        <v>0.53239966064873878</v>
      </c>
      <c r="O74" s="1" t="str">
        <f>HYPERLINK(".\sm_car_240930_1119\sm_car_240930_1119_073_Ca144TrN_MaWOT_ode23t.png","figure")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457</v>
      </c>
      <c r="L75" s="4">
        <v>17.077208599999999</v>
      </c>
      <c r="M75" s="4">
        <v>35.861014778480005</v>
      </c>
      <c r="N75" s="4">
        <v>-3.5324008466584247E-2</v>
      </c>
      <c r="O75" s="1" t="str">
        <f>HYPERLINK(".\sm_car_240930_1119\sm_car_240930_1119_074_Ca144TrN_MaLSS_ode23t.png","figure")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2390</v>
      </c>
      <c r="L76" s="4">
        <v>33.387346100000002</v>
      </c>
      <c r="M76" s="4">
        <v>401.13532859414261</v>
      </c>
      <c r="N76" s="4">
        <v>-66.564074082518957</v>
      </c>
      <c r="O76" s="1" t="str">
        <f>HYPERLINK(".\sm_car_240930_1119\sm_car_240930_1119_075_Ca147TrN_MaWOT_ode23t.png","figure")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1261</v>
      </c>
      <c r="L77" s="4">
        <v>22.852929499999998</v>
      </c>
      <c r="M77" s="4">
        <v>155.47063386926305</v>
      </c>
      <c r="N77" s="4">
        <v>-2.7149896556548523</v>
      </c>
      <c r="O77" s="1" t="str">
        <f>HYPERLINK(".\sm_car_240930_1119\sm_car_240930_1119_076_Ca147TrN_MaLSS_ode23t.png","figure")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 s="4">
        <v>32.093717699999999</v>
      </c>
      <c r="M78" s="4">
        <v>184.55649445622737</v>
      </c>
      <c r="N78" s="4">
        <v>-1.6220980619849131E-3</v>
      </c>
      <c r="O78" s="1" t="str">
        <f>HYPERLINK(".\sm_car_240930_1119\sm_car_240930_1119_077_Ca183TrN_MaWOT_ode23t.png","figure")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 s="4">
        <v>38.193732099999998</v>
      </c>
      <c r="M79" s="4">
        <v>57.652264303491805</v>
      </c>
      <c r="N79" s="4">
        <v>9.5090308782148095E-2</v>
      </c>
      <c r="O79" s="1" t="str">
        <f>HYPERLINK(".\sm_car_240930_1119\sm_car_240930_1119_078_Ca183TrN_MaLSS_ode23t.png","figure")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15.946654300000001</v>
      </c>
      <c r="M80" s="4">
        <v>233.91179213146418</v>
      </c>
      <c r="N80" s="4">
        <v>9.2316217452707554E-3</v>
      </c>
      <c r="O80" s="1" t="str">
        <f>HYPERLINK(".\sm_car_240930_1119\sm_car_240930_1119_079_Ca008TrN_MaWOT_ode23t_1.png","figure")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19.4783629</v>
      </c>
      <c r="M81" s="4">
        <v>72.061196180369066</v>
      </c>
      <c r="N81" s="4">
        <v>-0.54985421126536338</v>
      </c>
      <c r="O81" s="1" t="str">
        <f>HYPERLINK(".\sm_car_240930_1119\sm_car_240930_1119_080_Ca008TrN_MaLSS_ode23t_1.png","figure")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 s="4">
        <v>18.187505900000001</v>
      </c>
      <c r="M82" s="4">
        <v>233.11899208289591</v>
      </c>
      <c r="N82" s="4">
        <v>1.0382755986476247E-3</v>
      </c>
      <c r="O82" s="1" t="str">
        <f>HYPERLINK(".\sm_car_240930_1119\sm_car_240930_1119_081_Ca009TrN_MaWOT_ode23t_1.png","figure")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 s="4">
        <v>21.7678583</v>
      </c>
      <c r="M83" s="4">
        <v>71.7737461902597</v>
      </c>
      <c r="N83" s="4">
        <v>-0.54069885906190351</v>
      </c>
      <c r="O83" s="1" t="str">
        <f>HYPERLINK(".\sm_car_240930_1119\sm_car_240930_1119_082_Ca009TrN_MaLSS_ode23t_1.png","figure")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 s="4">
        <v>20.585697400000001</v>
      </c>
      <c r="M84" s="4">
        <v>232.79255592639782</v>
      </c>
      <c r="N84" s="4">
        <v>6.9445632170213711E-2</v>
      </c>
      <c r="O84" s="1" t="str">
        <f>HYPERLINK(".\sm_car_240930_1119\sm_car_240930_1119_083_Ca010TrN_MaWOT_ode23t_1.png","figure")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547</v>
      </c>
      <c r="L85" s="4">
        <v>25.9319411</v>
      </c>
      <c r="M85" s="4">
        <v>71.766582485456453</v>
      </c>
      <c r="N85" s="4">
        <v>-0.53934151528744922</v>
      </c>
      <c r="O85" s="1" t="str">
        <f>HYPERLINK(".\sm_car_240930_1119\sm_car_240930_1119_084_Ca010TrN_MaLSS_ode23t_1.png","figure")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21.3863108</v>
      </c>
      <c r="M86" s="4">
        <v>232.57945992270939</v>
      </c>
      <c r="N86" s="4">
        <v>6.7143553702427583E-2</v>
      </c>
      <c r="O86" s="1" t="str">
        <f>HYPERLINK(".\sm_car_240930_1119\sm_car_240930_1119_085_Ca011TrN_MaWOT_ode23t_1.png","figure")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25.8609543</v>
      </c>
      <c r="M87" s="4">
        <v>71.63413048937511</v>
      </c>
      <c r="N87" s="4">
        <v>-0.53441741191589098</v>
      </c>
      <c r="O87" s="1" t="str">
        <f>HYPERLINK(".\sm_car_240930_1119\sm_car_240930_1119_086_Ca011TrN_MaLSS_ode23t_1.png","figure")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18.571113100000002</v>
      </c>
      <c r="M88" s="4">
        <v>234.07916109187821</v>
      </c>
      <c r="N88" s="4">
        <v>9.9313976732652576E-3</v>
      </c>
      <c r="O88" s="1" t="str">
        <f>HYPERLINK(".\sm_car_240930_1119\sm_car_240930_1119_087_Ca012TrN_MaWOT_ode23t_1.png","figure")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 s="4">
        <v>20.556406800000001</v>
      </c>
      <c r="M89" s="4">
        <v>72.056643652602361</v>
      </c>
      <c r="N89" s="4">
        <v>-0.55812743815189014</v>
      </c>
      <c r="O89" s="1" t="str">
        <f>HYPERLINK(".\sm_car_240930_1119\sm_car_240930_1119_088_Ca012TrN_MaLSS_ode23t_1.png","figure")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 s="4">
        <v>20.506170900000001</v>
      </c>
      <c r="M90" s="4">
        <v>233.0528199263681</v>
      </c>
      <c r="N90" s="4">
        <v>1.5169706731430498E-3</v>
      </c>
      <c r="O90" s="1" t="str">
        <f>HYPERLINK(".\sm_car_240930_1119\sm_car_240930_1119_089_Ca013TrN_MaWOT_ode23t_1.png","figure")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 s="4">
        <v>24.203339199999998</v>
      </c>
      <c r="M91" s="4">
        <v>71.762483661602303</v>
      </c>
      <c r="N91" s="4">
        <v>-0.55093590847012464</v>
      </c>
      <c r="O91" s="1" t="str">
        <f>HYPERLINK(".\sm_car_240930_1119\sm_car_240930_1119_090_Ca013TrN_MaLSS_ode23t_1.png","figure")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857</v>
      </c>
      <c r="L92" s="4">
        <v>18.842726599999999</v>
      </c>
      <c r="M92" s="4">
        <v>232.90465609791562</v>
      </c>
      <c r="N92" s="4">
        <v>6.998356572550346E-2</v>
      </c>
      <c r="O92" s="1" t="str">
        <f>HYPERLINK(".\sm_car_240930_1119\sm_car_240930_1119_091_Ca014TrN_MaWOT_ode23t_1.png","figure")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25.014112699999998</v>
      </c>
      <c r="M93" s="4">
        <v>71.766776259178201</v>
      </c>
      <c r="N93" s="4">
        <v>-0.54437020635539635</v>
      </c>
      <c r="O93" s="1" t="str">
        <f>HYPERLINK(".\sm_car_240930_1119\sm_car_240930_1119_092_Ca014TrN_MaLSS_ode23t_1.png","figure")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21.702279900000001</v>
      </c>
      <c r="M94" s="4">
        <v>232.2921149656751</v>
      </c>
      <c r="N94" s="4">
        <v>6.6937717999804885E-2</v>
      </c>
      <c r="O94" s="1" t="str">
        <f>HYPERLINK(".\sm_car_240930_1119\sm_car_240930_1119_093_Ca015TrN_MaWOT_ode23t_1.png","figure")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1025</v>
      </c>
      <c r="L95" s="4">
        <v>27.209237600000002</v>
      </c>
      <c r="M95" s="4">
        <v>71.62512871550031</v>
      </c>
      <c r="N95" s="4">
        <v>-0.54536077794517346</v>
      </c>
      <c r="O95" s="1" t="str">
        <f>HYPERLINK(".\sm_car_240930_1119\sm_car_240930_1119_094_Ca015TrN_MaLSS_ode23t_1.png","figure")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 s="4">
        <v>5.6633870000000002</v>
      </c>
      <c r="M96" s="4">
        <v>242.70172474205535</v>
      </c>
      <c r="N96" s="4">
        <v>0.23218529214587894</v>
      </c>
      <c r="O96" s="1" t="str">
        <f>HYPERLINK(".\sm_car_240930_1119\sm_car_240930_1119_095_Ca120TrN_MaWOT_ode23t_1.png","figure")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 s="4">
        <v>6.1575911999999997</v>
      </c>
      <c r="M97" s="4">
        <v>74.685134429266526</v>
      </c>
      <c r="N97" s="4">
        <v>-0.33779887211627302</v>
      </c>
      <c r="O97" s="1" t="str">
        <f>HYPERLINK(".\sm_car_240930_1119\sm_car_240930_1119_096_Ca120TrN_MaLSS_ode23t_1.png","figure")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 s="4">
        <v>6.5494177000000002</v>
      </c>
      <c r="M98" s="4">
        <v>241.5143726318114</v>
      </c>
      <c r="N98" s="4">
        <v>0.22862728605053528</v>
      </c>
      <c r="O98" s="1" t="str">
        <f>HYPERLINK(".\sm_car_240930_1119\sm_car_240930_1119_097_Ca121TrN_MaWOT_ode23t_1.png","figure")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4">
        <v>7.2960805999999998</v>
      </c>
      <c r="M99" s="4">
        <v>74.365125365938397</v>
      </c>
      <c r="N99" s="4">
        <v>-0.33361272533874831</v>
      </c>
      <c r="O99" s="1" t="str">
        <f>HYPERLINK(".\sm_car_240930_1119\sm_car_240930_1119_098_Ca121TrN_MaLSS_ode23t_1.png","figure")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415</v>
      </c>
      <c r="L100" s="4">
        <v>7.1666216</v>
      </c>
      <c r="M100" s="4">
        <v>241.66164005606853</v>
      </c>
      <c r="N100" s="4">
        <v>0.22856611177629868</v>
      </c>
      <c r="O100" s="1" t="str">
        <f>HYPERLINK(".\sm_car_240930_1119\sm_car_240930_1119_099_Ca122TrN_MaWOT_ode23t_1.png","figure")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517</v>
      </c>
      <c r="L101" s="4">
        <v>7.6518854000000003</v>
      </c>
      <c r="M101" s="4">
        <v>74.368711420195567</v>
      </c>
      <c r="N101" s="4">
        <v>-0.32513348402756465</v>
      </c>
      <c r="O101" s="1" t="str">
        <f>HYPERLINK(".\sm_car_240930_1119\sm_car_240930_1119_100_Ca122TrN_MaLSS_ode23t_1.png","figure")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430</v>
      </c>
      <c r="L102" s="4">
        <v>7.1562950000000001</v>
      </c>
      <c r="M102" s="4">
        <v>241.05199379533013</v>
      </c>
      <c r="N102" s="4">
        <v>0.22632130622445654</v>
      </c>
      <c r="O102" s="1" t="str">
        <f>HYPERLINK(".\sm_car_240930_1119\sm_car_240930_1119_101_Ca123TrN_MaWOT_ode23t_1.png","figure")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528</v>
      </c>
      <c r="L103" s="4">
        <v>7.9866770999999996</v>
      </c>
      <c r="M103" s="4">
        <v>74.224274542720465</v>
      </c>
      <c r="N103" s="4">
        <v>-0.33249183348567796</v>
      </c>
      <c r="O103" s="1" t="str">
        <f>HYPERLINK(".\sm_car_240930_1119\sm_car_240930_1119_102_Ca123TrN_MaLSS_ode23t_1.png","figure")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 s="4">
        <v>7.0491251999999998</v>
      </c>
      <c r="M104" s="4">
        <v>242.6893144756805</v>
      </c>
      <c r="N104" s="4">
        <v>0.23310540984260625</v>
      </c>
      <c r="O104" s="1" t="str">
        <f>HYPERLINK(".\sm_car_240930_1119\sm_car_240930_1119_103_Ca124TrN_MaWOT_ode23t_1.png","figure")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7.5389967000000002</v>
      </c>
      <c r="M105" s="4">
        <v>74.66272961840248</v>
      </c>
      <c r="N105" s="4">
        <v>-0.34153787092137572</v>
      </c>
      <c r="O105" s="1" t="str">
        <f>HYPERLINK(".\sm_car_240930_1119\sm_car_240930_1119_104_Ca124TrN_MaLSS_ode23t_1.png","figure")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 s="4">
        <v>7.7935588999999998</v>
      </c>
      <c r="M106" s="4">
        <v>241.62988721202183</v>
      </c>
      <c r="N106" s="4">
        <v>0.22963875610615478</v>
      </c>
      <c r="O106" s="1" t="str">
        <f>HYPERLINK(".\sm_car_240930_1119\sm_car_240930_1119_105_Ca125TrN_MaWOT_ode23t_1.png","figure")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 s="4">
        <v>9.0626434000000007</v>
      </c>
      <c r="M107" s="4">
        <v>74.343140204375246</v>
      </c>
      <c r="N107" s="4">
        <v>-0.33759258902252826</v>
      </c>
      <c r="O107" s="1" t="str">
        <f>HYPERLINK(".\sm_car_240930_1119\sm_car_240930_1119_106_Ca125TrN_MaLSS_ode23t_1.png","figure")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 s="4">
        <v>8.3866175999999992</v>
      </c>
      <c r="M108" s="4">
        <v>241.67698907037897</v>
      </c>
      <c r="N108" s="4">
        <v>0.22970605369639702</v>
      </c>
      <c r="O108" s="1" t="str">
        <f>HYPERLINK(".\sm_car_240930_1119\sm_car_240930_1119_107_Ca126TrN_MaWOT_ode23t_1.png","figure")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9.9351637000000004</v>
      </c>
      <c r="M109" s="4">
        <v>74.345669804845159</v>
      </c>
      <c r="N109" s="4">
        <v>-0.33709944949486353</v>
      </c>
      <c r="O109" s="1" t="str">
        <f>HYPERLINK(".\sm_car_240930_1119\sm_car_240930_1119_108_Ca126TrN_MaLSS_ode23t_1.png","figure")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1054</v>
      </c>
      <c r="L110" s="4">
        <v>9.1840329999999994</v>
      </c>
      <c r="M110" s="4">
        <v>241.0760444074788</v>
      </c>
      <c r="N110" s="4">
        <v>0.22859326637382041</v>
      </c>
      <c r="O110" s="1" t="str">
        <f>HYPERLINK(".\sm_car_240930_1119\sm_car_240930_1119_109_Ca127TrN_MaWOT_ode23t_1.png","figure")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1157</v>
      </c>
      <c r="L111" s="4">
        <v>10.129682600000001</v>
      </c>
      <c r="M111" s="4">
        <v>74.198096920355738</v>
      </c>
      <c r="N111" s="4">
        <v>-0.33384949360960703</v>
      </c>
      <c r="O111" s="1" t="str">
        <f>HYPERLINK(".\sm_car_240930_1119\sm_car_240930_1119_110_Ca127TrN_MaLSS_ode23t_1.png","figure")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449</v>
      </c>
      <c r="L112" s="4">
        <v>26.710343699999999</v>
      </c>
      <c r="M112" s="4">
        <v>411.42292058095654</v>
      </c>
      <c r="N112" s="4">
        <v>1.5735214053945898</v>
      </c>
      <c r="O112" s="1" t="str">
        <f>HYPERLINK(".\sm_car_240930_1119\sm_car_240930_1119_111_Ca140TrN_MaWOT_ode23t_1.png","figure")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559</v>
      </c>
      <c r="L113" s="4">
        <v>22.1192384</v>
      </c>
      <c r="M113" s="4">
        <v>157.23227016772086</v>
      </c>
      <c r="N113" s="4">
        <v>-0.56199942079189091</v>
      </c>
      <c r="O113" s="1" t="str">
        <f>HYPERLINK(".\sm_car_240930_1119\sm_car_240930_1119_112_Ca140TrN_MaLSS_ode23t_1.png","figure")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980</v>
      </c>
      <c r="L114" s="4">
        <v>24.015474900000001</v>
      </c>
      <c r="M114" s="4">
        <v>411.82456944657048</v>
      </c>
      <c r="N114" s="4">
        <v>1.5772490986473817</v>
      </c>
      <c r="O114" s="1" t="str">
        <f>HYPERLINK(".\sm_car_240930_1119\sm_car_240930_1119_113_Ca142TrN_MaWOT_ode23t_1.png","figure")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24.043579099999999</v>
      </c>
      <c r="M115" s="4">
        <v>157.34428286152561</v>
      </c>
      <c r="N115" s="4">
        <v>-0.57506727799735535</v>
      </c>
      <c r="O115" s="1" t="str">
        <f>HYPERLINK(".\sm_car_240930_1119\sm_car_240930_1119_114_Ca142TrN_MaLSS_ode23t_1.png","figure")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336</v>
      </c>
      <c r="L116" s="4">
        <v>19.670410700000001</v>
      </c>
      <c r="M116" s="4">
        <v>96.621281319859207</v>
      </c>
      <c r="N116" s="4">
        <v>-4.199088334109486E-2</v>
      </c>
      <c r="O116" s="1" t="str">
        <f>HYPERLINK(".\sm_car_240930_1119\sm_car_240930_1119_115_Ca145TrN_MaWOT_ode23t_1.png","figure")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461</v>
      </c>
      <c r="L117" s="4">
        <v>25.381694400000001</v>
      </c>
      <c r="M117" s="4">
        <v>25.165733510720507</v>
      </c>
      <c r="N117" s="4">
        <v>-5.1650230513548917E-2</v>
      </c>
      <c r="O117" s="1" t="str">
        <f>HYPERLINK(".\sm_car_240930_1119\sm_car_240930_1119_116_Ca145TrN_MaLSS_ode23t_1.png","figure")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316</v>
      </c>
      <c r="L118" s="4">
        <v>13.667909399999999</v>
      </c>
      <c r="M118" s="4">
        <v>115.11079903440503</v>
      </c>
      <c r="N118" s="4">
        <v>0.53507480448651623</v>
      </c>
      <c r="O118" s="1" t="str">
        <f>HYPERLINK(".\sm_car_240930_1119\sm_car_240930_1119_117_Ca146TrN_MaWOT_ode23t_1.png","figure")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18.445994299999999</v>
      </c>
      <c r="M119" s="4">
        <v>35.870247615159087</v>
      </c>
      <c r="N119" s="4">
        <v>-3.0731152661122411E-2</v>
      </c>
      <c r="O119" s="1" t="str">
        <f>HYPERLINK(".\sm_car_240930_1119\sm_car_240930_1119_118_Ca146TrN_MaLSS_ode23t_1.png","figure")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316</v>
      </c>
      <c r="L120" s="4">
        <v>13.6487164</v>
      </c>
      <c r="M120" s="4">
        <v>115.11079903440503</v>
      </c>
      <c r="N120" s="4">
        <v>0.53507480448651623</v>
      </c>
      <c r="O120" s="1" t="str">
        <f>HYPERLINK(".\sm_car_240930_1119\sm_car_240930_1119_119_Ca146TrN_MaWOT_ode23t_1.png","figure")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18.321285100000001</v>
      </c>
      <c r="M121" s="4">
        <v>35.870247615159087</v>
      </c>
      <c r="N121" s="4">
        <v>-3.0731152661122411E-2</v>
      </c>
      <c r="O121" s="1" t="str">
        <f>HYPERLINK(".\sm_car_240930_1119\sm_car_240930_1119_120_Ca146TrN_MaLSS_ode23t_1.png","figure")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458</v>
      </c>
      <c r="L122" s="4">
        <v>27.5353441</v>
      </c>
      <c r="M122" s="4">
        <v>183.12277574446932</v>
      </c>
      <c r="N122" s="4">
        <v>0.30566047139092584</v>
      </c>
      <c r="O122" s="1" t="str">
        <f>HYPERLINK(".\sm_car_240930_1119\sm_car_240930_1119_121_Ca161TrN_MaWOT_ode23t_1.png","figure")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582</v>
      </c>
      <c r="L123" s="4">
        <v>30.998337100000001</v>
      </c>
      <c r="M123" s="4">
        <v>157.0510439944114</v>
      </c>
      <c r="N123" s="4">
        <v>-0.55541611440661576</v>
      </c>
      <c r="O123" s="1" t="str">
        <f>HYPERLINK(".\sm_car_240930_1119\sm_car_240930_1119_122_Ca161TrN_MaLSS_ode23t_1.png","figure")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474</v>
      </c>
      <c r="L124" s="4">
        <v>30.2926289</v>
      </c>
      <c r="M124" s="4">
        <v>282.3688708637394</v>
      </c>
      <c r="N124" s="4">
        <v>0.7333815644077053</v>
      </c>
      <c r="O124" s="1" t="str">
        <f>HYPERLINK(".\sm_car_240930_1119\sm_car_240930_1119_123_Ca163TrN_MaWOT_ode23t_1.png","figure")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689</v>
      </c>
      <c r="L125" s="4">
        <v>40.423363199999997</v>
      </c>
      <c r="M125" s="4">
        <v>260.88434260786642</v>
      </c>
      <c r="N125" s="4">
        <v>-0.43234851850765904</v>
      </c>
      <c r="O125" s="1" t="str">
        <f>HYPERLINK(".\sm_car_240930_1119\sm_car_240930_1119_124_Ca163TrN_MaLSS_ode23t_1.png","figure")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 s="4">
        <v>21.545001200000002</v>
      </c>
      <c r="M126" s="4">
        <v>313.20441498818104</v>
      </c>
      <c r="N126" s="4">
        <v>-5.3452395736832043E-4</v>
      </c>
      <c r="O126" s="1" t="str">
        <f>HYPERLINK(".\sm_car_240930_1119\sm_car_240930_1119_125_Ca184TrN_MaWOT_ode23t_1.png","figure")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 s="4">
        <v>18.7048421</v>
      </c>
      <c r="M127" s="4">
        <v>112.44211772974815</v>
      </c>
      <c r="N127" s="4">
        <v>-0.20264487071499523</v>
      </c>
      <c r="O127" s="1" t="str">
        <f>HYPERLINK(".\sm_car_240930_1119\sm_car_240930_1119_126_Ca184TrN_MaLSS_ode23t_1.png","figure")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776</v>
      </c>
      <c r="L128" s="4">
        <v>17.477619499999999</v>
      </c>
      <c r="M128" s="4">
        <v>253.23651244694821</v>
      </c>
      <c r="N128" s="4">
        <v>4.2308874363818916E-3</v>
      </c>
      <c r="O128" s="1" t="str">
        <f>HYPERLINK(".\sm_car_240930_1119\sm_car_240930_1119_127_Ca012TrN_MaDLC_ode23t_1.png","figure")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 s="4">
        <v>22.418566299999998</v>
      </c>
      <c r="M129" s="4">
        <v>75.694920450121458</v>
      </c>
      <c r="N129" s="4">
        <v>0.76550172202538969</v>
      </c>
      <c r="O129" s="1" t="str">
        <f>HYPERLINK(".\sm_car_240930_1119\sm_car_240930_1119_128_Ca012TrN_MaIPA_ode23t_1.png","figure")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743</v>
      </c>
      <c r="L130" s="4">
        <v>21.027396100000001</v>
      </c>
      <c r="M130" s="4">
        <v>256.03922919551923</v>
      </c>
      <c r="N130" s="4">
        <v>-4.6981768695513182E-3</v>
      </c>
      <c r="O130" s="1" t="str">
        <f>HYPERLINK(".\sm_car_240930_1119\sm_car_240930_1119_129_Ca142TrN_MaDLC_ode23t_1.png","figure")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2037</v>
      </c>
      <c r="L131" s="4">
        <v>110.2987823</v>
      </c>
      <c r="M131" s="4">
        <v>85.060079912224552</v>
      </c>
      <c r="N131" s="4">
        <v>0.83609719593967247</v>
      </c>
      <c r="O131" s="1" t="str">
        <f>HYPERLINK(".\sm_car_240930_1119\sm_car_240930_1119_130_Ca142TrN_MaIPA_ode23t_1.png","figure")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28.085453000000001</v>
      </c>
      <c r="M132" s="4">
        <v>253.78939275409476</v>
      </c>
      <c r="N132" s="4">
        <v>4.7110242154493776E-2</v>
      </c>
      <c r="O132" s="1" t="str">
        <f>HYPERLINK(".\sm_car_240930_1119\sm_car_240930_1119_131_Ca145TrN_MaDLC_ode23t_1.png","figure")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319</v>
      </c>
      <c r="L133" s="4">
        <v>18.234441100000002</v>
      </c>
      <c r="M133" s="4">
        <v>28.272690631193733</v>
      </c>
      <c r="N133" s="4">
        <v>1.5548811045979518E-2</v>
      </c>
      <c r="O133" s="1" t="str">
        <f>HYPERLINK(".\sm_car_240930_1119\sm_car_240930_1119_132_Ca145TrN_MaIPA_ode23t_1.png","figure")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418</v>
      </c>
      <c r="L134" s="4">
        <v>17.559147899999999</v>
      </c>
      <c r="M134" s="4">
        <v>253.84542970242683</v>
      </c>
      <c r="N134" s="4">
        <v>1.2993282551607699E-2</v>
      </c>
      <c r="O134" s="1" t="str">
        <f>HYPERLINK(".\sm_car_240930_1119\sm_car_240930_1119_133_Ca184TrN_MaDLC_ode23t_1.png","figure")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19.937604199999999</v>
      </c>
      <c r="M135" s="4">
        <v>61.810603218469637</v>
      </c>
      <c r="N135" s="4">
        <v>0.55694760204058247</v>
      </c>
      <c r="O135" s="1" t="str">
        <f>HYPERLINK(".\sm_car_240930_1119\sm_car_240930_1119_134_Ca184TrN_MaIPA_ode23t_1.png","figure")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1928</v>
      </c>
      <c r="L136" s="4">
        <v>53.159435600000002</v>
      </c>
      <c r="M136" s="4">
        <v>256.03780076397476</v>
      </c>
      <c r="N136" s="4">
        <v>1.3886126217199646E-2</v>
      </c>
      <c r="O136" s="1" t="str">
        <f>HYPERLINK(".\sm_car_240930_1119\sm_car_240930_1119_135_Ca204TrN_MaDLC_ode23t_1.png","figure")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 s="4">
        <v>23.222662499999998</v>
      </c>
      <c r="M137" s="4">
        <v>26.03959368665377</v>
      </c>
      <c r="N137" s="4">
        <v>9.6811360663843164E-3</v>
      </c>
      <c r="O137" s="1" t="str">
        <f>HYPERLINK(".\sm_car_240930_1119\sm_car_240930_1119_136_Ca204TrN_MaIPA_ode23t_1.png","figure")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2685</v>
      </c>
      <c r="L138" s="4">
        <v>51.224988799999998</v>
      </c>
      <c r="M138" s="4">
        <v>-1.1837565938708841E-2</v>
      </c>
      <c r="N138" s="4">
        <v>-0.62259507912609391</v>
      </c>
      <c r="O138" s="1" t="str">
        <f>HYPERLINK(".\sm_car_240930_1119\sm_car_240930_1119_137_Ca012TrN_MaMPK_ode23t_1.png","figure")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3120</v>
      </c>
      <c r="L139" s="4">
        <v>59.619787000000002</v>
      </c>
      <c r="M139" s="4">
        <v>0.78832204379640736</v>
      </c>
      <c r="N139" s="4">
        <v>-0.32256564547211203</v>
      </c>
      <c r="O139" s="1" t="str">
        <f>HYPERLINK(".\sm_car_240930_1119\sm_car_240930_1119_138_Ca012TrN_MaMPC_ode23t_1.png","figure")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2497</v>
      </c>
      <c r="L140" s="4">
        <v>63.095384199999998</v>
      </c>
      <c r="M140" s="4">
        <v>-1.9361461714800271E-2</v>
      </c>
      <c r="N140" s="4">
        <v>-0.54618125145453544</v>
      </c>
      <c r="O140" s="1" t="str">
        <f>HYPERLINK(".\sm_car_240930_1119\sm_car_240930_1119_139_Ca142TrN_MaMPK_ode23t_1.png","figure")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3108</v>
      </c>
      <c r="L141" s="4">
        <v>90.516261900000003</v>
      </c>
      <c r="M141" s="4">
        <v>0.7894010475487967</v>
      </c>
      <c r="N141" s="4">
        <v>-0.36555638132894869</v>
      </c>
      <c r="O141" s="1" t="str">
        <f>HYPERLINK(".\sm_car_240930_1119\sm_car_240930_1119_140_Ca142TrN_MaMPC_ode23t_1.png","figure")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2864</v>
      </c>
      <c r="L142" s="4">
        <v>24.587486999999999</v>
      </c>
      <c r="M142" s="4">
        <v>-1.8395236396054518E-2</v>
      </c>
      <c r="N142" s="4">
        <v>-0.5249310473743829</v>
      </c>
      <c r="O142" s="1" t="str">
        <f>HYPERLINK(".\sm_car_240930_1119\sm_car_240930_1119_141_Ca116TrN_MaMPK_ode23t_1.png","figure")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3376</v>
      </c>
      <c r="L143" s="4">
        <v>25.981211600000002</v>
      </c>
      <c r="M143" s="4">
        <v>0.78025910821920341</v>
      </c>
      <c r="N143" s="4">
        <v>-0.35483824825674681</v>
      </c>
      <c r="O143" s="1" t="str">
        <f>HYPERLINK(".\sm_car_240930_1119\sm_car_240930_1119_142_Ca116TrN_MaMPC_ode23t_1.png","figure")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2717</v>
      </c>
      <c r="L144" s="4">
        <v>92.610567500000002</v>
      </c>
      <c r="M144" s="4">
        <v>-1.6313492290539119E-2</v>
      </c>
      <c r="N144" s="4">
        <v>-0.3905984016467981</v>
      </c>
      <c r="O144" s="1" t="str">
        <f>HYPERLINK(".\sm_car_240930_1119\sm_car_240930_1119_143_Ca143TrN_MaMPK_ode23t_1.png","figure")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2888</v>
      </c>
      <c r="L145" s="4">
        <v>113.4023607</v>
      </c>
      <c r="M145" s="4">
        <v>0.78777316237295203</v>
      </c>
      <c r="N145" s="4">
        <v>-0.25826051612091527</v>
      </c>
      <c r="O145" s="1" t="str">
        <f>HYPERLINK(".\sm_car_240930_1119\sm_car_240930_1119_144_Ca143TrN_MaMPC_ode23t_1.png","figure")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3185</v>
      </c>
      <c r="L146" s="4">
        <v>81.506679700000007</v>
      </c>
      <c r="M146" s="4">
        <v>-1.8160470998950226E-2</v>
      </c>
      <c r="N146" s="4">
        <v>-0.55565160255278079</v>
      </c>
      <c r="O146" s="1" t="str">
        <f>HYPERLINK(".\sm_car_240930_1119\sm_car_240930_1119_145_Ca166TrN_MaMPK_ode23t_1.png","figure")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3573</v>
      </c>
      <c r="L147" s="4">
        <v>92.9802277</v>
      </c>
      <c r="M147" s="4">
        <v>0.78810495170153239</v>
      </c>
      <c r="N147" s="4">
        <v>-0.35644925298655672</v>
      </c>
      <c r="O147" s="1" t="str">
        <f>HYPERLINK(".\sm_car_240930_1119\sm_car_240930_1119_146_Ca166TrN_MaMPC_ode23t_1.png","figure")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3134</v>
      </c>
      <c r="L148" s="4">
        <v>70.729991499999997</v>
      </c>
      <c r="M148" s="4">
        <v>-3.9107908703678307E-3</v>
      </c>
      <c r="N148" s="4">
        <v>-0.55683018060213507</v>
      </c>
      <c r="O148" s="1" t="str">
        <f>HYPERLINK(".\sm_car_240930_1119\sm_car_240930_1119_147_Ca169TrN_MaMPK_ode23t_1.png","figure")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3347</v>
      </c>
      <c r="L149" s="4">
        <v>74.078198599999993</v>
      </c>
      <c r="M149" s="4">
        <v>0.77697472949878055</v>
      </c>
      <c r="N149" s="4">
        <v>-0.35561605995708867</v>
      </c>
      <c r="O149" s="1" t="str">
        <f>HYPERLINK(".\sm_car_240930_1119\sm_car_240930_1119_148_Ca169TrN_MaMPC_ode23t_1.png","figure")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2060</v>
      </c>
      <c r="L150" s="4">
        <v>80.042139500000005</v>
      </c>
      <c r="M150" s="4">
        <v>-2.2009728382925836E-2</v>
      </c>
      <c r="N150" s="4">
        <v>-0.69906679963960561</v>
      </c>
      <c r="O150" s="1" t="str">
        <f>HYPERLINK(".\sm_car_240930_1119\sm_car_240930_1119_149_Ca184TrN_MaMPK_ode23t_1.png","figure")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2130</v>
      </c>
      <c r="L151" s="4">
        <v>76.972593599999996</v>
      </c>
      <c r="M151" s="4">
        <v>0.78314765000374287</v>
      </c>
      <c r="N151" s="4">
        <v>-0.32963076107572326</v>
      </c>
      <c r="O151" s="1" t="str">
        <f>HYPERLINK(".\sm_car_240930_1119\sm_car_240930_1119_150_Ca184TrN_MaMPC_ode23t_1.png","figure")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3153</v>
      </c>
      <c r="L152" s="4">
        <v>70.001039800000001</v>
      </c>
      <c r="M152" s="4">
        <v>1.1172981017465319E-2</v>
      </c>
      <c r="N152" s="4">
        <v>-0.55714377165082973</v>
      </c>
      <c r="O152" s="1" t="str">
        <f>HYPERLINK(".\sm_car_240930_1119\sm_car_240930_1119_151_Ca195TrN_MaMPK_ode23t_1.png","figure")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3374</v>
      </c>
      <c r="L153" s="4">
        <v>71.022775800000005</v>
      </c>
      <c r="M153" s="4">
        <v>0.7885857294095846</v>
      </c>
      <c r="N153" s="4">
        <v>-0.35565670730462978</v>
      </c>
      <c r="O153" s="1" t="str">
        <f>HYPERLINK(".\sm_car_240930_1119\sm_car_240930_1119_152_Ca195TrN_MaMPC_ode23t_1.png","figure")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2092</v>
      </c>
      <c r="L154" s="4">
        <v>49.285857800000002</v>
      </c>
      <c r="M154" s="4">
        <v>-1.8006373892441002E-2</v>
      </c>
      <c r="N154" s="4">
        <v>-0.69924893526274967</v>
      </c>
      <c r="O154" s="1" t="str">
        <f>HYPERLINK(".\sm_car_240930_1119\sm_car_240930_1119_153_Ca198TrN_MaMPK_ode23t_1.png","figure")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2175</v>
      </c>
      <c r="L155" s="4">
        <v>59.161809599999998</v>
      </c>
      <c r="M155" s="4">
        <v>0.7561467351083806</v>
      </c>
      <c r="N155" s="4">
        <v>-0.3294520519075736</v>
      </c>
      <c r="O155" s="1" t="str">
        <f>HYPERLINK(".\sm_car_240930_1119\sm_car_240930_1119_154_Ca198TrN_MaMPC_ode23t_1.png","figure")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517</v>
      </c>
      <c r="L156" s="4">
        <v>19.8261234</v>
      </c>
      <c r="M156" s="4">
        <v>73.384885323356471</v>
      </c>
      <c r="N156" s="4">
        <v>-0.84635703335886259</v>
      </c>
      <c r="O156" s="1" t="str">
        <f>HYPERLINK(".\sm_car_240930_1119\sm_car_240930_1119_155_Ca151TrN_MaLSS_ode23t_1.png","figure")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510</v>
      </c>
      <c r="L157" s="4">
        <v>19.141537599999999</v>
      </c>
      <c r="M157" s="4">
        <v>71.749963591552799</v>
      </c>
      <c r="N157" s="4">
        <v>-0.54337587606077187</v>
      </c>
      <c r="O157" s="1" t="str">
        <f>HYPERLINK(".\sm_car_240930_1119\sm_car_240930_1119_156_Ca152TrN_MaLSS_ode23t_1.png","figure")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530</v>
      </c>
      <c r="L158" s="4">
        <v>21.9444047</v>
      </c>
      <c r="M158" s="4">
        <v>71.600606051095994</v>
      </c>
      <c r="N158" s="4">
        <v>-0.89280629375348408</v>
      </c>
      <c r="O158" s="1" t="str">
        <f>HYPERLINK(".\sm_car_240930_1119\sm_car_240930_1119_157_Ca153TrN_MaLSS_ode23t_1.png","figure")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487</v>
      </c>
      <c r="L159" s="4">
        <v>24.335893200000001</v>
      </c>
      <c r="M159" s="4">
        <v>71.784160906135085</v>
      </c>
      <c r="N159" s="4">
        <v>-0.36835476550276547</v>
      </c>
      <c r="O159" s="1" t="str">
        <f>HYPERLINK(".\sm_car_240930_1119\sm_car_240930_1119_158_Ca154TrN_MaLSS_ode23t_1.png","figure")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542</v>
      </c>
      <c r="L160" s="4">
        <v>28.002200299999998</v>
      </c>
      <c r="M160" s="4">
        <v>71.629510684849791</v>
      </c>
      <c r="N160" s="4">
        <v>-0.86811113637915738</v>
      </c>
      <c r="O160" s="1" t="str">
        <f>HYPERLINK(".\sm_car_240930_1119\sm_car_240930_1119_159_Ca155TrN_MaLSS_ode23t_1.png","figure")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14.313876799999999</v>
      </c>
      <c r="M161" s="4">
        <v>234.09520337872848</v>
      </c>
      <c r="N161" s="4">
        <v>1.5597601237183302E-2</v>
      </c>
      <c r="O161" s="1" t="str">
        <f>HYPERLINK(".\sm_car_240930_1119\sm_car_240930_1119_160_Ca004TrN_MaWOT_ode3_1.png","figure")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11.4285935</v>
      </c>
      <c r="M162" s="4">
        <v>72.060968646483076</v>
      </c>
      <c r="N162" s="4">
        <v>-0.55315112787421983</v>
      </c>
      <c r="O162" s="1" t="str">
        <f>HYPERLINK(".\sm_car_240930_1119\sm_car_240930_1119_161_Ca004TrN_MaLSS_ode3_1.png","figure")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11.4412859</v>
      </c>
      <c r="M163" s="4">
        <v>64.366272556222512</v>
      </c>
      <c r="N163" s="4">
        <v>-25.53945015042936</v>
      </c>
      <c r="O163" s="1" t="str">
        <f>HYPERLINK(".\sm_car_240930_1119\sm_car_240930_1119_162_Ca004TrN_MaTUR_ode3_1.png","figure")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6.4326942000000003</v>
      </c>
      <c r="M164" s="4">
        <v>242.7037948432378</v>
      </c>
      <c r="N164" s="4">
        <v>0.23327776653692373</v>
      </c>
      <c r="O164" s="1" t="str">
        <f>HYPERLINK(".\sm_car_240930_1119\sm_car_240930_1119_163_Ca116TrN_MaWOT_ode3_1.png","figure")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5.2482170999999997</v>
      </c>
      <c r="M165" s="4">
        <v>74.659492311694123</v>
      </c>
      <c r="N165" s="4">
        <v>-0.34093734199840481</v>
      </c>
      <c r="O165" s="1" t="str">
        <f>HYPERLINK(".\sm_car_240930_1119\sm_car_240930_1119_164_Ca116TrN_MaLSS_ode3_1.png","figure")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5.2774473000000004</v>
      </c>
      <c r="M166" s="4">
        <v>71.323971743789272</v>
      </c>
      <c r="N166" s="4">
        <v>-17.591550619340072</v>
      </c>
      <c r="O166" s="1" t="str">
        <f>HYPERLINK(".\sm_car_240930_1119\sm_car_240930_1119_165_Ca116TrN_MaTUR_ode3_1.png","figure")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3.9372714000000002</v>
      </c>
      <c r="M167" s="4">
        <v>242.88013077767147</v>
      </c>
      <c r="N167" s="4">
        <v>0.23308389744189009</v>
      </c>
      <c r="O167" s="1" t="str">
        <f>HYPERLINK(".\sm_car_240930_1119\sm_car_240930_1119_166_Ca124TrN_MaWOT_ode3_1.png","figure")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3.2007550999999999</v>
      </c>
      <c r="M168" s="4">
        <v>74.79839484160884</v>
      </c>
      <c r="N168" s="4">
        <v>-0.34251601798099268</v>
      </c>
      <c r="O168" s="1" t="str">
        <f>HYPERLINK(".\sm_car_240930_1119\sm_car_240930_1119_167_Ca124TrN_MaLSS_ode3_1.png","figure")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3.0856474999999999</v>
      </c>
      <c r="M169" s="4">
        <v>71.449353366816283</v>
      </c>
      <c r="N169" s="4">
        <v>-17.637595535249076</v>
      </c>
      <c r="O169" s="1" t="str">
        <f>HYPERLINK(".\sm_car_240930_1119\sm_car_240930_1119_168_Ca124TrN_MaTUR_ode3_1.png","figure")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19.4550725</v>
      </c>
      <c r="M170" s="4">
        <v>411.77327955286199</v>
      </c>
      <c r="N170" s="4">
        <v>1.5228309409456255</v>
      </c>
      <c r="O170" s="1" t="str">
        <f>HYPERLINK(".\sm_car_240930_1119\sm_car_240930_1119_169_Ca141TrN_MaWOT_ode3_1.png","figure")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16.6239861</v>
      </c>
      <c r="M171" s="4">
        <v>157.35652746778001</v>
      </c>
      <c r="N171" s="4">
        <v>-0.56383994623820011</v>
      </c>
      <c r="O171" s="1" t="str">
        <f>HYPERLINK(".\sm_car_240930_1119\sm_car_240930_1119_170_Ca141TrN_MaLSS_ode3_1.png","figure")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16.286148799999999</v>
      </c>
      <c r="M172" s="4">
        <v>99.307823665682164</v>
      </c>
      <c r="N172" s="4">
        <v>-89.462983441218384</v>
      </c>
      <c r="O172" s="1" t="str">
        <f>HYPERLINK(".\sm_car_240930_1119\sm_car_240930_1119_171_Ca141TrN_MaTUR_ode3_1.png","figure")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12.421491899999999</v>
      </c>
      <c r="M173" s="4">
        <v>96.995317808866005</v>
      </c>
      <c r="N173" s="4">
        <v>-4.6572432056864017E-2</v>
      </c>
      <c r="O173" s="1" t="str">
        <f>HYPERLINK(".\sm_car_240930_1119\sm_car_240930_1119_172_Ca145TrN_MaWOT_ode3_1.png","figure")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10.328227099999999</v>
      </c>
      <c r="M174" s="4">
        <v>25.420242271035665</v>
      </c>
      <c r="N174" s="4">
        <v>-5.3226525667028048E-2</v>
      </c>
      <c r="O174" s="1" t="str">
        <f>HYPERLINK(".\sm_car_240930_1119\sm_car_240930_1119_173_Ca145TrN_MaLSS_ode3_1.png","figure")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 s="4">
        <v>10.325935299999999</v>
      </c>
      <c r="M175" s="4">
        <v>25.265468429135261</v>
      </c>
      <c r="N175" s="4">
        <v>-2.6403870481787828</v>
      </c>
      <c r="O175" s="1" t="str">
        <f>HYPERLINK(".\sm_car_240930_1119\sm_car_240930_1119_174_Ca145TrN_MaTUR_ode3_1.png","figure")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2858</v>
      </c>
      <c r="L176" s="4">
        <v>13.9831208</v>
      </c>
      <c r="M176" s="4">
        <v>97.748247127463486</v>
      </c>
      <c r="N176" s="4">
        <v>-4.7319025431749491E-2</v>
      </c>
      <c r="O176" s="1" t="str">
        <f>HYPERLINK(".\sm_car_240930_1119\sm_car_240930_1119_175_Ca199TrN_MaWOT_ode3_1.png","figure")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2387</v>
      </c>
      <c r="L177" s="4">
        <v>11.7136496</v>
      </c>
      <c r="M177" s="4">
        <v>26.058231617548497</v>
      </c>
      <c r="N177" s="4">
        <v>-5.2510469966298289E-2</v>
      </c>
      <c r="O177" s="1" t="str">
        <f>HYPERLINK(".\sm_car_240930_1119\sm_car_240930_1119_176_Ca199TrN_MaLSS_ode3_1.png","figure")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2384</v>
      </c>
      <c r="L178" s="4">
        <v>11.680585499999999</v>
      </c>
      <c r="M178" s="4">
        <v>25.895958283777475</v>
      </c>
      <c r="N178" s="4">
        <v>-2.7241185591124433</v>
      </c>
      <c r="O178" s="1" t="str">
        <f>HYPERLINK(".\sm_car_240930_1119\sm_car_240930_1119_177_Ca199TrN_MaTUR_ode3_1.png","figure")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 s="4">
        <v>13.715983400000001</v>
      </c>
      <c r="M179" s="4">
        <v>254.10316752364764</v>
      </c>
      <c r="N179" s="4">
        <v>-6.4185947421133704E-3</v>
      </c>
      <c r="O179" s="1" t="str">
        <f>HYPERLINK(".\sm_car_240930_1119\sm_car_240930_1119_178_Ca139TrN_MaDLC_ode23t_1.png","figure")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785</v>
      </c>
      <c r="L180" s="4">
        <v>42.644250100000001</v>
      </c>
      <c r="M180" s="4">
        <v>253.20512146639192</v>
      </c>
      <c r="N180" s="4">
        <v>2.2547043892001462E-2</v>
      </c>
      <c r="O180" s="1" t="str">
        <f>HYPERLINK(".\sm_car_240930_1119\sm_car_240930_1119_179_Ca139TrE_MaDLC_ode23t_1.png","figure")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800</v>
      </c>
      <c r="L181" s="4">
        <v>36.4692066</v>
      </c>
      <c r="M181" s="4">
        <v>254.76378647154615</v>
      </c>
      <c r="N181" s="4">
        <v>-5.7985298065057478E-3</v>
      </c>
      <c r="O181" s="1" t="str">
        <f>HYPERLINK(".\sm_car_240930_1119\sm_car_240930_1119_180_Ca139TrT_MaDLC_ode23t_1.png","figure")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773</v>
      </c>
      <c r="L182" s="4">
        <v>31.211357700000001</v>
      </c>
      <c r="M182" s="4">
        <v>253.60086184172297</v>
      </c>
      <c r="N182" s="4">
        <v>1.3411250285655818E-2</v>
      </c>
      <c r="O182" s="1" t="str">
        <f>HYPERLINK(".\sm_car_240930_1119\sm_car_240930_1119_181_Ca139TrE_MaDLC_ode23t_1.png","figure")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619</v>
      </c>
      <c r="L183" s="4">
        <v>16.0386919</v>
      </c>
      <c r="M183" s="4">
        <v>254.24483161961206</v>
      </c>
      <c r="N183" s="4">
        <v>3.2022831227855875E-3</v>
      </c>
      <c r="O183" s="1" t="str">
        <f>HYPERLINK(".\sm_car_240930_1119\sm_car_240930_1119_182_Ca002TrN_MaDLC_ode23t_1.png","figure")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772</v>
      </c>
      <c r="L184" s="4">
        <v>38.738997599999998</v>
      </c>
      <c r="M184" s="4">
        <v>253.52589839886917</v>
      </c>
      <c r="N184" s="4">
        <v>3.5906624897164008E-3</v>
      </c>
      <c r="O184" s="1" t="str">
        <f>HYPERLINK(".\sm_car_240930_1119\sm_car_240930_1119_183_Ca002TrE_MaDLC_ode23t_1.png","figure")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947</v>
      </c>
      <c r="L185" s="4">
        <v>47.095256900000003</v>
      </c>
      <c r="M185" s="4">
        <v>254.1485819874859</v>
      </c>
      <c r="N185" s="4">
        <v>3.2598229001514767E-3</v>
      </c>
      <c r="O185" s="1" t="str">
        <f>HYPERLINK(".\sm_car_240930_1119\sm_car_240930_1119_184_Ca002TrT_MaDLC_ode23t_1.png","figure")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786</v>
      </c>
      <c r="L186" s="4">
        <v>27.21528</v>
      </c>
      <c r="M186" s="4">
        <v>253.56372640107588</v>
      </c>
      <c r="N186" s="4">
        <v>3.5604071078818578E-3</v>
      </c>
      <c r="O186" s="1" t="str">
        <f>HYPERLINK(".\sm_car_240930_1119\sm_car_240930_1119_185_Ca002TrE_MaDLC_ode23t_1.png","figure")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474</v>
      </c>
      <c r="L187" s="4">
        <v>28.502102600000001</v>
      </c>
      <c r="M187" s="4">
        <v>253.78939275409476</v>
      </c>
      <c r="N187" s="4">
        <v>4.7110242154493776E-2</v>
      </c>
      <c r="O187" s="1" t="str">
        <f>HYPERLINK(".\sm_car_240930_1119\sm_car_240930_1119_186_Ca145TrN_MaDLC_ode23t_1.png","figure")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560</v>
      </c>
      <c r="L188" s="4">
        <v>51.520063499999999</v>
      </c>
      <c r="M188" s="4">
        <v>254.25968334356605</v>
      </c>
      <c r="N188" s="4">
        <v>4.5735808278453582E-2</v>
      </c>
      <c r="O188" s="1" t="str">
        <f>HYPERLINK(".\sm_car_240930_1119\sm_car_240930_1119_187_Ca145TrE_MaDLC_ode23t_1.png","figure")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638</v>
      </c>
      <c r="L189" s="4">
        <v>58.486637700000003</v>
      </c>
      <c r="M189" s="4">
        <v>253.66789204242559</v>
      </c>
      <c r="N189" s="4">
        <v>4.7636376062293984E-2</v>
      </c>
      <c r="O189" s="1" t="str">
        <f>HYPERLINK(".\sm_car_240930_1119\sm_car_240930_1119_188_Ca145TrT_MaDLC_ode23t_1.png","figure")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555</v>
      </c>
      <c r="L190" s="4">
        <v>41.702853599999997</v>
      </c>
      <c r="M190" s="4">
        <v>253.29832603179557</v>
      </c>
      <c r="N190" s="4">
        <v>4.9418800616837011E-2</v>
      </c>
      <c r="O190" s="1" t="str">
        <f>HYPERLINK(".\sm_car_240930_1119\sm_car_240930_1119_189_Ca145TrE_MaDLC_ode23t_1.png","figure")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473</v>
      </c>
      <c r="L191" s="4">
        <v>11.766703700000001</v>
      </c>
      <c r="M191" s="4">
        <v>255.47497252856419</v>
      </c>
      <c r="N191" s="4">
        <v>4.0602822145509698E-2</v>
      </c>
      <c r="O191" s="1" t="str">
        <f>HYPERLINK(".\sm_car_240930_1119\sm_car_240930_1119_190_Ca199TrN_MaDLC_ode23t_1.png","figure")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555</v>
      </c>
      <c r="L192" s="4">
        <v>27.102425400000001</v>
      </c>
      <c r="M192" s="4">
        <v>254.26031371881214</v>
      </c>
      <c r="N192" s="4">
        <v>4.5738123699572419E-2</v>
      </c>
      <c r="O192" s="1" t="str">
        <f>HYPERLINK(".\sm_car_240930_1119\sm_car_240930_1119_191_Ca199TrE_MaDLC_ode23t_1.png","figure")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612</v>
      </c>
      <c r="L193" s="4">
        <v>25.273470100000001</v>
      </c>
      <c r="M193" s="4">
        <v>254.11080373654107</v>
      </c>
      <c r="N193" s="4">
        <v>4.5908922973917576E-2</v>
      </c>
      <c r="O193" s="1" t="str">
        <f>HYPERLINK(".\sm_car_240930_1119\sm_car_240930_1119_192_Ca199TrT_MaDLC_ode23t_1.png","figure")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 s="4">
        <v>19.747045</v>
      </c>
      <c r="M194" s="4">
        <v>253.38887697279591</v>
      </c>
      <c r="N194" s="4">
        <v>4.9106278726040564E-2</v>
      </c>
      <c r="O194" s="1" t="str">
        <f>HYPERLINK(".\sm_car_240930_1119\sm_car_240930_1119_193_Ca199TrE_MaDLC_ode23t_1.png","figure")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421</v>
      </c>
      <c r="L195" s="4">
        <v>17.200455699999999</v>
      </c>
      <c r="M195" s="4">
        <v>261.08165704118346</v>
      </c>
      <c r="N195" s="4">
        <v>2.5014477074986958</v>
      </c>
      <c r="O195" s="1" t="str">
        <f>HYPERLINK(".\sm_car_240930_1119\sm_car_240930_1119_194_Ca139TrE_MaTRD_ode23t_1.png","figure")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478</v>
      </c>
      <c r="L196" s="4">
        <v>16.992454500000001</v>
      </c>
      <c r="M196" s="4">
        <v>261.06413284139052</v>
      </c>
      <c r="N196" s="4">
        <v>2.501357211407115</v>
      </c>
      <c r="O196" s="1" t="str">
        <f>HYPERLINK(".\sm_car_240930_1119\sm_car_240930_1119_195_Ca139TrU_MaTRD_ode23t_1.png","figure")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1268</v>
      </c>
      <c r="L197" s="4">
        <v>19.7551001</v>
      </c>
      <c r="M197" s="4">
        <v>-5.2052036180585647E-3</v>
      </c>
      <c r="N197" s="4">
        <v>-5.9859598298193776E-4</v>
      </c>
      <c r="O197" s="1" t="str">
        <f>HYPERLINK(".\sm_car_240930_1119\sm_car_240930_1119_196_Ca149TrN_MaPST_ode23t_1.png","figure")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1530</v>
      </c>
      <c r="L198" s="4">
        <v>56.682713300000003</v>
      </c>
      <c r="M198" s="4">
        <v>36.653261116329297</v>
      </c>
      <c r="N198" s="4">
        <v>0.33973574720893457</v>
      </c>
      <c r="O198" s="1" t="str">
        <f>HYPERLINK(".\sm_car_240930_1119\sm_car_240930_1119_197_Ca139TrN_MaSKD_ode23t_1.png","figure")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1073</v>
      </c>
      <c r="L199" s="4">
        <v>49.803630499999997</v>
      </c>
      <c r="M199" s="4">
        <v>3.3094393636811077</v>
      </c>
      <c r="N199" s="4">
        <v>26.658204944058514</v>
      </c>
      <c r="O199" s="1" t="str">
        <f>HYPERLINK(".\sm_car_240930_1119\sm_car_240930_1119_198_Ca139TrN_MaRAD_ode23t_1.png","figure")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1319</v>
      </c>
      <c r="L200" s="4">
        <v>82.584858199999999</v>
      </c>
      <c r="M200" s="4">
        <v>36.47395711684193</v>
      </c>
      <c r="N200" s="4">
        <v>0.2412434312198164</v>
      </c>
      <c r="O200" s="1" t="str">
        <f>HYPERLINK(".\sm_car_240930_1119\sm_car_240930_1119_199_Ca184TrN_MaSKD_ode23t_1.png","figure")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 s="4">
        <v>36.658757100000003</v>
      </c>
      <c r="M201" s="4">
        <v>12.325345873723991</v>
      </c>
      <c r="N201" s="4">
        <v>21.750716246514148</v>
      </c>
      <c r="O201" s="1" t="str">
        <f>HYPERLINK(".\sm_car_240930_1119\sm_car_240930_1119_200_Ca184TrN_MaRAD_ode23t_1.png","figure")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1412</v>
      </c>
      <c r="L202" s="4">
        <v>50.088302499999998</v>
      </c>
      <c r="M202" s="4">
        <v>36.344255488624505</v>
      </c>
      <c r="N202" s="4">
        <v>0.24618784954653761</v>
      </c>
      <c r="O202" s="1" t="str">
        <f>HYPERLINK(".\sm_car_240930_1119\sm_car_240930_1119_201_Ca198TrN_MaSKD_ode23t_1.png","figure")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666</v>
      </c>
      <c r="L203" s="4">
        <v>22.4245506</v>
      </c>
      <c r="M203" s="4">
        <v>12.312268995678735</v>
      </c>
      <c r="N203" s="4">
        <v>21.707795668106943</v>
      </c>
      <c r="O203" s="1" t="str">
        <f>HYPERLINK(".\sm_car_240930_1119\sm_car_240930_1119_202_Ca198TrN_MaRAD_ode23t_1.png","figure")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26654</v>
      </c>
      <c r="L204" s="4">
        <v>588.10488699999996</v>
      </c>
      <c r="M204" s="4">
        <v>19.934132298467929</v>
      </c>
      <c r="N204" s="4">
        <v>3.0456901589429624</v>
      </c>
      <c r="O204" s="1" t="str">
        <f>HYPERLINK(".\sm_car_240930_1119\sm_car_240930_1119_203_Ca156TrN_MaIPA_ode23t.png","figure")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18934</v>
      </c>
      <c r="L205" s="4">
        <v>414.1367563</v>
      </c>
      <c r="M205" s="4">
        <v>16.627893970180288</v>
      </c>
      <c r="N205" s="4">
        <v>0.60008697507214281</v>
      </c>
      <c r="O205" s="1" t="str">
        <f>HYPERLINK(".\sm_car_240930_1119\sm_car_240930_1119_204_Ca130TrN_MaIPA_ode23t.png","figure")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1346</v>
      </c>
      <c r="L206" s="4">
        <v>31.7442283</v>
      </c>
      <c r="M206" s="4">
        <v>347.37122229697525</v>
      </c>
      <c r="N206" s="4">
        <v>0.73599566772475677</v>
      </c>
      <c r="O206" s="1" t="str">
        <f>HYPERLINK(".\sm_car_240930_1119\sm_car_240930_1119_205_Ca171TrN_MaRDP_ode23t_1.png","figure")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17.8669911</v>
      </c>
      <c r="M207" s="4">
        <v>144.12805935798102</v>
      </c>
      <c r="N207" s="4">
        <v>3.6049700607179436E-2</v>
      </c>
      <c r="O207" s="1" t="str">
        <f>HYPERLINK(".\sm_car_240930_1119\sm_car_240930_1119_206_Ca172TrN_MaRDP_ode23t_1.png","figure")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1407</v>
      </c>
      <c r="L208" s="4">
        <v>25.2143877</v>
      </c>
      <c r="M208" s="4">
        <v>371.65023895105708</v>
      </c>
      <c r="N208" s="4">
        <v>0.80199669361952985</v>
      </c>
      <c r="O208" s="1" t="str">
        <f>HYPERLINK(".\sm_car_240930_1119\sm_car_240930_1119_207_Ca139TrN_MaZPL_ode23t_1.png","figure")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2106</v>
      </c>
      <c r="L209" s="4">
        <v>16.3267512</v>
      </c>
      <c r="M209" s="4">
        <v>397.51754029211907</v>
      </c>
      <c r="N209" s="4">
        <v>0.33443471252412399</v>
      </c>
      <c r="O209" s="1" t="str">
        <f>HYPERLINK(".\sm_car_240930_1119\sm_car_240930_1119_208_Ca165TrN_MaZPL_ode23t_1.png","figure")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1422</v>
      </c>
      <c r="L210" s="4">
        <v>32.895781800000002</v>
      </c>
      <c r="M210" s="4">
        <v>371.3069481012306</v>
      </c>
      <c r="N210" s="4">
        <v>0.80284181801527665</v>
      </c>
      <c r="O210" s="1" t="str">
        <f>HYPERLINK(".\sm_car_240930_1119\sm_car_240930_1119_209_Ca171TrN_MaZPL_ode23t_1.png","figure")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513</v>
      </c>
      <c r="L211" s="4">
        <v>7.1821533999999998</v>
      </c>
      <c r="M211" s="4">
        <v>378.15915926071989</v>
      </c>
      <c r="N211" s="4">
        <v>0.32186648590400252</v>
      </c>
      <c r="O211" s="1" t="str">
        <f>HYPERLINK(".\sm_car_240930_1119\sm_car_240930_1119_210_Ca165TrN_MaCPL_ode23t_1.png","figure")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427</v>
      </c>
      <c r="L212" s="4">
        <v>23.820356499999999</v>
      </c>
      <c r="M212" s="4">
        <v>347.11434280159074</v>
      </c>
      <c r="N212" s="4">
        <v>0.74364450589272102</v>
      </c>
      <c r="O212" s="1" t="str">
        <f>HYPERLINK(".\sm_car_240930_1119\sm_car_240930_1119_211_Ca171TrN_MaCPL_ode23t_1.png","figure")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2382</v>
      </c>
      <c r="L213" s="4">
        <v>58.7782464</v>
      </c>
      <c r="M213" s="4">
        <v>152.46638274063471</v>
      </c>
      <c r="N213" s="4">
        <v>1.9369430209668873E-3</v>
      </c>
      <c r="O213" s="1" t="str">
        <f>HYPERLINK(".\sm_car_240930_1119\sm_car_240930_1119_212_Ca171TrN_MaRDR_ode23t_1.png","figure")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2796</v>
      </c>
      <c r="L214" s="4">
        <v>40.280131799999999</v>
      </c>
      <c r="M214" s="4">
        <v>146.53764345567058</v>
      </c>
      <c r="N214" s="4">
        <v>-4.772988998331144E-3</v>
      </c>
      <c r="O214" s="1" t="str">
        <f>HYPERLINK(".\sm_car_240930_1119\sm_car_240930_1119_213_Ca172TrN_MaRDR_ode23t_1.png","figure")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2943</v>
      </c>
      <c r="L215" s="4">
        <v>55.308862400000002</v>
      </c>
      <c r="M215" s="4">
        <v>176.5899320420161</v>
      </c>
      <c r="N215" s="4">
        <v>8.7084693990002412E-4</v>
      </c>
      <c r="O215" s="1" t="str">
        <f>HYPERLINK(".\sm_car_240930_1119\sm_car_240930_1119_214_Ca139TrN_MaZRR_ode23t_1.png","figure")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3568</v>
      </c>
      <c r="L216" s="4">
        <v>40.399928699999997</v>
      </c>
      <c r="M216" s="4">
        <v>176.84994915724135</v>
      </c>
      <c r="N216" s="4">
        <v>8.1255104517916681E-5</v>
      </c>
      <c r="O216" s="1" t="str">
        <f>HYPERLINK(".\sm_car_240930_1119\sm_car_240930_1119_215_Ca165TrN_MaZRR_ode23t_1.png","figure")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2934</v>
      </c>
      <c r="L217" s="4">
        <v>78.393555399999997</v>
      </c>
      <c r="M217" s="4">
        <v>176.58811026854883</v>
      </c>
      <c r="N217" s="4">
        <v>8.6664216074726374E-4</v>
      </c>
      <c r="O217" s="1" t="str">
        <f>HYPERLINK(".\sm_car_240930_1119\sm_car_240930_1119_216_Ca171TrN_MaZRR_ode23t_1.png","figure")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4925</v>
      </c>
      <c r="L218" s="4">
        <v>31.783188599999999</v>
      </c>
      <c r="M218" s="4">
        <v>-5.9984373202684953</v>
      </c>
      <c r="N218" s="4">
        <v>2.831329957934716E-3</v>
      </c>
      <c r="O218" s="1" t="str">
        <f>HYPERLINK(".\sm_car_240930_1119\sm_car_240930_1119_217_Ca170TrN_MaCMP_ode23t_1.png","figure")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1816</v>
      </c>
      <c r="L219" s="4">
        <v>20.614909300000001</v>
      </c>
      <c r="M219" s="4">
        <v>-5.9893709939942257</v>
      </c>
      <c r="N219" s="4">
        <v>2.9231879194543601E-3</v>
      </c>
      <c r="O219" s="1" t="str">
        <f>HYPERLINK(".\sm_car_240930_1119\sm_car_240930_1119_218_Ca170TrN_MaCMF_ode23t_1.png","figure")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4627</v>
      </c>
      <c r="L220" s="4">
        <v>71.855572800000004</v>
      </c>
      <c r="M220" s="4">
        <v>-329.53905006309407</v>
      </c>
      <c r="N220" s="4">
        <v>6.1403600083105578</v>
      </c>
      <c r="O220" s="1" t="str">
        <f>HYPERLINK(".\sm_car_240930_1119\sm_car_240930_1119_219_Ca170TrN_MaMPO_ode23t_1.png","figure")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1215</v>
      </c>
      <c r="L221" s="4">
        <v>20.043191100000001</v>
      </c>
      <c r="M221" s="4">
        <v>-13.865773784040371</v>
      </c>
      <c r="N221" s="4">
        <v>0.22556216669778451</v>
      </c>
      <c r="O221" s="1" t="str">
        <f>HYPERLINK(".\sm_car_240930_1119\sm_car_240930_1119_220_Ca170TrN_MaMCI_ode23t_1.png","figure")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5725</v>
      </c>
      <c r="L222" s="4">
        <v>36.695669600000002</v>
      </c>
      <c r="M222" s="4">
        <v>-5.9989382149344701</v>
      </c>
      <c r="N222" s="4">
        <v>-4.4572475074867897E-3</v>
      </c>
      <c r="O222" s="1" t="str">
        <f>HYPERLINK(".\sm_car_240930_1119\sm_car_240930_1119_221_Ca170TrN_MaCHO_ode23t_1.png","figure")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3383</v>
      </c>
      <c r="L223" s="4">
        <v>37.143582500000001</v>
      </c>
      <c r="M223" s="4">
        <v>-5.9844406662792018</v>
      </c>
      <c r="N223" s="4">
        <v>-4.5553317746344548E-3</v>
      </c>
      <c r="O223" s="1" t="str">
        <f>HYPERLINK(".\sm_car_240930_1119\sm_car_240930_1119_222_Ca170TrN_MaCHF_ode23t_1.png","figure")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7056</v>
      </c>
      <c r="L224" s="4">
        <v>51.9478899</v>
      </c>
      <c r="M224" s="4">
        <v>-752.11381273220957</v>
      </c>
      <c r="N224" s="4">
        <v>628.45192156704047</v>
      </c>
      <c r="O224" s="1" t="str">
        <f>HYPERLINK(".\sm_car_240930_1119\sm_car_240930_1119_223_Ca170TrN_MaCKY_ode23t_1.png","figure")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2151</v>
      </c>
      <c r="L225" s="4">
        <v>27.516483699999998</v>
      </c>
      <c r="M225" s="4">
        <v>-758.74706845271726</v>
      </c>
      <c r="N225" s="4">
        <v>632.74553425746433</v>
      </c>
      <c r="O225" s="1" t="str">
        <f>HYPERLINK(".\sm_car_240930_1119\sm_car_240930_1119_224_Ca170TrN_MaCKF_ode23t_1.png","figure")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2792</v>
      </c>
      <c r="L226" s="4">
        <v>30.362180800000001</v>
      </c>
      <c r="M226" s="4">
        <v>177.34574713856776</v>
      </c>
      <c r="N226" s="4">
        <v>288.25279625227341</v>
      </c>
      <c r="O226" s="1" t="str">
        <f>HYPERLINK(".\sm_car_240930_1119\sm_car_240930_1119_225_Ca170TrN_MaCNN_ode23t_1.png","figure")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4371</v>
      </c>
      <c r="L227" s="4">
        <v>127.0958376</v>
      </c>
      <c r="M227" s="4">
        <v>2994.8746734077204</v>
      </c>
      <c r="N227" s="4">
        <v>-3064.8919192829885</v>
      </c>
      <c r="O227" s="1" t="str">
        <f>HYPERLINK(".\sm_car_240930_1119\sm_car_240930_1119_226_Ca170TrN_MaCNF_ode23t_1.png","figure")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2924</v>
      </c>
      <c r="L228" s="4">
        <v>26.473279699999999</v>
      </c>
      <c r="M228" s="4">
        <v>522.24157400693866</v>
      </c>
      <c r="N228" s="4">
        <v>-164.33031938642</v>
      </c>
      <c r="O228" s="1" t="str">
        <f>HYPERLINK(".\sm_car_240930_1119\sm_car_240930_1119_227_Ca170TrN_MaCSZ_ode23t_1.png","figure")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5698</v>
      </c>
      <c r="L229" s="4">
        <v>160.1680562</v>
      </c>
      <c r="M229" s="4">
        <v>-8.9267516801535951</v>
      </c>
      <c r="N229" s="4">
        <v>9.7635305503795278E-3</v>
      </c>
      <c r="O229" s="1" t="str">
        <f>HYPERLINK(".\sm_car_240930_1119\sm_car_240930_1119_228_Ca170TrN_MaCSF_ode23t_1.png","figure")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2147</v>
      </c>
      <c r="L230" s="4">
        <v>29.129931500000001</v>
      </c>
      <c r="M230" s="4">
        <v>209.02155689594687</v>
      </c>
      <c r="N230" s="4">
        <v>379.24621436115001</v>
      </c>
      <c r="O230" s="1" t="str">
        <f>HYPERLINK(".\sm_car_240930_1119\sm_car_240930_1119_229_Ca170TrN_MaCPU_ode23t_1.png","figure")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2540</v>
      </c>
      <c r="L231" s="4">
        <v>30.5821498</v>
      </c>
      <c r="M231" s="4">
        <v>183.03232501027719</v>
      </c>
      <c r="N231" s="4">
        <v>-170.24498685459912</v>
      </c>
      <c r="O231" s="1" t="str">
        <f>HYPERLINK(".\sm_car_240930_1119\sm_car_240930_1119_230_Ca170TrN_MaCPD_ode23t_1.png","figure")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1838</v>
      </c>
      <c r="L232" s="4">
        <v>8.3846211000000004</v>
      </c>
      <c r="M232" s="4">
        <v>-5.9998931448022619</v>
      </c>
      <c r="N232" s="4">
        <v>2.900435534250438E-3</v>
      </c>
      <c r="O232" s="1" t="str">
        <f>HYPERLINK(".\sm_car_240930_1119\sm_car_240930_1119_231_Ca202TrN_MaCMF_ode23t_1.png","figure")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4526</v>
      </c>
      <c r="L233" s="4">
        <v>41.671908000000002</v>
      </c>
      <c r="M233" s="4">
        <v>-329.53268640926785</v>
      </c>
      <c r="N233" s="4">
        <v>6.1224522244264312</v>
      </c>
      <c r="O233" s="1" t="str">
        <f>HYPERLINK(".\sm_car_240930_1119\sm_car_240930_1119_232_Ca202TrN_MaMPO_ode23t_1.png","figure")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1203</v>
      </c>
      <c r="L234" s="4">
        <v>11.9649909</v>
      </c>
      <c r="M234" s="4">
        <v>-13.865442364356035</v>
      </c>
      <c r="N234" s="4">
        <v>0.22574268887370863</v>
      </c>
      <c r="O234" s="1" t="str">
        <f>HYPERLINK(".\sm_car_240930_1119\sm_car_240930_1119_233_Ca202TrN_MaMCI_ode23t_1.png","figure")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3637</v>
      </c>
      <c r="L235" s="4">
        <v>18.3567426</v>
      </c>
      <c r="M235" s="4">
        <v>-5.9991593205619562</v>
      </c>
      <c r="N235" s="4">
        <v>-7.2010165072066571E-3</v>
      </c>
      <c r="O235" s="1" t="str">
        <f>HYPERLINK(".\sm_car_240930_1119\sm_car_240930_1119_234_Ca202TrN_MaCKF_ode23t_1.png","figure")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10234</v>
      </c>
      <c r="L236" s="4">
        <v>196.4959824</v>
      </c>
      <c r="M236" s="4">
        <v>-8.9991962189184527</v>
      </c>
      <c r="N236" s="4">
        <v>4.69924713816419E-2</v>
      </c>
      <c r="O236" s="1" t="str">
        <f>HYPERLINK(".\sm_car_240930_1119\sm_car_240930_1119_235_Ca202TrN_MaCNF_ode23t_1.png","figure")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5703</v>
      </c>
      <c r="L237" s="4">
        <v>92.649488099999999</v>
      </c>
      <c r="M237" s="4">
        <v>-8.9611208828619962</v>
      </c>
      <c r="N237" s="4">
        <v>9.9654162556420608E-3</v>
      </c>
      <c r="O237" s="1" t="str">
        <f>HYPERLINK(".\sm_car_240930_1119\sm_car_240930_1119_236_Ca202TrN_MaCSF_ode23t_1.png","figure")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5436</v>
      </c>
      <c r="L238" s="4">
        <v>36.404578299999997</v>
      </c>
      <c r="M238" s="4">
        <v>-5.9995602342527308</v>
      </c>
      <c r="N238" s="4">
        <v>2.906393241688396E-3</v>
      </c>
      <c r="O238" s="1" t="str">
        <f>HYPERLINK(".\sm_car_240930_1119\sm_car_240930_1119_237_Ca202TrN_MaCMP_ode23t_1.png","figure")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14907</v>
      </c>
      <c r="L239" s="4">
        <v>103.27469360000001</v>
      </c>
      <c r="M239" s="4">
        <v>-5.9979219969407458</v>
      </c>
      <c r="N239" s="4">
        <v>-8.9173020838779309E-3</v>
      </c>
      <c r="O239" s="1" t="str">
        <f>HYPERLINK(".\sm_car_240930_1119\sm_car_240930_1119_238_Ca202TrN_MaCKY_ode23t_1.png","figure")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4.4625471000000001</v>
      </c>
      <c r="M240" s="4">
        <v>382.00939327162217</v>
      </c>
      <c r="N240" s="4">
        <v>0.32992049848204708</v>
      </c>
      <c r="O240" s="1" t="str">
        <f>HYPERLINK(".\sm_car_240930_1119\sm_car_240930_1119_239_Ca202TrN_MaCPL_ode23t_1.png","figure")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2582</v>
      </c>
      <c r="L241" s="4">
        <v>62.408962099999997</v>
      </c>
      <c r="M241" s="4">
        <v>176.38711579620744</v>
      </c>
      <c r="N241" s="4">
        <v>7.5367968255672972E-4</v>
      </c>
      <c r="O241" s="1" t="str">
        <f>HYPERLINK(".\sm_car_240930_1119\sm_car_240930_1119_240_Ca140TrN_MaCRR_ode23t_1.png","figure")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3199</v>
      </c>
      <c r="L242" s="4">
        <v>60.877959400000002</v>
      </c>
      <c r="M242" s="4">
        <v>176.44713230936495</v>
      </c>
      <c r="N242" s="4">
        <v>7.8319883942979036E-4</v>
      </c>
      <c r="O242" s="1" t="str">
        <f>HYPERLINK(".\sm_car_240930_1119\sm_car_240930_1119_241_Ca189TrN_MaCRR_ode23t_1.png","figure")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1727</v>
      </c>
      <c r="L243" s="4">
        <v>129.31557670000001</v>
      </c>
      <c r="M243" s="4">
        <v>51.29961571110573</v>
      </c>
      <c r="N243" s="4">
        <v>9.008414994225486E-3</v>
      </c>
      <c r="O243" s="1" t="str">
        <f>HYPERLINK(".\sm_car_240930_1119\sm_car_240930_1119_242_Ca173TrN_MaDCA_daessc_1.png","figure")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4214</v>
      </c>
      <c r="L244" s="4">
        <v>196.08377100000001</v>
      </c>
      <c r="M244" s="4">
        <v>980.46540780545217</v>
      </c>
      <c r="N244" s="4">
        <v>0.72235444142413707</v>
      </c>
      <c r="O244" s="1" t="str">
        <f>HYPERLINK(".\sm_car_240930_1119\sm_car_240930_1119_243_Ca173TrN_MaDC1_daessc_1.png","figure")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332</v>
      </c>
      <c r="L245" s="4">
        <v>5.7953723000000004</v>
      </c>
      <c r="M245" s="4">
        <v>53.509578239721478</v>
      </c>
      <c r="N245" s="4">
        <v>9.874139901183002E-3</v>
      </c>
      <c r="O245" s="1" t="str">
        <f>HYPERLINK(".\sm_car_240930_1119\sm_car_240930_1119_244_Ca165TrN_MaDCA_ode23t_1.png","figure")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1187</v>
      </c>
      <c r="L246" s="4">
        <v>13.299426800000001</v>
      </c>
      <c r="M246" s="4">
        <v>992.6539279970707</v>
      </c>
      <c r="N246" s="4">
        <v>0.83113493112968395</v>
      </c>
      <c r="O246" s="1" t="str">
        <f>HYPERLINK(".\sm_car_240930_1119\sm_car_240930_1119_245_Ca165TrN_MaDC1_ode23t_1.png","figure")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4161</v>
      </c>
      <c r="L247" s="4">
        <v>95.038888299999996</v>
      </c>
      <c r="M247" s="4">
        <v>980.46183835068507</v>
      </c>
      <c r="N247" s="4">
        <v>0.72243998582010749</v>
      </c>
      <c r="O247" s="1" t="str">
        <f>HYPERLINK(".\sm_car_240930_1119\sm_car_240930_1119_246_Ca196TrN_MaDC1_daessc_1.png","figure")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476</v>
      </c>
      <c r="L248" s="4">
        <v>7.2456988999999998</v>
      </c>
      <c r="M248" s="4">
        <v>147.8187532228219</v>
      </c>
      <c r="N248" s="4">
        <v>9.5246861226239612E-2</v>
      </c>
      <c r="O248" s="1" t="str">
        <f>HYPERLINK(".\sm_car_240930_1119\sm_car_240930_1119_247_Ca179TrN_MaWOT_ode23t_1.png","figure")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498</v>
      </c>
      <c r="L249" s="4">
        <v>10.9599948</v>
      </c>
      <c r="M249" s="4">
        <v>147.86507683474844</v>
      </c>
      <c r="N249" s="4">
        <v>9.4535118318422262E-2</v>
      </c>
      <c r="O249" s="1" t="str">
        <f>HYPERLINK(".\sm_car_240930_1119\sm_car_240930_1119_248_Ca180TrN_MaWOT_ode23t_1.png","figure")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460</v>
      </c>
      <c r="L250" s="4">
        <v>3.1326534000000001</v>
      </c>
      <c r="M250" s="4">
        <v>147.82521218310927</v>
      </c>
      <c r="N250" s="4">
        <v>9.4456850711384363E-2</v>
      </c>
      <c r="O250" s="1" t="str">
        <f>HYPERLINK(".\sm_car_240930_1119\sm_car_240930_1119_249_Ca197TrN_MaWOT_ode23t_1.png","figure")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19.514486399999999</v>
      </c>
      <c r="M251" s="4">
        <v>63.227172416907337</v>
      </c>
      <c r="N251" s="4">
        <v>-25.378190011468046</v>
      </c>
      <c r="O251" s="1" t="str">
        <f>HYPERLINK(".\sm_car_240930_1119\sm_car_240930_1119_250_Ca182TrN_MaTUR_ode23t_1.png","figure")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 s="4">
        <v>6.6942651</v>
      </c>
      <c r="M252" s="4">
        <v>63.213941836934069</v>
      </c>
      <c r="N252" s="4">
        <v>-25.380824389233485</v>
      </c>
      <c r="O252" s="1" t="str">
        <f>HYPERLINK(".\sm_car_240930_1119\sm_car_240930_1119_251_Ca203TrN_MaTUR_ode23t_1.png","figure")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428</v>
      </c>
      <c r="L253" s="4">
        <v>20.912269200000001</v>
      </c>
      <c r="M253" s="4">
        <v>114.1766297220766</v>
      </c>
      <c r="N253" s="4">
        <v>-80.782199113943108</v>
      </c>
      <c r="O253" s="1" t="str">
        <f>HYPERLINK(".\sm_car_240930_1119\sm_car_240930_1119_252_Ca185TrN_MaTUR_ode23t_1.png","figure")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560</v>
      </c>
      <c r="L254" s="4">
        <v>12.123273299999999</v>
      </c>
      <c r="M254" s="4">
        <v>140.63388298467797</v>
      </c>
      <c r="N254" s="4">
        <v>-71.77742441349956</v>
      </c>
      <c r="O254" s="1" t="str">
        <f>HYPERLINK(".\sm_car_240930_1119\sm_car_240930_1119_253_Ca188TrN_MaTUR_ode23t_1.png","figure")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435</v>
      </c>
      <c r="L255" s="4">
        <v>20.6432134</v>
      </c>
      <c r="M255" s="4">
        <v>79.081929959359798</v>
      </c>
      <c r="N255" s="4">
        <v>-0.33226143308131689</v>
      </c>
      <c r="O255" s="1" t="str">
        <f>HYPERLINK(".\sm_car_240930_1119\sm_car_Axle3_240930_1119_254_CaAxle3_000TrN_MaWOT_ode23t_1.png","figure")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488</v>
      </c>
      <c r="L256" s="4">
        <v>21.875293200000002</v>
      </c>
      <c r="M256" s="4">
        <v>69.125541323148454</v>
      </c>
      <c r="N256" s="4">
        <v>8.3843922377627292E-2</v>
      </c>
      <c r="O256" s="1" t="str">
        <f>HYPERLINK(".\sm_car_240930_1119\sm_car_Axle3_240930_1119_255_CaAxle3_008TrN_MaWOT_ode23t_1.png","figure")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18.030990800000001</v>
      </c>
      <c r="M257" s="4">
        <v>79.24769441161969</v>
      </c>
      <c r="N257" s="4">
        <v>-0.31325677542900665</v>
      </c>
      <c r="O257" s="1" t="str">
        <f>HYPERLINK(".\sm_car_240930_1119\sm_car_Axle3_240930_1119_256_CaAxle3_003TrN_MaWOT_ode23t_1.png","figure")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 s="4">
        <v>2.9579040000000001</v>
      </c>
      <c r="M258" s="4">
        <v>80.105368727560347</v>
      </c>
      <c r="N258" s="4">
        <v>-0.31922436244434088</v>
      </c>
      <c r="O258" s="1" t="str">
        <f>HYPERLINK(".\sm_car_240930_1119\sm_car_Axle3_240930_1119_257_CaAxle3_017TrN_MaWOT_ode23t_1.png","figure")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45.996200399999999</v>
      </c>
      <c r="M259" s="4">
        <v>23.326907524485339</v>
      </c>
      <c r="N259" s="4">
        <v>2.4826893934114976E-3</v>
      </c>
      <c r="O259" s="1" t="str">
        <f>HYPERLINK(".\sm_car_240930_1119\sm_car_Axle3_240930_1119_258_CaAxle3_010TrK_MaWOT_ode23t_1.png","figure")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44.991455199999997</v>
      </c>
      <c r="M260" s="4">
        <v>23.441153101647831</v>
      </c>
      <c r="N260" s="4">
        <v>2.5318370679568297E-3</v>
      </c>
      <c r="O260" s="1" t="str">
        <f>HYPERLINK(".\sm_car_240930_1119\sm_car_Axle3_240930_1119_259_CaAxle3_010TrK_MaWOT_ode23t_1.png","figure")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3.5716817000000001</v>
      </c>
      <c r="M261" s="4">
        <v>26.919982883540509</v>
      </c>
      <c r="N261" s="4">
        <v>3.621376984547349E-3</v>
      </c>
      <c r="O261" s="1" t="str">
        <f>HYPERLINK(".\sm_car_240930_1119\sm_car_Axle3_240930_1119_260_CaAxle3_019TrK_MaWOT_ode23t_1.png","figure")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3.5826699</v>
      </c>
      <c r="M262" s="4">
        <v>26.903891641978319</v>
      </c>
      <c r="N262" s="4">
        <v>3.6113456748907632E-3</v>
      </c>
      <c r="O262" s="1" t="str">
        <f>HYPERLINK(".\sm_car_240930_1119\sm_car_Axle3_240930_1119_261_CaAxle3_019TrK_MaWOT_ode23t_1.png","figure")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666</v>
      </c>
      <c r="L263" s="4">
        <v>28.877029400000001</v>
      </c>
      <c r="M263" s="4">
        <v>253.23732462164332</v>
      </c>
      <c r="N263" s="4">
        <v>-9.6804866988886573E-2</v>
      </c>
      <c r="O263" s="1" t="str">
        <f>HYPERLINK(".\sm_car_240930_1119\sm_car_Axle3_240930_1119_262_CaAxle3_012TrK_MaDLC_ode23t_1.png","figure")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755</v>
      </c>
      <c r="L264" s="4">
        <v>30.20992</v>
      </c>
      <c r="M264" s="4">
        <v>254.39233198667654</v>
      </c>
      <c r="N264" s="4">
        <v>-9.8901082958095188E-2</v>
      </c>
      <c r="O264" s="1" t="str">
        <f>HYPERLINK(".\sm_car_240930_1119\sm_car_Axle3_240930_1119_263_CaAxle3_012TrK_MaDLC_ode23t_1.png","figure")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672</v>
      </c>
      <c r="L265" s="4">
        <v>28.290202399999998</v>
      </c>
      <c r="M265" s="4">
        <v>255.83077909844297</v>
      </c>
      <c r="N265" s="4">
        <v>-0.10453476514283278</v>
      </c>
      <c r="O265" s="1" t="str">
        <f>HYPERLINK(".\sm_car_240930_1119\sm_car_Axle3_240930_1119_264_CaAxle3_012TrK_MaDLC_ode23t_1.png","figure")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922</v>
      </c>
      <c r="L266" s="4">
        <v>35.086640899999999</v>
      </c>
      <c r="M266" s="4">
        <v>253.20826861991611</v>
      </c>
      <c r="N266" s="4">
        <v>-8.8697000987246533E-2</v>
      </c>
      <c r="O266" s="1" t="str">
        <f>HYPERLINK(".\sm_car_240930_1119\sm_car_Axle3_240930_1119_265_CaAxle3_012TrK_MaDLC_ode23t_1.png","figure")</f>
        <v>figure</v>
      </c>
      <c r="P266" t="s">
        <v>15</v>
      </c>
    </row>
  </sheetData>
  <autoFilter ref="A1:P266" xr:uid="{D6B9D476-479C-456E-8FA6-59DD3EC6DA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F3B2-75D9-43F6-A254-0996164301F7}">
  <dimension ref="A1:R286"/>
  <sheetViews>
    <sheetView tabSelected="1" workbookViewId="0">
      <selection activeCell="Q6" sqref="Q6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11.4257812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133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410</v>
      </c>
      <c r="L2" s="4">
        <v>10.123202300000001</v>
      </c>
      <c r="M2" s="4">
        <v>231.25112630621558</v>
      </c>
      <c r="N2" s="4">
        <v>-3.3795476403583563E-3</v>
      </c>
      <c r="O2" s="1" t="str">
        <f>HYPERLINK(".\sm_car_250420_1604\sm_car_250420_1604_001_Ca000TrN_MaWOT_ode23t.png","figure")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531</v>
      </c>
      <c r="L3" s="4">
        <v>13.084540499999999</v>
      </c>
      <c r="M3" s="4">
        <v>71.235616613759632</v>
      </c>
      <c r="N3" s="4">
        <v>-0.53996049646051314</v>
      </c>
      <c r="O3" s="1" t="str">
        <f>HYPERLINK(".\sm_car_250420_1604\sm_car_250420_1604_002_Ca000TrN_MaLSS_ode23t.png","figure")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413</v>
      </c>
      <c r="L4" s="4">
        <v>12.669536300000001</v>
      </c>
      <c r="M4" s="4">
        <v>230.40146073983365</v>
      </c>
      <c r="N4" s="4">
        <v>-1.1829122185963969E-2</v>
      </c>
      <c r="O4" s="1" t="str">
        <f>HYPERLINK(".\sm_car_250420_1604\sm_car_250420_1604_003_Ca001TrN_MaWOT_ode23t.png","figure")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534</v>
      </c>
      <c r="L5" s="4">
        <v>14.2085972</v>
      </c>
      <c r="M5" s="4">
        <v>70.961639608181073</v>
      </c>
      <c r="N5" s="4">
        <v>-0.53256782442674522</v>
      </c>
      <c r="O5" s="1" t="str">
        <f>HYPERLINK(".\sm_car_250420_1604\sm_car_250420_1604_004_Ca001TrN_MaLSS_ode23t.png","figure")</f>
        <v>figure</v>
      </c>
      <c r="P5" t="s">
        <v>15</v>
      </c>
      <c r="R5" t="s">
        <v>134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439</v>
      </c>
      <c r="L6" s="4">
        <v>19.376871900000001</v>
      </c>
      <c r="M6" s="4">
        <v>229.96323705423086</v>
      </c>
      <c r="N6" s="4">
        <v>6.4318424611190805E-2</v>
      </c>
      <c r="O6" s="1" t="str">
        <f>HYPERLINK(".\sm_car_250420_1604\sm_car_250420_1604_005_Ca002TrN_MaWOT_ode23t.png","figure")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525</v>
      </c>
      <c r="L7" s="4">
        <v>20.197522899999999</v>
      </c>
      <c r="M7" s="4">
        <v>70.951729745816806</v>
      </c>
      <c r="N7" s="4">
        <v>-0.53273147147092603</v>
      </c>
      <c r="O7" s="1" t="str">
        <f>HYPERLINK(".\sm_car_250420_1604\sm_car_250420_1604_006_Ca002TrN_MaLSS_ode23t.png","figure")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475</v>
      </c>
      <c r="L8" s="4">
        <v>20.877497399999999</v>
      </c>
      <c r="M8" s="4">
        <v>229.96634269664369</v>
      </c>
      <c r="N8" s="4">
        <v>5.3970398088647141E-2</v>
      </c>
      <c r="O8" s="1" t="str">
        <f>HYPERLINK(".\sm_car_250420_1604\sm_car_250420_1604_007_Ca003TrN_MaWOT_ode23t.png","figure")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567</v>
      </c>
      <c r="L9" s="4">
        <v>20.2761979</v>
      </c>
      <c r="M9" s="4">
        <v>70.825027724124993</v>
      </c>
      <c r="N9" s="4">
        <v>-0.52757828861110534</v>
      </c>
      <c r="O9" s="1" t="str">
        <f>HYPERLINK(".\sm_car_250420_1604\sm_car_250420_1604_008_Ca003TrN_MaLSS_ode23t.png","figure")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1076</v>
      </c>
      <c r="L10" s="4">
        <v>18.100548199999999</v>
      </c>
      <c r="M10" s="4">
        <v>231.10033717414385</v>
      </c>
      <c r="N10" s="4">
        <v>-3.3737761365582107E-3</v>
      </c>
      <c r="O10" s="1" t="str">
        <f>HYPERLINK(".\sm_car_250420_1604\sm_car_250420_1604_009_Ca004TrN_MaWOT_ode23t.png","figure")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1221</v>
      </c>
      <c r="L11" s="4">
        <v>23.067837399999998</v>
      </c>
      <c r="M11" s="4">
        <v>71.250555237438121</v>
      </c>
      <c r="N11" s="4">
        <v>-0.5433062772519609</v>
      </c>
      <c r="O11" s="1" t="str">
        <f>HYPERLINK(".\sm_car_250420_1604\sm_car_250420_1604_010_Ca004TrN_MaLSS_ode23t.png","figure")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1120</v>
      </c>
      <c r="L12" s="4">
        <v>21.443356399999999</v>
      </c>
      <c r="M12" s="4">
        <v>230.39146954859132</v>
      </c>
      <c r="N12" s="4">
        <v>-1.1345570903835409E-2</v>
      </c>
      <c r="O12" s="1" t="str">
        <f>HYPERLINK(".\sm_car_250420_1604\sm_car_250420_1604_011_Ca005TrN_MaWOT_ode23t.png","figure")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1261</v>
      </c>
      <c r="L13" s="4">
        <v>25.0714866</v>
      </c>
      <c r="M13" s="4">
        <v>70.974593406874391</v>
      </c>
      <c r="N13" s="4">
        <v>-0.53826287581263454</v>
      </c>
      <c r="O13" s="1" t="str">
        <f>HYPERLINK(".\sm_car_250420_1604\sm_car_250420_1604_012_Ca005TrN_MaLSS_ode23t.png","figure")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1209</v>
      </c>
      <c r="L14" s="4">
        <v>27.054676000000001</v>
      </c>
      <c r="M14" s="4">
        <v>230.35464868553427</v>
      </c>
      <c r="N14" s="4">
        <v>5.8937751185099323E-3</v>
      </c>
      <c r="O14" s="1" t="str">
        <f>HYPERLINK(".\sm_car_250420_1604\sm_car_250420_1604_013_Ca006TrN_MaWOT_ode23t.png","figure")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1293</v>
      </c>
      <c r="L15" s="4">
        <v>24.874217699999999</v>
      </c>
      <c r="M15" s="4">
        <v>70.960433984255545</v>
      </c>
      <c r="N15" s="4">
        <v>-0.5328284940421667</v>
      </c>
      <c r="O15" s="1" t="str">
        <f>HYPERLINK(".\sm_car_250420_1604\sm_car_250420_1604_014_Ca006TrN_MaLSS_ode23t.png","figure")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1190</v>
      </c>
      <c r="L16" s="4">
        <v>27.592171199999999</v>
      </c>
      <c r="M16" s="4">
        <v>229.88319950100313</v>
      </c>
      <c r="N16" s="4">
        <v>5.243925710628583E-2</v>
      </c>
      <c r="O16" s="1" t="str">
        <f>HYPERLINK(".\sm_car_250420_1604\sm_car_250420_1604_015_Ca007TrN_MaWOT_ode23t.png","figure")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1296</v>
      </c>
      <c r="L17" s="4">
        <v>28.273016800000001</v>
      </c>
      <c r="M17" s="4">
        <v>70.830748109134063</v>
      </c>
      <c r="N17" s="4">
        <v>-0.53061352907995862</v>
      </c>
      <c r="O17" s="1" t="str">
        <f>HYPERLINK(".\sm_car_250420_1604\sm_car_250420_1604_016_Ca007TrN_MaLSS_ode23t.png","figure")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401</v>
      </c>
      <c r="L18" s="4">
        <v>9.4862780000000004</v>
      </c>
      <c r="M18" s="4">
        <v>231.99149805505377</v>
      </c>
      <c r="N18" s="4">
        <v>-6.9843453776656517E-2</v>
      </c>
      <c r="O18" s="1" t="str">
        <f>HYPERLINK(".\sm_car_250420_1604\sm_car_250420_1604_017_Ca016TrN_MaWOT_ode23t.png","figure")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505</v>
      </c>
      <c r="L19" s="4">
        <v>10.701406199999999</v>
      </c>
      <c r="M19" s="4">
        <v>71.52084117405235</v>
      </c>
      <c r="N19" s="4">
        <v>-2.1535669256168764E-2</v>
      </c>
      <c r="O19" s="1" t="str">
        <f>HYPERLINK(".\sm_car_250420_1604\sm_car_250420_1604_018_Ca016TrN_MaLSS_ode23t.png","figure")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404</v>
      </c>
      <c r="L20" s="4">
        <v>13.264213</v>
      </c>
      <c r="M20" s="4">
        <v>231.13614364131348</v>
      </c>
      <c r="N20" s="4">
        <v>8.9436386361535277E-3</v>
      </c>
      <c r="O20" s="1" t="str">
        <f>HYPERLINK(".\sm_car_250420_1604\sm_car_250420_1604_019_Ca032TrN_MaWOT_ode23t.png","figure")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522</v>
      </c>
      <c r="L21" s="4">
        <v>14.083641800000001</v>
      </c>
      <c r="M21" s="4">
        <v>71.245026736378279</v>
      </c>
      <c r="N21" s="4">
        <v>-0.52230507782872182</v>
      </c>
      <c r="O21" s="1" t="str">
        <f>HYPERLINK(".\sm_car_250420_1604\sm_car_250420_1604_020_Ca032TrN_MaLSS_ode23t.png","figure")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412</v>
      </c>
      <c r="L22" s="4">
        <v>12.9543727</v>
      </c>
      <c r="M22" s="4">
        <v>231.31523341698724</v>
      </c>
      <c r="N22" s="4">
        <v>-1.8814257183652858E-2</v>
      </c>
      <c r="O22" s="1" t="str">
        <f>HYPERLINK(".\sm_car_250420_1604\sm_car_250420_1604_021_Ca048TrN_MaWOT_ode23t.png","figure")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528</v>
      </c>
      <c r="L23" s="4">
        <v>14.4738997</v>
      </c>
      <c r="M23" s="4">
        <v>71.242106251821951</v>
      </c>
      <c r="N23" s="4">
        <v>-0.52871623321710337</v>
      </c>
      <c r="O23" s="1" t="str">
        <f>HYPERLINK(".\sm_car_250420_1604\sm_car_250420_1604_022_Ca048TrN_MaLSS_ode23t.png","figure")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397</v>
      </c>
      <c r="L24" s="4">
        <v>14.0425158</v>
      </c>
      <c r="M24" s="4">
        <v>230.98082472795366</v>
      </c>
      <c r="N24" s="4">
        <v>1.1942151093856783E-2</v>
      </c>
      <c r="O24" s="1" t="str">
        <f>HYPERLINK(".\sm_car_250420_1604\sm_car_250420_1604_023_Ca064TrN_MaWOT_ode23t.png","figure")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534</v>
      </c>
      <c r="L25" s="4">
        <v>15.470767499999999</v>
      </c>
      <c r="M25" s="4">
        <v>71.257963072968963</v>
      </c>
      <c r="N25" s="4">
        <v>-0.51884468113380777</v>
      </c>
      <c r="O25" s="1" t="str">
        <f>HYPERLINK(".\sm_car_250420_1604\sm_car_250420_1604_024_Ca064TrN_MaLSS_ode23t.png","figure")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415</v>
      </c>
      <c r="L26" s="4">
        <v>14.486245800000001</v>
      </c>
      <c r="M26" s="4">
        <v>231.32447701164261</v>
      </c>
      <c r="N26" s="4">
        <v>-1.9777565644685739E-2</v>
      </c>
      <c r="O26" s="1" t="str">
        <f>HYPERLINK(".\sm_car_250420_1604\sm_car_250420_1604_025_Ca080TrN_MaWOT_ode23t.png","figure")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519</v>
      </c>
      <c r="L27" s="4">
        <v>14.6361414</v>
      </c>
      <c r="M27" s="4">
        <v>71.243742253326602</v>
      </c>
      <c r="N27" s="4">
        <v>-0.52594647830151153</v>
      </c>
      <c r="O27" s="1" t="str">
        <f>HYPERLINK(".\sm_car_250420_1604\sm_car_250420_1604_026_Ca080TrN_MaLSS_ode23t.png","figure")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409</v>
      </c>
      <c r="L28" s="4">
        <v>10.7418519</v>
      </c>
      <c r="M28" s="4">
        <v>233.11137345828902</v>
      </c>
      <c r="N28" s="4">
        <v>1.9032351462101572E-2</v>
      </c>
      <c r="O28" s="1" t="str">
        <f>HYPERLINK(".\sm_car_250420_1604\sm_car_250420_1604_027_Ca096TrN_MaWOT_ode23t.png","figure")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500</v>
      </c>
      <c r="L29" s="4">
        <v>10.652413900000001</v>
      </c>
      <c r="M29" s="4">
        <v>71.763513331040301</v>
      </c>
      <c r="N29" s="4">
        <v>-0.52893149612131907</v>
      </c>
      <c r="O29" s="1" t="str">
        <f>HYPERLINK(".\sm_car_250420_1604\sm_car_250420_1604_028_Ca096TrN_MaLSS_ode23t.png","figure")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371</v>
      </c>
      <c r="L30" s="4">
        <v>3.8666337</v>
      </c>
      <c r="M30" s="4">
        <v>242.67152292699501</v>
      </c>
      <c r="N30" s="4">
        <v>0.2345591293344764</v>
      </c>
      <c r="O30" s="1" t="str">
        <f>HYPERLINK(".\sm_car_250420_1604\sm_car_250420_1604_029_Ca112TrN_MaWOT_ode23t.png","figure")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480</v>
      </c>
      <c r="L31" s="4">
        <v>4.2744780000000002</v>
      </c>
      <c r="M31" s="4">
        <v>74.659633852677175</v>
      </c>
      <c r="N31" s="4">
        <v>-0.33798931083008427</v>
      </c>
      <c r="O31" s="1" t="str">
        <f>HYPERLINK(".\sm_car_250420_1604\sm_car_250420_1604_030_Ca112TrN_MaLSS_ode23t.png","figure")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378</v>
      </c>
      <c r="L32" s="4">
        <v>4.9531071000000004</v>
      </c>
      <c r="M32" s="4">
        <v>241.51474634106964</v>
      </c>
      <c r="N32" s="4">
        <v>0.22898262058264388</v>
      </c>
      <c r="O32" s="1" t="str">
        <f>HYPERLINK(".\sm_car_250420_1604\sm_car_250420_1604_031_Ca113TrN_MaWOT_ode23t.png","figure")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4.9378399000000002</v>
      </c>
      <c r="M33" s="4">
        <v>74.347602654962571</v>
      </c>
      <c r="N33" s="4">
        <v>-0.33382128757874369</v>
      </c>
      <c r="O33" s="1" t="str">
        <f>HYPERLINK(".\sm_car_250420_1604\sm_car_250420_1604_032_Ca113TrN_MaLSS_ode23t.png","figure")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373</v>
      </c>
      <c r="L34" s="4">
        <v>5.0701134999999997</v>
      </c>
      <c r="M34" s="4">
        <v>241.40024492909606</v>
      </c>
      <c r="N34" s="4">
        <v>0.22876237365570104</v>
      </c>
      <c r="O34" s="1" t="str">
        <f>HYPERLINK(".\sm_car_250420_1604\sm_car_250420_1604_033_Ca114TrN_MaWOT_ode23t.png","figure")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5.3853498999999996</v>
      </c>
      <c r="M35" s="4">
        <v>74.35226445479887</v>
      </c>
      <c r="N35" s="4">
        <v>-0.33366914501971273</v>
      </c>
      <c r="O35" s="1" t="str">
        <f>HYPERLINK(".\sm_car_250420_1604\sm_car_250420_1604_034_Ca114TrN_MaLSS_ode23t.png","figure")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395</v>
      </c>
      <c r="L36" s="4">
        <v>5.3701325000000004</v>
      </c>
      <c r="M36" s="4">
        <v>241.11731471999383</v>
      </c>
      <c r="N36" s="4">
        <v>0.22754671837434387</v>
      </c>
      <c r="O36" s="1" t="str">
        <f>HYPERLINK(".\sm_car_250420_1604\sm_car_250420_1604_035_Ca115TrN_MaWOT_ode23t.png","figure")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489</v>
      </c>
      <c r="L37" s="4">
        <v>5.3838634000000001</v>
      </c>
      <c r="M37" s="4">
        <v>74.209150360184211</v>
      </c>
      <c r="N37" s="4">
        <v>-0.33132576471059427</v>
      </c>
      <c r="O37" s="1" t="str">
        <f>HYPERLINK(".\sm_car_250420_1604\sm_car_250420_1604_036_Ca115TrN_MaLSS_ode23t.png","figure")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7.2434894999999999</v>
      </c>
      <c r="M38" s="4">
        <v>242.63118630005806</v>
      </c>
      <c r="N38" s="4">
        <v>0.2327919371692862</v>
      </c>
      <c r="O38" s="1" t="str">
        <f>HYPERLINK(".\sm_car_250420_1604\sm_car_250420_1604_037_Ca116TrN_MaWOT_ode23t.png","figure")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7.9220100999999996</v>
      </c>
      <c r="M39" s="4">
        <v>74.660234080632137</v>
      </c>
      <c r="N39" s="4">
        <v>-0.34043153147504285</v>
      </c>
      <c r="O39" s="1" t="str">
        <f>HYPERLINK(".\sm_car_250420_1604\sm_car_250420_1604_038_Ca116TrN_MaLSS_ode23t.png","figure")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949</v>
      </c>
      <c r="L40" s="4">
        <v>7.8375295999999999</v>
      </c>
      <c r="M40" s="4">
        <v>241.56667805846251</v>
      </c>
      <c r="N40" s="4">
        <v>0.22974577181876196</v>
      </c>
      <c r="O40" s="1" t="str">
        <f>HYPERLINK(".\sm_car_250420_1604\sm_car_250420_1604_039_Ca117TrN_MaWOT_ode23t.png","figure")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1094</v>
      </c>
      <c r="L41" s="4">
        <v>9.5953996000000004</v>
      </c>
      <c r="M41" s="4">
        <v>74.351770114122004</v>
      </c>
      <c r="N41" s="4">
        <v>-0.33660251686223591</v>
      </c>
      <c r="O41" s="1" t="str">
        <f>HYPERLINK(".\sm_car_250420_1604\sm_car_250420_1604_040_Ca117TrN_MaLSS_ode23t.png","figure")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943</v>
      </c>
      <c r="L42" s="4">
        <v>8.3038834000000001</v>
      </c>
      <c r="M42" s="4">
        <v>241.40855819013186</v>
      </c>
      <c r="N42" s="4">
        <v>0.23047510554264461</v>
      </c>
      <c r="O42" s="1" t="str">
        <f>HYPERLINK(".\sm_car_250420_1604\sm_car_250420_1604_041_Ca118TrN_MaWOT_ode23t.png","figure")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1062</v>
      </c>
      <c r="L43" s="4">
        <v>9.2740500000000008</v>
      </c>
      <c r="M43" s="4">
        <v>74.352653096860138</v>
      </c>
      <c r="N43" s="4">
        <v>-0.33477582387003896</v>
      </c>
      <c r="O43" s="1" t="str">
        <f>HYPERLINK(".\sm_car_250420_1604\sm_car_250420_1604_042_Ca118TrN_MaLSS_ode23t.png","figure")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943</v>
      </c>
      <c r="L44" s="4">
        <v>8.3391506</v>
      </c>
      <c r="M44" s="4">
        <v>240.91256402344899</v>
      </c>
      <c r="N44" s="4">
        <v>0.2277936582110455</v>
      </c>
      <c r="O44" s="1" t="str">
        <f>HYPERLINK(".\sm_car_250420_1604\sm_car_250420_1604_043_Ca119TrN_MaWOT_ode23t.png","figure")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1076</v>
      </c>
      <c r="L45" s="4">
        <v>9.4638007999999996</v>
      </c>
      <c r="M45" s="4">
        <v>74.197762407361367</v>
      </c>
      <c r="N45" s="4">
        <v>-0.33240319247960348</v>
      </c>
      <c r="O45" s="1" t="str">
        <f>HYPERLINK(".\sm_car_250420_1604\sm_car_250420_1604_044_Ca119TrN_MaLSS_ode23t.png","figure")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9.9972702000000009</v>
      </c>
      <c r="M46" s="4">
        <v>99.786525670341717</v>
      </c>
      <c r="N46" s="4">
        <v>-1.3733988475600931E-2</v>
      </c>
      <c r="O46" s="1" t="str">
        <f>HYPERLINK(".\sm_car_250420_1604\sm_car_250420_1604_045_Ca128TrN_MaWOT_ode23t.png","figure")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443</v>
      </c>
      <c r="L47" s="4">
        <v>11.9938152</v>
      </c>
      <c r="M47" s="4">
        <v>36.974787200611161</v>
      </c>
      <c r="N47" s="4">
        <v>-0.13061568648747557</v>
      </c>
      <c r="O47" s="1" t="str">
        <f>HYPERLINK(".\sm_car_250420_1604\sm_car_250420_1604_046_Ca128TrN_MaLSS_ode23t.png","figure")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347</v>
      </c>
      <c r="L48" s="4">
        <v>11.835841500000001</v>
      </c>
      <c r="M48" s="4">
        <v>229.41651266941213</v>
      </c>
      <c r="N48" s="4">
        <v>5.8557298732186916E-2</v>
      </c>
      <c r="O48" s="1" t="str">
        <f>HYPERLINK(".\sm_car_250420_1604\sm_car_250420_1604_047_Ca129TrN_MaWOT_ode23t.png","figure")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464</v>
      </c>
      <c r="L49" s="4">
        <v>14.6652266</v>
      </c>
      <c r="M49" s="4">
        <v>70.688688649335774</v>
      </c>
      <c r="N49" s="4">
        <v>-0.52489104908152251</v>
      </c>
      <c r="O49" s="1" t="str">
        <f>HYPERLINK(".\sm_car_250420_1604\sm_car_250420_1604_048_Ca129TrN_MaLSS_ode23t.png","figure")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818</v>
      </c>
      <c r="L50" s="4">
        <v>39.166645699999997</v>
      </c>
      <c r="M50" s="4">
        <v>217.18869014365791</v>
      </c>
      <c r="N50" s="4">
        <v>-1.5407263863449434</v>
      </c>
      <c r="O50" s="1" t="str">
        <f>HYPERLINK(".\sm_car_250420_1604\sm_car_250420_1604_049_Ca130TrN_MaWOT_ode23t.png","figure")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778</v>
      </c>
      <c r="L51" s="4">
        <v>34.897430499999999</v>
      </c>
      <c r="M51" s="4">
        <v>68.77188773750386</v>
      </c>
      <c r="N51" s="4">
        <v>-0.54724884722266709</v>
      </c>
      <c r="O51" s="1" t="str">
        <f>HYPERLINK(".\sm_car_250420_1604\sm_car_250420_1604_050_Ca130TrN_MaLSS_ode23t.png","figure")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358</v>
      </c>
      <c r="L52" s="4">
        <v>8.1811959000000005</v>
      </c>
      <c r="M52" s="4">
        <v>230.3526115344437</v>
      </c>
      <c r="N52" s="4">
        <v>-4.5254673250969803E-2</v>
      </c>
      <c r="O52" s="1" t="str">
        <f>HYPERLINK(".\sm_car_250420_1604\sm_car_250420_1604_051_Ca131TrN_MaWOT_ode23t.png","figure")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479</v>
      </c>
      <c r="L53" s="4">
        <v>9.0291072000000003</v>
      </c>
      <c r="M53" s="4">
        <v>70.972762589006351</v>
      </c>
      <c r="N53" s="4">
        <v>-0.5345848639101779</v>
      </c>
      <c r="O53" s="1" t="str">
        <f>HYPERLINK(".\sm_car_250420_1604\sm_car_250420_1604_052_Ca131TrN_MaLSS_ode23t.png","figure")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351</v>
      </c>
      <c r="L54" s="4">
        <v>8.0890211999999995</v>
      </c>
      <c r="M54" s="4">
        <v>230.36198078517197</v>
      </c>
      <c r="N54" s="4">
        <v>-9.4357066352858555E-3</v>
      </c>
      <c r="O54" s="1" t="str">
        <f>HYPERLINK(".\sm_car_250420_1604\sm_car_250420_1604_053_Ca132TrN_MaWOT_ode23t.png","figure")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501</v>
      </c>
      <c r="L55" s="4">
        <v>9.6033594000000004</v>
      </c>
      <c r="M55" s="4">
        <v>70.964890798302704</v>
      </c>
      <c r="N55" s="4">
        <v>-0.53102834137529931</v>
      </c>
      <c r="O55" s="1" t="str">
        <f>HYPERLINK(".\sm_car_250420_1604\sm_car_250420_1604_054_Ca132TrN_MaLSS_ode23t.png","figure")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357</v>
      </c>
      <c r="L56" s="4">
        <v>7.8002072</v>
      </c>
      <c r="M56" s="4">
        <v>230.38423823097838</v>
      </c>
      <c r="N56" s="4">
        <v>-1.3223933517824533E-2</v>
      </c>
      <c r="O56" s="1" t="str">
        <f>HYPERLINK(".\sm_car_250420_1604\sm_car_250420_1604_055_Ca133TrN_MaWOT_ode23t.png","figure")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501</v>
      </c>
      <c r="L57" s="4">
        <v>9.1131746000000007</v>
      </c>
      <c r="M57" s="4">
        <v>70.974509926090747</v>
      </c>
      <c r="N57" s="4">
        <v>-0.53423888656162299</v>
      </c>
      <c r="O57" s="1" t="str">
        <f>HYPERLINK(".\sm_car_250420_1604\sm_car_250420_1604_056_Ca133TrN_MaLSS_ode23t.png","figure")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355</v>
      </c>
      <c r="L58" s="4">
        <v>8.3093131000000007</v>
      </c>
      <c r="M58" s="4">
        <v>230.35308302668588</v>
      </c>
      <c r="N58" s="4">
        <v>-7.5560024464944907E-3</v>
      </c>
      <c r="O58" s="1" t="str">
        <f>HYPERLINK(".\sm_car_250420_1604\sm_car_250420_1604_057_Ca134TrN_MaWOT_ode23t.png","figure")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495</v>
      </c>
      <c r="L59" s="4">
        <v>9.1827907</v>
      </c>
      <c r="M59" s="4">
        <v>70.98023435685478</v>
      </c>
      <c r="N59" s="4">
        <v>-0.53015074308322341</v>
      </c>
      <c r="O59" s="1" t="str">
        <f>HYPERLINK(".\sm_car_250420_1604\sm_car_250420_1604_058_Ca134TrN_MaLSS_ode23t.png","figure")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346</v>
      </c>
      <c r="L60" s="4">
        <v>8.0515232999999995</v>
      </c>
      <c r="M60" s="4">
        <v>230.41973631366307</v>
      </c>
      <c r="N60" s="4">
        <v>-8.382221868129586E-3</v>
      </c>
      <c r="O60" s="1" t="str">
        <f>HYPERLINK(".\sm_car_250420_1604\sm_car_250420_1604_059_Ca135TrN_MaWOT_ode23t.png","figure")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479</v>
      </c>
      <c r="L61" s="4">
        <v>9.5576468000000006</v>
      </c>
      <c r="M61" s="4">
        <v>70.981167670847512</v>
      </c>
      <c r="N61" s="4">
        <v>-0.51783844189883177</v>
      </c>
      <c r="O61" s="1" t="str">
        <f>HYPERLINK(".\sm_car_250420_1604\sm_car_250420_1604_060_Ca135TrN_MaLSS_ode23t.png","figure")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386</v>
      </c>
      <c r="L62" s="4">
        <v>9.7393377999999995</v>
      </c>
      <c r="M62" s="4">
        <v>230.28472236865218</v>
      </c>
      <c r="N62" s="4">
        <v>5.4739649982395812E-2</v>
      </c>
      <c r="O62" s="1" t="str">
        <f>HYPERLINK(".\sm_car_250420_1604\sm_car_250420_1604_061_Ca136TrN_MaWOT_ode23t.png","figure")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495</v>
      </c>
      <c r="L63" s="4">
        <v>11.5300818</v>
      </c>
      <c r="M63" s="4">
        <v>70.973862130172023</v>
      </c>
      <c r="N63" s="4">
        <v>-0.52981289650919172</v>
      </c>
      <c r="O63" s="1" t="str">
        <f>HYPERLINK(".\sm_car_250420_1604\sm_car_250420_1604_062_Ca136TrN_MaLSS_ode23t.png","figure")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328</v>
      </c>
      <c r="L64" s="4">
        <v>6.518446</v>
      </c>
      <c r="M64" s="4">
        <v>231.38156003230634</v>
      </c>
      <c r="N64" s="4">
        <v>0.13970764698529092</v>
      </c>
      <c r="O64" s="1" t="str">
        <f>HYPERLINK(".\sm_car_250420_1604\sm_car_250420_1604_063_Ca137TrN_MaWOT_ode23t.png","figure")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8.0522953000000008</v>
      </c>
      <c r="M65" s="4">
        <v>71.244310987772664</v>
      </c>
      <c r="N65" s="4">
        <v>-0.51200629096362693</v>
      </c>
      <c r="O65" s="1" t="str">
        <f>HYPERLINK(".\sm_car_250420_1604\sm_car_250420_1604_064_Ca137TrN_MaLSS_ode23t.png","figure")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332</v>
      </c>
      <c r="L66" s="4">
        <v>10.141958900000001</v>
      </c>
      <c r="M66" s="4">
        <v>230.98754698245858</v>
      </c>
      <c r="N66" s="4">
        <v>0.14882105891144864</v>
      </c>
      <c r="O66" s="1" t="str">
        <f>HYPERLINK(".\sm_car_250420_1604\sm_car_250420_1604_065_Ca138TrN_MaWOT_ode23t.png","figure")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495</v>
      </c>
      <c r="L67" s="4">
        <v>11.9261424</v>
      </c>
      <c r="M67" s="4">
        <v>71.133254050416596</v>
      </c>
      <c r="N67" s="4">
        <v>-0.82864230304632336</v>
      </c>
      <c r="O67" s="1" t="str">
        <f>HYPERLINK(".\sm_car_250420_1604\sm_car_250420_1604_066_Ca138TrN_MaLSS_ode23t.png","figure")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617</v>
      </c>
      <c r="L68" s="4">
        <v>40.600663699999998</v>
      </c>
      <c r="M68" s="4">
        <v>405.21327131720494</v>
      </c>
      <c r="N68" s="4">
        <v>1.5867873651079791</v>
      </c>
      <c r="O68" s="1" t="str">
        <f>HYPERLINK(".\sm_car_250420_1604\sm_car_250420_1604_067_Ca139TrN_MaWOT_ode23t.png","figure")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630</v>
      </c>
      <c r="L69" s="4">
        <v>27.240769799999999</v>
      </c>
      <c r="M69" s="4">
        <v>154.35196673765864</v>
      </c>
      <c r="N69" s="4">
        <v>-0.58329815578779343</v>
      </c>
      <c r="O69" s="1" t="str">
        <f>HYPERLINK(".\sm_car_250420_1604\sm_car_250420_1604_068_Ca139TrN_MaLSS_ode23t.png","figure")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2057</v>
      </c>
      <c r="L70" s="4">
        <v>66.871531899999994</v>
      </c>
      <c r="M70" s="4">
        <v>405.30239118187649</v>
      </c>
      <c r="N70" s="4">
        <v>1.6315245538571737</v>
      </c>
      <c r="O70" s="1" t="str">
        <f>HYPERLINK(".\sm_car_250420_1604\sm_car_250420_1604_069_Ca141TrN_MaWOT_ode23t.png","figure")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1861</v>
      </c>
      <c r="L71" s="4">
        <v>41.354844200000002</v>
      </c>
      <c r="M71" s="4">
        <v>154.42073484540722</v>
      </c>
      <c r="N71" s="4">
        <v>-0.58186883968884173</v>
      </c>
      <c r="O71" s="1" t="str">
        <f>HYPERLINK(".\sm_car_250420_1604\sm_car_250420_1604_070_Ca141TrN_MaLSS_ode23t.png","figure")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354</v>
      </c>
      <c r="L72" s="4">
        <v>25.3609188</v>
      </c>
      <c r="M72" s="4">
        <v>95.813873498327837</v>
      </c>
      <c r="N72" s="4">
        <v>-3.0720354014033793E-2</v>
      </c>
      <c r="O72" s="1" t="str">
        <f>HYPERLINK(".\sm_car_250420_1604\sm_car_250420_1604_071_Ca143TrN_MaWOT_ode23t.png","figure")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466</v>
      </c>
      <c r="L73" s="4">
        <v>26.8487239</v>
      </c>
      <c r="M73" s="4">
        <v>25.015027843920162</v>
      </c>
      <c r="N73" s="4">
        <v>-5.2914797175818346E-2</v>
      </c>
      <c r="O73" s="1" t="str">
        <f>HYPERLINK(".\sm_car_250420_1604\sm_car_250420_1604_072_Ca143TrN_MaLSS_ode23t.png","figure")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350</v>
      </c>
      <c r="L74" s="4">
        <v>17.470280899999999</v>
      </c>
      <c r="M74" s="4">
        <v>114.0252842235234</v>
      </c>
      <c r="N74" s="4">
        <v>0.52873357092252871</v>
      </c>
      <c r="O74" s="1" t="str">
        <f>HYPERLINK(".\sm_car_250420_1604\sm_car_250420_1604_073_Ca144TrN_MaWOT_ode23t.png","figure")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458</v>
      </c>
      <c r="L75" s="4">
        <v>18.998986899999998</v>
      </c>
      <c r="M75" s="4">
        <v>35.602322000306522</v>
      </c>
      <c r="N75" s="4">
        <v>-3.2486912494362606E-2</v>
      </c>
      <c r="O75" s="1" t="str">
        <f>HYPERLINK(".\sm_car_250420_1604\sm_car_250420_1604_074_Ca144TrN_MaLSS_ode23t.png","figure")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2552</v>
      </c>
      <c r="L76" s="4">
        <v>44.364250599999998</v>
      </c>
      <c r="M76" s="4">
        <v>399.80817067426847</v>
      </c>
      <c r="N76" s="4">
        <v>-15.951405832370916</v>
      </c>
      <c r="O76" s="1" t="str">
        <f>HYPERLINK(".\sm_car_250420_1604\sm_car_250420_1604_075_Ca147TrN_MaWOT_ode23t.png","figure")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1305</v>
      </c>
      <c r="L77" s="4">
        <v>29.990582400000001</v>
      </c>
      <c r="M77" s="4">
        <v>151.94762845107834</v>
      </c>
      <c r="N77" s="4">
        <v>-2.4190926170712426</v>
      </c>
      <c r="O77" s="1" t="str">
        <f>HYPERLINK(".\sm_car_250420_1604\sm_car_250420_1604_076_Ca147TrN_MaLSS_ode23t.png","figure")</f>
        <v>figure</v>
      </c>
      <c r="P77" t="s">
        <v>15</v>
      </c>
    </row>
    <row r="78" spans="1:16" x14ac:dyDescent="0.25">
      <c r="A78">
        <v>77</v>
      </c>
      <c r="B78">
        <v>215</v>
      </c>
      <c r="C78" t="s">
        <v>105</v>
      </c>
      <c r="D78" t="s">
        <v>122</v>
      </c>
      <c r="E78" t="s">
        <v>108</v>
      </c>
      <c r="F78" t="s">
        <v>123</v>
      </c>
      <c r="G78" t="s">
        <v>20</v>
      </c>
      <c r="H78" t="s">
        <v>21</v>
      </c>
      <c r="I78" t="s">
        <v>22</v>
      </c>
      <c r="J78" t="s">
        <v>23</v>
      </c>
      <c r="K78">
        <v>309</v>
      </c>
      <c r="L78" s="4">
        <v>13.7502929</v>
      </c>
      <c r="M78" s="4">
        <v>229.68945888989899</v>
      </c>
      <c r="N78" s="4">
        <v>5.9183153927852587E-3</v>
      </c>
      <c r="O78" s="1" t="str">
        <f>HYPERLINK(".\sm_car_250420_1604\sm_car_250420_1604_077_Ca215TrN_MaWOT_ode23t.png","figure")</f>
        <v>figure</v>
      </c>
      <c r="P78" t="s">
        <v>15</v>
      </c>
    </row>
    <row r="79" spans="1:16" x14ac:dyDescent="0.25">
      <c r="A79">
        <v>78</v>
      </c>
      <c r="B79">
        <v>215</v>
      </c>
      <c r="C79" t="s">
        <v>105</v>
      </c>
      <c r="D79" t="s">
        <v>122</v>
      </c>
      <c r="E79" t="s">
        <v>108</v>
      </c>
      <c r="F79" t="s">
        <v>123</v>
      </c>
      <c r="G79" t="s">
        <v>20</v>
      </c>
      <c r="H79" t="s">
        <v>21</v>
      </c>
      <c r="I79" t="s">
        <v>24</v>
      </c>
      <c r="J79" t="s">
        <v>23</v>
      </c>
      <c r="K79">
        <v>479</v>
      </c>
      <c r="L79" s="4">
        <v>13.5419813</v>
      </c>
      <c r="M79" s="4">
        <v>81.286936099625137</v>
      </c>
      <c r="N79" s="4">
        <v>-0.22040746198301725</v>
      </c>
      <c r="O79" s="1" t="str">
        <f>HYPERLINK(".\sm_car_250420_1604\sm_car_250420_1604_078_Ca215TrN_MaLSS_ode23t.png","figure")</f>
        <v>figure</v>
      </c>
      <c r="P79" t="s">
        <v>15</v>
      </c>
    </row>
    <row r="80" spans="1:16" x14ac:dyDescent="0.25">
      <c r="A80">
        <v>79</v>
      </c>
      <c r="B80">
        <v>218</v>
      </c>
      <c r="C80" t="s">
        <v>16</v>
      </c>
      <c r="D80" t="s">
        <v>124</v>
      </c>
      <c r="E80" t="s">
        <v>108</v>
      </c>
      <c r="F80" t="s">
        <v>19</v>
      </c>
      <c r="G80" t="s">
        <v>26</v>
      </c>
      <c r="H80" t="s">
        <v>21</v>
      </c>
      <c r="I80" t="s">
        <v>22</v>
      </c>
      <c r="J80" t="s">
        <v>23</v>
      </c>
      <c r="K80">
        <v>354</v>
      </c>
      <c r="L80" s="4">
        <v>7.0890393999999999</v>
      </c>
      <c r="M80" s="4">
        <v>230.37582692400679</v>
      </c>
      <c r="N80" s="4">
        <v>0.16944214152990145</v>
      </c>
      <c r="O80" s="1" t="str">
        <f>HYPERLINK(".\sm_car_250420_1604\sm_car_250420_1604_079_Ca218TrN_MaWOT_ode23t.png","figure")</f>
        <v>figure</v>
      </c>
      <c r="P80" t="s">
        <v>15</v>
      </c>
    </row>
    <row r="81" spans="1:16" x14ac:dyDescent="0.25">
      <c r="A81">
        <v>80</v>
      </c>
      <c r="B81">
        <v>218</v>
      </c>
      <c r="C81" t="s">
        <v>16</v>
      </c>
      <c r="D81" t="s">
        <v>124</v>
      </c>
      <c r="E81" t="s">
        <v>108</v>
      </c>
      <c r="F81" t="s">
        <v>19</v>
      </c>
      <c r="G81" t="s">
        <v>26</v>
      </c>
      <c r="H81" t="s">
        <v>21</v>
      </c>
      <c r="I81" t="s">
        <v>24</v>
      </c>
      <c r="J81" t="s">
        <v>23</v>
      </c>
      <c r="K81">
        <v>492</v>
      </c>
      <c r="L81" s="4">
        <v>7.9325967000000004</v>
      </c>
      <c r="M81" s="4">
        <v>70.960737341316658</v>
      </c>
      <c r="N81" s="4">
        <v>-0.53487835099082615</v>
      </c>
      <c r="O81" s="1" t="str">
        <f>HYPERLINK(".\sm_car_250420_1604\sm_car_250420_1604_080_Ca218TrN_MaLSS_ode23t.png","figure")</f>
        <v>figure</v>
      </c>
      <c r="P81" t="s">
        <v>15</v>
      </c>
    </row>
    <row r="82" spans="1:16" x14ac:dyDescent="0.25">
      <c r="A82">
        <v>81</v>
      </c>
      <c r="B82">
        <v>219</v>
      </c>
      <c r="C82" t="s">
        <v>16</v>
      </c>
      <c r="D82" t="s">
        <v>125</v>
      </c>
      <c r="E82" t="s">
        <v>108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409</v>
      </c>
      <c r="L82" s="4">
        <v>11.9574523</v>
      </c>
      <c r="M82" s="4">
        <v>229.78366509972582</v>
      </c>
      <c r="N82" s="4">
        <v>0.1699879937516682</v>
      </c>
      <c r="O82" s="1" t="str">
        <f>HYPERLINK(".\sm_car_250420_1604\sm_car_250420_1604_081_Ca219TrN_MaWOT_ode23t.png","figure")</f>
        <v>figure</v>
      </c>
      <c r="P82" t="s">
        <v>15</v>
      </c>
    </row>
    <row r="83" spans="1:16" x14ac:dyDescent="0.25">
      <c r="A83">
        <v>82</v>
      </c>
      <c r="B83">
        <v>219</v>
      </c>
      <c r="C83" t="s">
        <v>16</v>
      </c>
      <c r="D83" t="s">
        <v>125</v>
      </c>
      <c r="E83" t="s">
        <v>108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509</v>
      </c>
      <c r="L83" s="4">
        <v>13.226926600000001</v>
      </c>
      <c r="M83" s="4">
        <v>70.790202085520747</v>
      </c>
      <c r="N83" s="4">
        <v>-0.55855054696259288</v>
      </c>
      <c r="O83" s="1" t="str">
        <f>HYPERLINK(".\sm_car_250420_1604\sm_car_250420_1604_082_Ca219TrN_MaLSS_ode23t.png","figure")</f>
        <v>figure</v>
      </c>
      <c r="P83" t="s">
        <v>15</v>
      </c>
    </row>
    <row r="84" spans="1:16" x14ac:dyDescent="0.25">
      <c r="A84">
        <v>83</v>
      </c>
      <c r="B84">
        <v>220</v>
      </c>
      <c r="C84" t="s">
        <v>16</v>
      </c>
      <c r="D84" t="s">
        <v>125</v>
      </c>
      <c r="E84" t="s">
        <v>108</v>
      </c>
      <c r="F84" t="s">
        <v>126</v>
      </c>
      <c r="G84" t="s">
        <v>26</v>
      </c>
      <c r="H84" t="s">
        <v>21</v>
      </c>
      <c r="I84" t="s">
        <v>22</v>
      </c>
      <c r="J84" t="s">
        <v>23</v>
      </c>
      <c r="K84">
        <v>939</v>
      </c>
      <c r="L84" s="4">
        <v>52.012287600000001</v>
      </c>
      <c r="M84" s="4">
        <v>223.93004915275804</v>
      </c>
      <c r="N84" s="4">
        <v>-1.1820488698594707</v>
      </c>
      <c r="O84" s="1" t="str">
        <f>HYPERLINK(".\sm_car_250420_1604\sm_car_250420_1604_083_Ca220TrN_MaWOT_ode23t.png","figure")</f>
        <v>figure</v>
      </c>
      <c r="P84" t="s">
        <v>15</v>
      </c>
    </row>
    <row r="85" spans="1:16" x14ac:dyDescent="0.25">
      <c r="A85">
        <v>84</v>
      </c>
      <c r="B85">
        <v>220</v>
      </c>
      <c r="C85" t="s">
        <v>16</v>
      </c>
      <c r="D85" t="s">
        <v>125</v>
      </c>
      <c r="E85" t="s">
        <v>108</v>
      </c>
      <c r="F85" t="s">
        <v>126</v>
      </c>
      <c r="G85" t="s">
        <v>26</v>
      </c>
      <c r="H85" t="s">
        <v>21</v>
      </c>
      <c r="I85" t="s">
        <v>24</v>
      </c>
      <c r="J85" t="s">
        <v>23</v>
      </c>
      <c r="K85">
        <v>1101</v>
      </c>
      <c r="L85" s="4">
        <v>63.169836500000002</v>
      </c>
      <c r="M85" s="4">
        <v>69.479192616381795</v>
      </c>
      <c r="N85" s="4">
        <v>-1.5013668083101728</v>
      </c>
      <c r="O85" s="1" t="str">
        <f>HYPERLINK(".\sm_car_250420_1604\sm_car_250420_1604_084_Ca220TrN_MaLSS_ode23t.png","figure")</f>
        <v>figure</v>
      </c>
      <c r="P85" t="s">
        <v>15</v>
      </c>
    </row>
    <row r="86" spans="1:16" x14ac:dyDescent="0.25">
      <c r="A86">
        <v>85</v>
      </c>
      <c r="B86">
        <v>223</v>
      </c>
      <c r="C86" t="s">
        <v>105</v>
      </c>
      <c r="D86" t="s">
        <v>127</v>
      </c>
      <c r="E86" t="s">
        <v>108</v>
      </c>
      <c r="F86" t="s">
        <v>19</v>
      </c>
      <c r="G86" t="s">
        <v>20</v>
      </c>
      <c r="H86" t="s">
        <v>21</v>
      </c>
      <c r="I86" t="s">
        <v>22</v>
      </c>
      <c r="J86" t="s">
        <v>23</v>
      </c>
      <c r="K86">
        <v>474</v>
      </c>
      <c r="L86" s="4">
        <v>11.806522599999999</v>
      </c>
      <c r="M86" s="4">
        <v>293.17051871855892</v>
      </c>
      <c r="N86" s="4">
        <v>-1.184463549533043E-4</v>
      </c>
      <c r="O86" s="1" t="str">
        <f>HYPERLINK(".\sm_car_250420_1604\sm_car_250420_1604_085_Ca223TrN_MaWOT_ode23t.png","figure")</f>
        <v>figure</v>
      </c>
      <c r="P86" t="s">
        <v>15</v>
      </c>
    </row>
    <row r="87" spans="1:16" x14ac:dyDescent="0.25">
      <c r="A87">
        <v>86</v>
      </c>
      <c r="B87">
        <v>223</v>
      </c>
      <c r="C87" t="s">
        <v>105</v>
      </c>
      <c r="D87" t="s">
        <v>127</v>
      </c>
      <c r="E87" t="s">
        <v>108</v>
      </c>
      <c r="F87" t="s">
        <v>19</v>
      </c>
      <c r="G87" t="s">
        <v>20</v>
      </c>
      <c r="H87" t="s">
        <v>21</v>
      </c>
      <c r="I87" t="s">
        <v>24</v>
      </c>
      <c r="J87" t="s">
        <v>23</v>
      </c>
      <c r="K87">
        <v>645</v>
      </c>
      <c r="L87" s="4">
        <v>12.254455099999999</v>
      </c>
      <c r="M87" s="4">
        <v>103.53163334525404</v>
      </c>
      <c r="N87" s="4">
        <v>-0.15314539130601251</v>
      </c>
      <c r="O87" s="1" t="str">
        <f>HYPERLINK(".\sm_car_250420_1604\sm_car_250420_1604_086_Ca223TrN_MaLSS_ode23t.png","figure")</f>
        <v>figure</v>
      </c>
      <c r="P87" t="s">
        <v>15</v>
      </c>
    </row>
    <row r="88" spans="1:16" x14ac:dyDescent="0.25">
      <c r="A88">
        <v>87</v>
      </c>
      <c r="B88">
        <v>227</v>
      </c>
      <c r="C88" t="s">
        <v>45</v>
      </c>
      <c r="D88" t="s">
        <v>128</v>
      </c>
      <c r="E88" t="s">
        <v>108</v>
      </c>
      <c r="F88" t="s">
        <v>19</v>
      </c>
      <c r="G88" t="s">
        <v>26</v>
      </c>
      <c r="H88" t="s">
        <v>21</v>
      </c>
      <c r="I88" t="s">
        <v>22</v>
      </c>
      <c r="J88" t="s">
        <v>23</v>
      </c>
      <c r="K88">
        <v>686</v>
      </c>
      <c r="L88" s="4">
        <v>36.1677289</v>
      </c>
      <c r="M88" s="4">
        <v>409.18771525200128</v>
      </c>
      <c r="N88" s="4">
        <v>1.4482820988707166</v>
      </c>
      <c r="O88" s="1" t="str">
        <f>HYPERLINK(".\sm_car_250420_1604\sm_car_250420_1604_087_Ca227TrN_MaWOT_ode23t.png","figure")</f>
        <v>figure</v>
      </c>
      <c r="P88" t="s">
        <v>15</v>
      </c>
    </row>
    <row r="89" spans="1:16" x14ac:dyDescent="0.25">
      <c r="A89">
        <v>88</v>
      </c>
      <c r="B89">
        <v>227</v>
      </c>
      <c r="C89" t="s">
        <v>45</v>
      </c>
      <c r="D89" t="s">
        <v>128</v>
      </c>
      <c r="E89" t="s">
        <v>108</v>
      </c>
      <c r="F89" t="s">
        <v>19</v>
      </c>
      <c r="G89" t="s">
        <v>26</v>
      </c>
      <c r="H89" t="s">
        <v>21</v>
      </c>
      <c r="I89" t="s">
        <v>24</v>
      </c>
      <c r="J89" t="s">
        <v>23</v>
      </c>
      <c r="K89">
        <v>629</v>
      </c>
      <c r="L89" s="4">
        <v>20.363657</v>
      </c>
      <c r="M89" s="4">
        <v>156.25172575976967</v>
      </c>
      <c r="N89" s="4">
        <v>-0.36588923683477786</v>
      </c>
      <c r="O89" s="1" t="str">
        <f>HYPERLINK(".\sm_car_250420_1604\sm_car_250420_1604_088_Ca227TrN_MaLSS_ode23t.png","figure")</f>
        <v>figure</v>
      </c>
      <c r="P89" t="s">
        <v>15</v>
      </c>
    </row>
    <row r="90" spans="1:16" x14ac:dyDescent="0.25">
      <c r="A90">
        <v>89</v>
      </c>
      <c r="B90">
        <v>8</v>
      </c>
      <c r="C90" t="s">
        <v>16</v>
      </c>
      <c r="D90" t="s">
        <v>17</v>
      </c>
      <c r="E90" t="s">
        <v>49</v>
      </c>
      <c r="F90" t="s">
        <v>19</v>
      </c>
      <c r="G90" t="s">
        <v>20</v>
      </c>
      <c r="H90" t="s">
        <v>21</v>
      </c>
      <c r="I90" t="s">
        <v>22</v>
      </c>
      <c r="J90" t="s">
        <v>23</v>
      </c>
      <c r="K90">
        <v>385</v>
      </c>
      <c r="L90" s="4">
        <v>16.4028685</v>
      </c>
      <c r="M90" s="4">
        <v>231.36014522580828</v>
      </c>
      <c r="N90" s="4">
        <v>-4.6585454407044461E-3</v>
      </c>
      <c r="O90" s="1" t="str">
        <f>HYPERLINK(".\sm_car_250420_1604\sm_car_250420_1604_089_Ca008TrN_MaWOT_ode23t_1.png","figure")</f>
        <v>figure</v>
      </c>
      <c r="P90" t="s">
        <v>15</v>
      </c>
    </row>
    <row r="91" spans="1:16" x14ac:dyDescent="0.25">
      <c r="A91">
        <v>90</v>
      </c>
      <c r="B91">
        <v>8</v>
      </c>
      <c r="C91" t="s">
        <v>16</v>
      </c>
      <c r="D91" t="s">
        <v>17</v>
      </c>
      <c r="E91" t="s">
        <v>49</v>
      </c>
      <c r="F91" t="s">
        <v>19</v>
      </c>
      <c r="G91" t="s">
        <v>20</v>
      </c>
      <c r="H91" t="s">
        <v>21</v>
      </c>
      <c r="I91" t="s">
        <v>24</v>
      </c>
      <c r="J91" t="s">
        <v>23</v>
      </c>
      <c r="K91">
        <v>554</v>
      </c>
      <c r="L91" s="4">
        <v>20.363896199999999</v>
      </c>
      <c r="M91" s="4">
        <v>71.257630312092289</v>
      </c>
      <c r="N91" s="4">
        <v>-0.53955683577826374</v>
      </c>
      <c r="O91" s="1" t="str">
        <f>HYPERLINK(".\sm_car_250420_1604\sm_car_250420_1604_090_Ca008TrN_MaLSS_ode23t_1.png","figure")</f>
        <v>figure</v>
      </c>
      <c r="P91" t="s">
        <v>15</v>
      </c>
    </row>
    <row r="92" spans="1:16" x14ac:dyDescent="0.25">
      <c r="A92">
        <v>91</v>
      </c>
      <c r="B92">
        <v>9</v>
      </c>
      <c r="C92" t="s">
        <v>16</v>
      </c>
      <c r="D92" t="s">
        <v>17</v>
      </c>
      <c r="E92" t="s">
        <v>49</v>
      </c>
      <c r="F92" t="s">
        <v>19</v>
      </c>
      <c r="G92" t="s">
        <v>25</v>
      </c>
      <c r="H92" t="s">
        <v>21</v>
      </c>
      <c r="I92" t="s">
        <v>22</v>
      </c>
      <c r="J92" t="s">
        <v>23</v>
      </c>
      <c r="K92">
        <v>386</v>
      </c>
      <c r="L92" s="4">
        <v>19.728107699999999</v>
      </c>
      <c r="M92" s="4">
        <v>230.36004423357369</v>
      </c>
      <c r="N92" s="4">
        <v>-1.208641260916303E-2</v>
      </c>
      <c r="O92" s="1" t="str">
        <f>HYPERLINK(".\sm_car_250420_1604\sm_car_250420_1604_091_Ca009TrN_MaWOT_ode23t_1.png","figure")</f>
        <v>figure</v>
      </c>
      <c r="P92" t="s">
        <v>15</v>
      </c>
    </row>
    <row r="93" spans="1:16" x14ac:dyDescent="0.25">
      <c r="A93">
        <v>92</v>
      </c>
      <c r="B93">
        <v>9</v>
      </c>
      <c r="C93" t="s">
        <v>16</v>
      </c>
      <c r="D93" t="s">
        <v>17</v>
      </c>
      <c r="E93" t="s">
        <v>49</v>
      </c>
      <c r="F93" t="s">
        <v>19</v>
      </c>
      <c r="G93" t="s">
        <v>25</v>
      </c>
      <c r="H93" t="s">
        <v>21</v>
      </c>
      <c r="I93" t="s">
        <v>24</v>
      </c>
      <c r="J93" t="s">
        <v>23</v>
      </c>
      <c r="K93">
        <v>550</v>
      </c>
      <c r="L93" s="4">
        <v>22.7288985</v>
      </c>
      <c r="M93" s="4">
        <v>70.966420119104981</v>
      </c>
      <c r="N93" s="4">
        <v>-0.5324917876942592</v>
      </c>
      <c r="O93" s="1" t="str">
        <f>HYPERLINK(".\sm_car_250420_1604\sm_car_250420_1604_092_Ca009TrN_MaLSS_ode23t_1.png","figure")</f>
        <v>figure</v>
      </c>
      <c r="P93" t="s">
        <v>15</v>
      </c>
    </row>
    <row r="94" spans="1:16" x14ac:dyDescent="0.25">
      <c r="A94">
        <v>93</v>
      </c>
      <c r="B94">
        <v>10</v>
      </c>
      <c r="C94" t="s">
        <v>16</v>
      </c>
      <c r="D94" t="s">
        <v>17</v>
      </c>
      <c r="E94" t="s">
        <v>49</v>
      </c>
      <c r="F94" t="s">
        <v>19</v>
      </c>
      <c r="G94" t="s">
        <v>26</v>
      </c>
      <c r="H94" t="s">
        <v>21</v>
      </c>
      <c r="I94" t="s">
        <v>22</v>
      </c>
      <c r="J94" t="s">
        <v>23</v>
      </c>
      <c r="K94">
        <v>423</v>
      </c>
      <c r="L94" s="4">
        <v>22.3861132</v>
      </c>
      <c r="M94" s="4">
        <v>230.40347469770205</v>
      </c>
      <c r="N94" s="4">
        <v>5.2803572093407219E-2</v>
      </c>
      <c r="O94" s="1" t="str">
        <f>HYPERLINK(".\sm_car_250420_1604\sm_car_250420_1604_093_Ca010TrN_MaWOT_ode23t_1.png","figure")</f>
        <v>figure</v>
      </c>
      <c r="P94" t="s">
        <v>15</v>
      </c>
    </row>
    <row r="95" spans="1:16" x14ac:dyDescent="0.25">
      <c r="A95">
        <v>94</v>
      </c>
      <c r="B95">
        <v>10</v>
      </c>
      <c r="C95" t="s">
        <v>16</v>
      </c>
      <c r="D95" t="s">
        <v>17</v>
      </c>
      <c r="E95" t="s">
        <v>49</v>
      </c>
      <c r="F95" t="s">
        <v>19</v>
      </c>
      <c r="G95" t="s">
        <v>26</v>
      </c>
      <c r="H95" t="s">
        <v>21</v>
      </c>
      <c r="I95" t="s">
        <v>24</v>
      </c>
      <c r="J95" t="s">
        <v>23</v>
      </c>
      <c r="K95">
        <v>565</v>
      </c>
      <c r="L95" s="4">
        <v>26.561454099999999</v>
      </c>
      <c r="M95" s="4">
        <v>70.975529965316667</v>
      </c>
      <c r="N95" s="4">
        <v>-0.52887594795762238</v>
      </c>
      <c r="O95" s="1" t="str">
        <f>HYPERLINK(".\sm_car_250420_1604\sm_car_250420_1604_094_Ca010TrN_MaLSS_ode23t_1.png","figure")</f>
        <v>figure</v>
      </c>
      <c r="P95" t="s">
        <v>15</v>
      </c>
    </row>
    <row r="96" spans="1:16" x14ac:dyDescent="0.25">
      <c r="A96">
        <v>95</v>
      </c>
      <c r="B96">
        <v>11</v>
      </c>
      <c r="C96" t="s">
        <v>16</v>
      </c>
      <c r="D96" t="s">
        <v>17</v>
      </c>
      <c r="E96" t="s">
        <v>49</v>
      </c>
      <c r="F96" t="s">
        <v>19</v>
      </c>
      <c r="G96" t="s">
        <v>27</v>
      </c>
      <c r="H96" t="s">
        <v>21</v>
      </c>
      <c r="I96" t="s">
        <v>22</v>
      </c>
      <c r="J96" t="s">
        <v>23</v>
      </c>
      <c r="K96">
        <v>442</v>
      </c>
      <c r="L96" s="4">
        <v>23.276548900000002</v>
      </c>
      <c r="M96" s="4">
        <v>229.90142595312179</v>
      </c>
      <c r="N96" s="4">
        <v>5.4574210147359116E-2</v>
      </c>
      <c r="O96" s="1" t="str">
        <f>HYPERLINK(".\sm_car_250420_1604\sm_car_250420_1604_095_Ca011TrN_MaWOT_ode23t_1.png","figure")</f>
        <v>figure</v>
      </c>
      <c r="P96" t="s">
        <v>15</v>
      </c>
    </row>
    <row r="97" spans="1:16" x14ac:dyDescent="0.25">
      <c r="A97">
        <v>96</v>
      </c>
      <c r="B97">
        <v>11</v>
      </c>
      <c r="C97" t="s">
        <v>16</v>
      </c>
      <c r="D97" t="s">
        <v>17</v>
      </c>
      <c r="E97" t="s">
        <v>49</v>
      </c>
      <c r="F97" t="s">
        <v>19</v>
      </c>
      <c r="G97" t="s">
        <v>27</v>
      </c>
      <c r="H97" t="s">
        <v>21</v>
      </c>
      <c r="I97" t="s">
        <v>24</v>
      </c>
      <c r="J97" t="s">
        <v>23</v>
      </c>
      <c r="K97">
        <v>575</v>
      </c>
      <c r="L97" s="4">
        <v>27.866660700000001</v>
      </c>
      <c r="M97" s="4">
        <v>70.837344435554868</v>
      </c>
      <c r="N97" s="4">
        <v>-0.52051182357987824</v>
      </c>
      <c r="O97" s="1" t="str">
        <f>HYPERLINK(".\sm_car_250420_1604\sm_car_250420_1604_096_Ca011TrN_MaLSS_ode23t_1.png","figure")</f>
        <v>figure</v>
      </c>
      <c r="P97" t="s">
        <v>15</v>
      </c>
    </row>
    <row r="98" spans="1:16" x14ac:dyDescent="0.25">
      <c r="A98">
        <v>97</v>
      </c>
      <c r="B98">
        <v>12</v>
      </c>
      <c r="C98" t="s">
        <v>16</v>
      </c>
      <c r="D98" t="s">
        <v>17</v>
      </c>
      <c r="E98" t="s">
        <v>49</v>
      </c>
      <c r="F98" t="s">
        <v>28</v>
      </c>
      <c r="G98" t="s">
        <v>20</v>
      </c>
      <c r="H98" t="s">
        <v>21</v>
      </c>
      <c r="I98" t="s">
        <v>22</v>
      </c>
      <c r="J98" t="s">
        <v>23</v>
      </c>
      <c r="K98">
        <v>835</v>
      </c>
      <c r="L98" s="4">
        <v>18.254761599999998</v>
      </c>
      <c r="M98" s="4">
        <v>231.27879220367387</v>
      </c>
      <c r="N98" s="4">
        <v>-4.0911170757446588E-3</v>
      </c>
      <c r="O98" s="1" t="str">
        <f>HYPERLINK(".\sm_car_250420_1604\sm_car_250420_1604_097_Ca012TrN_MaWOT_ode23t_1.png","figure")</f>
        <v>figure</v>
      </c>
      <c r="P98" t="s">
        <v>15</v>
      </c>
    </row>
    <row r="99" spans="1:16" x14ac:dyDescent="0.25">
      <c r="A99">
        <v>98</v>
      </c>
      <c r="B99">
        <v>12</v>
      </c>
      <c r="C99" t="s">
        <v>16</v>
      </c>
      <c r="D99" t="s">
        <v>17</v>
      </c>
      <c r="E99" t="s">
        <v>49</v>
      </c>
      <c r="F99" t="s">
        <v>28</v>
      </c>
      <c r="G99" t="s">
        <v>20</v>
      </c>
      <c r="H99" t="s">
        <v>21</v>
      </c>
      <c r="I99" t="s">
        <v>24</v>
      </c>
      <c r="J99" t="s">
        <v>23</v>
      </c>
      <c r="K99">
        <v>1000</v>
      </c>
      <c r="L99" s="4">
        <v>22.564180700000001</v>
      </c>
      <c r="M99" s="4">
        <v>71.260292537781595</v>
      </c>
      <c r="N99" s="4">
        <v>-0.54330101700391631</v>
      </c>
      <c r="O99" s="1" t="str">
        <f>HYPERLINK(".\sm_car_250420_1604\sm_car_250420_1604_098_Ca012TrN_MaLSS_ode23t_1.png","figure")</f>
        <v>figure</v>
      </c>
      <c r="P99" t="s">
        <v>15</v>
      </c>
    </row>
    <row r="100" spans="1:16" x14ac:dyDescent="0.25">
      <c r="A100">
        <v>99</v>
      </c>
      <c r="B100">
        <v>13</v>
      </c>
      <c r="C100" t="s">
        <v>16</v>
      </c>
      <c r="D100" t="s">
        <v>17</v>
      </c>
      <c r="E100" t="s">
        <v>49</v>
      </c>
      <c r="F100" t="s">
        <v>28</v>
      </c>
      <c r="G100" t="s">
        <v>25</v>
      </c>
      <c r="H100" t="s">
        <v>21</v>
      </c>
      <c r="I100" t="s">
        <v>22</v>
      </c>
      <c r="J100" t="s">
        <v>23</v>
      </c>
      <c r="K100">
        <v>846</v>
      </c>
      <c r="L100" s="4">
        <v>21.244890399999999</v>
      </c>
      <c r="M100" s="4">
        <v>230.36078370904195</v>
      </c>
      <c r="N100" s="4">
        <v>-1.1706331082351298E-2</v>
      </c>
      <c r="O100" s="1" t="str">
        <f>HYPERLINK(".\sm_car_250420_1604\sm_car_250420_1604_099_Ca013TrN_MaWOT_ode23t_1.png","figure")</f>
        <v>figure</v>
      </c>
      <c r="P100" t="s">
        <v>15</v>
      </c>
    </row>
    <row r="101" spans="1:16" x14ac:dyDescent="0.25">
      <c r="A101">
        <v>100</v>
      </c>
      <c r="B101">
        <v>13</v>
      </c>
      <c r="C101" t="s">
        <v>16</v>
      </c>
      <c r="D101" t="s">
        <v>17</v>
      </c>
      <c r="E101" t="s">
        <v>49</v>
      </c>
      <c r="F101" t="s">
        <v>28</v>
      </c>
      <c r="G101" t="s">
        <v>25</v>
      </c>
      <c r="H101" t="s">
        <v>21</v>
      </c>
      <c r="I101" t="s">
        <v>24</v>
      </c>
      <c r="J101" t="s">
        <v>23</v>
      </c>
      <c r="K101">
        <v>1017</v>
      </c>
      <c r="L101" s="4">
        <v>25.370683</v>
      </c>
      <c r="M101" s="4">
        <v>70.959458351241466</v>
      </c>
      <c r="N101" s="4">
        <v>-0.54075382042783382</v>
      </c>
      <c r="O101" s="1" t="str">
        <f>HYPERLINK(".\sm_car_250420_1604\sm_car_250420_1604_100_Ca013TrN_MaLSS_ode23t_1.png","figure")</f>
        <v>figure</v>
      </c>
      <c r="P101" t="s">
        <v>15</v>
      </c>
    </row>
    <row r="102" spans="1:16" x14ac:dyDescent="0.25">
      <c r="A102">
        <v>101</v>
      </c>
      <c r="B102">
        <v>14</v>
      </c>
      <c r="C102" t="s">
        <v>16</v>
      </c>
      <c r="D102" t="s">
        <v>17</v>
      </c>
      <c r="E102" t="s">
        <v>49</v>
      </c>
      <c r="F102" t="s">
        <v>28</v>
      </c>
      <c r="G102" t="s">
        <v>26</v>
      </c>
      <c r="H102" t="s">
        <v>21</v>
      </c>
      <c r="I102" t="s">
        <v>22</v>
      </c>
      <c r="J102" t="s">
        <v>23</v>
      </c>
      <c r="K102">
        <v>893</v>
      </c>
      <c r="L102" s="4">
        <v>21.045738799999999</v>
      </c>
      <c r="M102" s="4">
        <v>230.39900948248274</v>
      </c>
      <c r="N102" s="4">
        <v>5.3329668811099802E-2</v>
      </c>
      <c r="O102" s="1" t="str">
        <f>HYPERLINK(".\sm_car_250420_1604\sm_car_250420_1604_101_Ca014TrN_MaWOT_ode23t_1.png","figure")</f>
        <v>figure</v>
      </c>
      <c r="P102" t="s">
        <v>15</v>
      </c>
    </row>
    <row r="103" spans="1:16" x14ac:dyDescent="0.25">
      <c r="A103">
        <v>102</v>
      </c>
      <c r="B103">
        <v>14</v>
      </c>
      <c r="C103" t="s">
        <v>16</v>
      </c>
      <c r="D103" t="s">
        <v>17</v>
      </c>
      <c r="E103" t="s">
        <v>49</v>
      </c>
      <c r="F103" t="s">
        <v>28</v>
      </c>
      <c r="G103" t="s">
        <v>26</v>
      </c>
      <c r="H103" t="s">
        <v>21</v>
      </c>
      <c r="I103" t="s">
        <v>24</v>
      </c>
      <c r="J103" t="s">
        <v>23</v>
      </c>
      <c r="K103">
        <v>1027</v>
      </c>
      <c r="L103" s="4">
        <v>26.0795508</v>
      </c>
      <c r="M103" s="4">
        <v>70.969567991312147</v>
      </c>
      <c r="N103" s="4">
        <v>-0.53628545419421791</v>
      </c>
      <c r="O103" s="1" t="str">
        <f>HYPERLINK(".\sm_car_250420_1604\sm_car_250420_1604_102_Ca014TrN_MaLSS_ode23t_1.png","figure")</f>
        <v>figure</v>
      </c>
      <c r="P103" t="s">
        <v>15</v>
      </c>
    </row>
    <row r="104" spans="1:16" x14ac:dyDescent="0.25">
      <c r="A104">
        <v>103</v>
      </c>
      <c r="B104">
        <v>15</v>
      </c>
      <c r="C104" t="s">
        <v>16</v>
      </c>
      <c r="D104" t="s">
        <v>17</v>
      </c>
      <c r="E104" t="s">
        <v>49</v>
      </c>
      <c r="F104" t="s">
        <v>28</v>
      </c>
      <c r="G104" t="s">
        <v>27</v>
      </c>
      <c r="H104" t="s">
        <v>21</v>
      </c>
      <c r="I104" t="s">
        <v>22</v>
      </c>
      <c r="J104" t="s">
        <v>23</v>
      </c>
      <c r="K104">
        <v>902</v>
      </c>
      <c r="L104" s="4">
        <v>23.5358248</v>
      </c>
      <c r="M104" s="4">
        <v>229.94089084422629</v>
      </c>
      <c r="N104" s="4">
        <v>5.253661634817236E-2</v>
      </c>
      <c r="O104" s="1" t="str">
        <f>HYPERLINK(".\sm_car_250420_1604\sm_car_250420_1604_103_Ca015TrN_MaWOT_ode23t_1.png","figure")</f>
        <v>figure</v>
      </c>
      <c r="P104" t="s">
        <v>15</v>
      </c>
    </row>
    <row r="105" spans="1:16" x14ac:dyDescent="0.25">
      <c r="A105">
        <v>104</v>
      </c>
      <c r="B105">
        <v>15</v>
      </c>
      <c r="C105" t="s">
        <v>16</v>
      </c>
      <c r="D105" t="s">
        <v>17</v>
      </c>
      <c r="E105" t="s">
        <v>49</v>
      </c>
      <c r="F105" t="s">
        <v>28</v>
      </c>
      <c r="G105" t="s">
        <v>27</v>
      </c>
      <c r="H105" t="s">
        <v>21</v>
      </c>
      <c r="I105" t="s">
        <v>24</v>
      </c>
      <c r="J105" t="s">
        <v>23</v>
      </c>
      <c r="K105">
        <v>1044</v>
      </c>
      <c r="L105" s="4">
        <v>27.8048158</v>
      </c>
      <c r="M105" s="4">
        <v>70.835341976484955</v>
      </c>
      <c r="N105" s="4">
        <v>-0.53147534021470155</v>
      </c>
      <c r="O105" s="1" t="str">
        <f>HYPERLINK(".\sm_car_250420_1604\sm_car_250420_1604_104_Ca015TrN_MaLSS_ode23t_1.png","figure")</f>
        <v>figure</v>
      </c>
      <c r="P105" t="s">
        <v>15</v>
      </c>
    </row>
    <row r="106" spans="1:16" x14ac:dyDescent="0.25">
      <c r="A106">
        <v>105</v>
      </c>
      <c r="B106">
        <v>120</v>
      </c>
      <c r="C106" t="s">
        <v>16</v>
      </c>
      <c r="D106" t="s">
        <v>35</v>
      </c>
      <c r="E106" t="s">
        <v>49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>
        <v>397</v>
      </c>
      <c r="L106" s="4">
        <v>5.5911825999999998</v>
      </c>
      <c r="M106" s="4">
        <v>242.58916330408013</v>
      </c>
      <c r="N106" s="4">
        <v>0.23206014586347745</v>
      </c>
      <c r="O106" s="1" t="str">
        <f>HYPERLINK(".\sm_car_250420_1604\sm_car_250420_1604_105_Ca120TrN_MaWOT_ode23t_1.png","figure")</f>
        <v>figure</v>
      </c>
      <c r="P106" t="s">
        <v>15</v>
      </c>
    </row>
    <row r="107" spans="1:16" x14ac:dyDescent="0.25">
      <c r="A107">
        <v>106</v>
      </c>
      <c r="B107">
        <v>120</v>
      </c>
      <c r="C107" t="s">
        <v>16</v>
      </c>
      <c r="D107" t="s">
        <v>35</v>
      </c>
      <c r="E107" t="s">
        <v>49</v>
      </c>
      <c r="F107" t="s">
        <v>19</v>
      </c>
      <c r="G107" t="s">
        <v>20</v>
      </c>
      <c r="H107" t="s">
        <v>21</v>
      </c>
      <c r="I107" t="s">
        <v>24</v>
      </c>
      <c r="J107" t="s">
        <v>23</v>
      </c>
      <c r="K107">
        <v>529</v>
      </c>
      <c r="L107" s="4">
        <v>6.1961307000000003</v>
      </c>
      <c r="M107" s="4">
        <v>74.667522578058751</v>
      </c>
      <c r="N107" s="4">
        <v>-0.33829686602551789</v>
      </c>
      <c r="O107" s="1" t="str">
        <f>HYPERLINK(".\sm_car_250420_1604\sm_car_250420_1604_106_Ca120TrN_MaLSS_ode23t_1.png","figure")</f>
        <v>figure</v>
      </c>
      <c r="P107" t="s">
        <v>15</v>
      </c>
    </row>
    <row r="108" spans="1:16" x14ac:dyDescent="0.25">
      <c r="A108">
        <v>107</v>
      </c>
      <c r="B108">
        <v>121</v>
      </c>
      <c r="C108" t="s">
        <v>16</v>
      </c>
      <c r="D108" t="s">
        <v>35</v>
      </c>
      <c r="E108" t="s">
        <v>49</v>
      </c>
      <c r="F108" t="s">
        <v>19</v>
      </c>
      <c r="G108" t="s">
        <v>25</v>
      </c>
      <c r="H108" t="s">
        <v>21</v>
      </c>
      <c r="I108" t="s">
        <v>22</v>
      </c>
      <c r="J108" t="s">
        <v>23</v>
      </c>
      <c r="K108">
        <v>387</v>
      </c>
      <c r="L108" s="4">
        <v>6.1784191999999996</v>
      </c>
      <c r="M108" s="4">
        <v>241.53722643581142</v>
      </c>
      <c r="N108" s="4">
        <v>0.22866020255073893</v>
      </c>
      <c r="O108" s="1" t="str">
        <f>HYPERLINK(".\sm_car_250420_1604\sm_car_250420_1604_107_Ca121TrN_MaWOT_ode23t_1.png","figure")</f>
        <v>figure</v>
      </c>
      <c r="P108" t="s">
        <v>15</v>
      </c>
    </row>
    <row r="109" spans="1:16" x14ac:dyDescent="0.25">
      <c r="A109">
        <v>108</v>
      </c>
      <c r="B109">
        <v>121</v>
      </c>
      <c r="C109" t="s">
        <v>16</v>
      </c>
      <c r="D109" t="s">
        <v>35</v>
      </c>
      <c r="E109" t="s">
        <v>49</v>
      </c>
      <c r="F109" t="s">
        <v>19</v>
      </c>
      <c r="G109" t="s">
        <v>25</v>
      </c>
      <c r="H109" t="s">
        <v>21</v>
      </c>
      <c r="I109" t="s">
        <v>24</v>
      </c>
      <c r="J109" t="s">
        <v>23</v>
      </c>
      <c r="K109">
        <v>532</v>
      </c>
      <c r="L109" s="4">
        <v>7.2199648999999999</v>
      </c>
      <c r="M109" s="4">
        <v>74.355769905943291</v>
      </c>
      <c r="N109" s="4">
        <v>-0.33469939118367853</v>
      </c>
      <c r="O109" s="1" t="str">
        <f>HYPERLINK(".\sm_car_250420_1604\sm_car_250420_1604_108_Ca121TrN_MaLSS_ode23t_1.png","figure")</f>
        <v>figure</v>
      </c>
      <c r="P109" t="s">
        <v>15</v>
      </c>
    </row>
    <row r="110" spans="1:16" x14ac:dyDescent="0.25">
      <c r="A110">
        <v>109</v>
      </c>
      <c r="B110">
        <v>122</v>
      </c>
      <c r="C110" t="s">
        <v>16</v>
      </c>
      <c r="D110" t="s">
        <v>35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410</v>
      </c>
      <c r="L110" s="4">
        <v>7.0582180000000001</v>
      </c>
      <c r="M110" s="4">
        <v>241.76119282571437</v>
      </c>
      <c r="N110" s="4">
        <v>0.22874437654766658</v>
      </c>
      <c r="O110" s="1" t="str">
        <f>HYPERLINK(".\sm_car_250420_1604\sm_car_250420_1604_109_Ca122TrN_MaWOT_ode23t_1.png","figure")</f>
        <v>figure</v>
      </c>
      <c r="P110" t="s">
        <v>15</v>
      </c>
    </row>
    <row r="111" spans="1:16" x14ac:dyDescent="0.25">
      <c r="A111">
        <v>110</v>
      </c>
      <c r="B111">
        <v>122</v>
      </c>
      <c r="C111" t="s">
        <v>16</v>
      </c>
      <c r="D111" t="s">
        <v>35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521</v>
      </c>
      <c r="L111" s="4">
        <v>7.8571960000000001</v>
      </c>
      <c r="M111" s="4">
        <v>74.381253522717486</v>
      </c>
      <c r="N111" s="4">
        <v>-0.33361693210839788</v>
      </c>
      <c r="O111" s="1" t="str">
        <f>HYPERLINK(".\sm_car_250420_1604\sm_car_250420_1604_110_Ca122TrN_MaLSS_ode23t_1.png","figure")</f>
        <v>figure</v>
      </c>
      <c r="P111" t="s">
        <v>15</v>
      </c>
    </row>
    <row r="112" spans="1:16" x14ac:dyDescent="0.25">
      <c r="A112">
        <v>111</v>
      </c>
      <c r="B112">
        <v>123</v>
      </c>
      <c r="C112" t="s">
        <v>16</v>
      </c>
      <c r="D112" t="s">
        <v>35</v>
      </c>
      <c r="E112" t="s">
        <v>49</v>
      </c>
      <c r="F112" t="s">
        <v>19</v>
      </c>
      <c r="G112" t="s">
        <v>27</v>
      </c>
      <c r="H112" t="s">
        <v>21</v>
      </c>
      <c r="I112" t="s">
        <v>22</v>
      </c>
      <c r="J112" t="s">
        <v>23</v>
      </c>
      <c r="K112">
        <v>425</v>
      </c>
      <c r="L112" s="4">
        <v>7.239052</v>
      </c>
      <c r="M112" s="4">
        <v>241.18194667788654</v>
      </c>
      <c r="N112" s="4">
        <v>0.22487927023399082</v>
      </c>
      <c r="O112" s="1" t="str">
        <f>HYPERLINK(".\sm_car_250420_1604\sm_car_250420_1604_111_Ca123TrN_MaWOT_ode23t_1.png","figure")</f>
        <v>figure</v>
      </c>
      <c r="P112" t="s">
        <v>15</v>
      </c>
    </row>
    <row r="113" spans="1:16" x14ac:dyDescent="0.25">
      <c r="A113">
        <v>112</v>
      </c>
      <c r="B113">
        <v>123</v>
      </c>
      <c r="C113" t="s">
        <v>16</v>
      </c>
      <c r="D113" t="s">
        <v>35</v>
      </c>
      <c r="E113" t="s">
        <v>49</v>
      </c>
      <c r="F113" t="s">
        <v>19</v>
      </c>
      <c r="G113" t="s">
        <v>27</v>
      </c>
      <c r="H113" t="s">
        <v>21</v>
      </c>
      <c r="I113" t="s">
        <v>24</v>
      </c>
      <c r="J113" t="s">
        <v>23</v>
      </c>
      <c r="K113">
        <v>560</v>
      </c>
      <c r="L113" s="4">
        <v>7.8508139999999997</v>
      </c>
      <c r="M113" s="4">
        <v>74.215296424839366</v>
      </c>
      <c r="N113" s="4">
        <v>-0.32770429086011821</v>
      </c>
      <c r="O113" s="1" t="str">
        <f>HYPERLINK(".\sm_car_250420_1604\sm_car_250420_1604_112_Ca123TrN_MaLSS_ode23t_1.png","figure")</f>
        <v>figure</v>
      </c>
      <c r="P113" t="s">
        <v>15</v>
      </c>
    </row>
    <row r="114" spans="1:16" x14ac:dyDescent="0.25">
      <c r="A114">
        <v>113</v>
      </c>
      <c r="B114">
        <v>124</v>
      </c>
      <c r="C114" t="s">
        <v>16</v>
      </c>
      <c r="D114" t="s">
        <v>35</v>
      </c>
      <c r="E114" t="s">
        <v>49</v>
      </c>
      <c r="F114" t="s">
        <v>28</v>
      </c>
      <c r="G114" t="s">
        <v>20</v>
      </c>
      <c r="H114" t="s">
        <v>21</v>
      </c>
      <c r="I114" t="s">
        <v>22</v>
      </c>
      <c r="J114" t="s">
        <v>23</v>
      </c>
      <c r="K114">
        <v>1019</v>
      </c>
      <c r="L114" s="4">
        <v>7.2151829000000003</v>
      </c>
      <c r="M114" s="4">
        <v>242.55761503033963</v>
      </c>
      <c r="N114" s="4">
        <v>0.23285189659838673</v>
      </c>
      <c r="O114" s="1" t="str">
        <f>HYPERLINK(".\sm_car_250420_1604\sm_car_250420_1604_113_Ca124TrN_MaWOT_ode23t_1.png","figure")</f>
        <v>figure</v>
      </c>
      <c r="P114" t="s">
        <v>15</v>
      </c>
    </row>
    <row r="115" spans="1:16" x14ac:dyDescent="0.25">
      <c r="A115">
        <v>114</v>
      </c>
      <c r="B115">
        <v>124</v>
      </c>
      <c r="C115" t="s">
        <v>16</v>
      </c>
      <c r="D115" t="s">
        <v>35</v>
      </c>
      <c r="E115" t="s">
        <v>49</v>
      </c>
      <c r="F115" t="s">
        <v>28</v>
      </c>
      <c r="G115" t="s">
        <v>20</v>
      </c>
      <c r="H115" t="s">
        <v>21</v>
      </c>
      <c r="I115" t="s">
        <v>24</v>
      </c>
      <c r="J115" t="s">
        <v>23</v>
      </c>
      <c r="K115">
        <v>1128</v>
      </c>
      <c r="L115" s="4">
        <v>8.2703705999999997</v>
      </c>
      <c r="M115" s="4">
        <v>74.661131377413668</v>
      </c>
      <c r="N115" s="4">
        <v>-0.34138063442205635</v>
      </c>
      <c r="O115" s="1" t="str">
        <f>HYPERLINK(".\sm_car_250420_1604\sm_car_250420_1604_114_Ca124TrN_MaLSS_ode23t_1.png","figure")</f>
        <v>figure</v>
      </c>
      <c r="P115" t="s">
        <v>15</v>
      </c>
    </row>
    <row r="116" spans="1:16" x14ac:dyDescent="0.25">
      <c r="A116">
        <v>115</v>
      </c>
      <c r="B116">
        <v>125</v>
      </c>
      <c r="C116" t="s">
        <v>16</v>
      </c>
      <c r="D116" t="s">
        <v>35</v>
      </c>
      <c r="E116" t="s">
        <v>49</v>
      </c>
      <c r="F116" t="s">
        <v>28</v>
      </c>
      <c r="G116" t="s">
        <v>25</v>
      </c>
      <c r="H116" t="s">
        <v>21</v>
      </c>
      <c r="I116" t="s">
        <v>22</v>
      </c>
      <c r="J116" t="s">
        <v>23</v>
      </c>
      <c r="K116">
        <v>1027</v>
      </c>
      <c r="L116" s="4">
        <v>8.2975423999999993</v>
      </c>
      <c r="M116" s="4">
        <v>241.53786644176284</v>
      </c>
      <c r="N116" s="4">
        <v>0.22947290276390778</v>
      </c>
      <c r="O116" s="1" t="str">
        <f>HYPERLINK(".\sm_car_250420_1604\sm_car_250420_1604_115_Ca125TrN_MaWOT_ode23t_1.png","figure")</f>
        <v>figure</v>
      </c>
      <c r="P116" t="s">
        <v>15</v>
      </c>
    </row>
    <row r="117" spans="1:16" x14ac:dyDescent="0.25">
      <c r="A117">
        <v>116</v>
      </c>
      <c r="B117">
        <v>125</v>
      </c>
      <c r="C117" t="s">
        <v>16</v>
      </c>
      <c r="D117" t="s">
        <v>35</v>
      </c>
      <c r="E117" t="s">
        <v>49</v>
      </c>
      <c r="F117" t="s">
        <v>28</v>
      </c>
      <c r="G117" t="s">
        <v>25</v>
      </c>
      <c r="H117" t="s">
        <v>21</v>
      </c>
      <c r="I117" t="s">
        <v>24</v>
      </c>
      <c r="J117" t="s">
        <v>23</v>
      </c>
      <c r="K117">
        <v>1141</v>
      </c>
      <c r="L117" s="4">
        <v>9.0774571000000002</v>
      </c>
      <c r="M117" s="4">
        <v>74.343355082946488</v>
      </c>
      <c r="N117" s="4">
        <v>-0.33694502066485432</v>
      </c>
      <c r="O117" s="1" t="str">
        <f>HYPERLINK(".\sm_car_250420_1604\sm_car_250420_1604_116_Ca125TrN_MaLSS_ode23t_1.png","figure")</f>
        <v>figure</v>
      </c>
      <c r="P117" t="s">
        <v>15</v>
      </c>
    </row>
    <row r="118" spans="1:16" x14ac:dyDescent="0.25">
      <c r="A118">
        <v>117</v>
      </c>
      <c r="B118">
        <v>126</v>
      </c>
      <c r="C118" t="s">
        <v>16</v>
      </c>
      <c r="D118" t="s">
        <v>35</v>
      </c>
      <c r="E118" t="s">
        <v>49</v>
      </c>
      <c r="F118" t="s">
        <v>28</v>
      </c>
      <c r="G118" t="s">
        <v>26</v>
      </c>
      <c r="H118" t="s">
        <v>21</v>
      </c>
      <c r="I118" t="s">
        <v>22</v>
      </c>
      <c r="J118" t="s">
        <v>23</v>
      </c>
      <c r="K118">
        <v>1022</v>
      </c>
      <c r="L118" s="4">
        <v>8.5862584999999996</v>
      </c>
      <c r="M118" s="4">
        <v>241.64207491625507</v>
      </c>
      <c r="N118" s="4">
        <v>0.22964983143815992</v>
      </c>
      <c r="O118" s="1" t="str">
        <f>HYPERLINK(".\sm_car_250420_1604\sm_car_250420_1604_117_Ca126TrN_MaWOT_ode23t_1.png","figure")</f>
        <v>figure</v>
      </c>
      <c r="P118" t="s">
        <v>15</v>
      </c>
    </row>
    <row r="119" spans="1:16" x14ac:dyDescent="0.25">
      <c r="A119">
        <v>118</v>
      </c>
      <c r="B119">
        <v>126</v>
      </c>
      <c r="C119" t="s">
        <v>16</v>
      </c>
      <c r="D119" t="s">
        <v>35</v>
      </c>
      <c r="E119" t="s">
        <v>49</v>
      </c>
      <c r="F119" t="s">
        <v>28</v>
      </c>
      <c r="G119" t="s">
        <v>26</v>
      </c>
      <c r="H119" t="s">
        <v>21</v>
      </c>
      <c r="I119" t="s">
        <v>24</v>
      </c>
      <c r="J119" t="s">
        <v>23</v>
      </c>
      <c r="K119">
        <v>1143</v>
      </c>
      <c r="L119" s="4">
        <v>9.6124241999999995</v>
      </c>
      <c r="M119" s="4">
        <v>74.346034796678481</v>
      </c>
      <c r="N119" s="4">
        <v>-0.33728070854483311</v>
      </c>
      <c r="O119" s="1" t="str">
        <f>HYPERLINK(".\sm_car_250420_1604\sm_car_250420_1604_118_Ca126TrN_MaLSS_ode23t_1.png","figure")</f>
        <v>figure</v>
      </c>
      <c r="P119" t="s">
        <v>15</v>
      </c>
    </row>
    <row r="120" spans="1:16" x14ac:dyDescent="0.25">
      <c r="A120">
        <v>119</v>
      </c>
      <c r="B120">
        <v>127</v>
      </c>
      <c r="C120" t="s">
        <v>16</v>
      </c>
      <c r="D120" t="s">
        <v>35</v>
      </c>
      <c r="E120" t="s">
        <v>49</v>
      </c>
      <c r="F120" t="s">
        <v>28</v>
      </c>
      <c r="G120" t="s">
        <v>27</v>
      </c>
      <c r="H120" t="s">
        <v>21</v>
      </c>
      <c r="I120" t="s">
        <v>22</v>
      </c>
      <c r="J120" t="s">
        <v>23</v>
      </c>
      <c r="K120">
        <v>1047</v>
      </c>
      <c r="L120" s="4">
        <v>8.8756824000000005</v>
      </c>
      <c r="M120" s="4">
        <v>241.03473438480009</v>
      </c>
      <c r="N120" s="4">
        <v>0.22856563567516971</v>
      </c>
      <c r="O120" s="1" t="str">
        <f>HYPERLINK(".\sm_car_250420_1604\sm_car_250420_1604_119_Ca127TrN_MaWOT_ode23t_1.png","figure")</f>
        <v>figure</v>
      </c>
      <c r="P120" t="s">
        <v>15</v>
      </c>
    </row>
    <row r="121" spans="1:16" x14ac:dyDescent="0.25">
      <c r="A121">
        <v>120</v>
      </c>
      <c r="B121">
        <v>127</v>
      </c>
      <c r="C121" t="s">
        <v>16</v>
      </c>
      <c r="D121" t="s">
        <v>35</v>
      </c>
      <c r="E121" t="s">
        <v>49</v>
      </c>
      <c r="F121" t="s">
        <v>28</v>
      </c>
      <c r="G121" t="s">
        <v>27</v>
      </c>
      <c r="H121" t="s">
        <v>21</v>
      </c>
      <c r="I121" t="s">
        <v>24</v>
      </c>
      <c r="J121" t="s">
        <v>23</v>
      </c>
      <c r="K121">
        <v>1170</v>
      </c>
      <c r="L121" s="4">
        <v>10.0191032</v>
      </c>
      <c r="M121" s="4">
        <v>74.196365408140423</v>
      </c>
      <c r="N121" s="4">
        <v>-0.33582772784436637</v>
      </c>
      <c r="O121" s="1" t="str">
        <f>HYPERLINK(".\sm_car_250420_1604\sm_car_250420_1604_120_Ca127TrN_MaLSS_ode23t_1.png","figure")</f>
        <v>figure</v>
      </c>
      <c r="P121" t="s">
        <v>15</v>
      </c>
    </row>
    <row r="122" spans="1:16" x14ac:dyDescent="0.25">
      <c r="A122">
        <v>121</v>
      </c>
      <c r="B122">
        <v>140</v>
      </c>
      <c r="C122" t="s">
        <v>45</v>
      </c>
      <c r="D122" t="s">
        <v>17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678</v>
      </c>
      <c r="L122" s="4">
        <v>61.389146400000001</v>
      </c>
      <c r="M122" s="4">
        <v>404.99152704229346</v>
      </c>
      <c r="N122" s="4">
        <v>1.5997829717932011</v>
      </c>
      <c r="O122" s="1" t="str">
        <f>HYPERLINK(".\sm_car_250420_1604\sm_car_250420_1604_121_Ca140TrN_MaWOT_ode23t_1.png","figure")</f>
        <v>figure</v>
      </c>
      <c r="P122" t="s">
        <v>15</v>
      </c>
    </row>
    <row r="123" spans="1:16" x14ac:dyDescent="0.25">
      <c r="A123">
        <v>122</v>
      </c>
      <c r="B123">
        <v>140</v>
      </c>
      <c r="C123" t="s">
        <v>45</v>
      </c>
      <c r="D123" t="s">
        <v>17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664</v>
      </c>
      <c r="L123" s="4">
        <v>38.971766799999997</v>
      </c>
      <c r="M123" s="4">
        <v>154.33951113723916</v>
      </c>
      <c r="N123" s="4">
        <v>-0.5870500681364359</v>
      </c>
      <c r="O123" s="1" t="str">
        <f>HYPERLINK(".\sm_car_250420_1604\sm_car_250420_1604_122_Ca140TrN_MaLSS_ode23t_1.png","figure")</f>
        <v>figure</v>
      </c>
      <c r="P123" t="s">
        <v>15</v>
      </c>
    </row>
    <row r="124" spans="1:16" x14ac:dyDescent="0.25">
      <c r="A124">
        <v>123</v>
      </c>
      <c r="B124">
        <v>142</v>
      </c>
      <c r="C124" t="s">
        <v>45</v>
      </c>
      <c r="D124" t="s">
        <v>17</v>
      </c>
      <c r="E124" t="s">
        <v>49</v>
      </c>
      <c r="F124" t="s">
        <v>28</v>
      </c>
      <c r="G124" t="s">
        <v>26</v>
      </c>
      <c r="H124" t="s">
        <v>21</v>
      </c>
      <c r="I124" t="s">
        <v>22</v>
      </c>
      <c r="J124" t="s">
        <v>23</v>
      </c>
      <c r="K124">
        <v>1227</v>
      </c>
      <c r="L124" s="4">
        <v>56.275816300000002</v>
      </c>
      <c r="M124" s="4">
        <v>405.30175835786349</v>
      </c>
      <c r="N124" s="4">
        <v>1.7613913786665283</v>
      </c>
      <c r="O124" s="1" t="str">
        <f>HYPERLINK(".\sm_car_250420_1604\sm_car_250420_1604_123_Ca142TrN_MaWOT_ode23t_1.png","figure")</f>
        <v>figure</v>
      </c>
      <c r="P124" t="s">
        <v>15</v>
      </c>
    </row>
    <row r="125" spans="1:16" x14ac:dyDescent="0.25">
      <c r="A125">
        <v>124</v>
      </c>
      <c r="B125">
        <v>142</v>
      </c>
      <c r="C125" t="s">
        <v>45</v>
      </c>
      <c r="D125" t="s">
        <v>17</v>
      </c>
      <c r="E125" t="s">
        <v>49</v>
      </c>
      <c r="F125" t="s">
        <v>28</v>
      </c>
      <c r="G125" t="s">
        <v>26</v>
      </c>
      <c r="H125" t="s">
        <v>21</v>
      </c>
      <c r="I125" t="s">
        <v>24</v>
      </c>
      <c r="J125" t="s">
        <v>23</v>
      </c>
      <c r="K125">
        <v>1225</v>
      </c>
      <c r="L125" s="4">
        <v>41.3875952</v>
      </c>
      <c r="M125" s="4">
        <v>154.45652713718505</v>
      </c>
      <c r="N125" s="4">
        <v>-0.59129773126261809</v>
      </c>
      <c r="O125" s="1" t="str">
        <f>HYPERLINK(".\sm_car_250420_1604\sm_car_250420_1604_124_Ca142TrN_MaLSS_ode23t_1.png","figure")</f>
        <v>figure</v>
      </c>
      <c r="P125" t="s">
        <v>15</v>
      </c>
    </row>
    <row r="126" spans="1:16" x14ac:dyDescent="0.25">
      <c r="A126">
        <v>125</v>
      </c>
      <c r="B126">
        <v>145</v>
      </c>
      <c r="C126" t="s">
        <v>46</v>
      </c>
      <c r="D126" t="s">
        <v>17</v>
      </c>
      <c r="E126" t="s">
        <v>50</v>
      </c>
      <c r="F126" t="s">
        <v>19</v>
      </c>
      <c r="G126" t="s">
        <v>26</v>
      </c>
      <c r="H126" t="s">
        <v>21</v>
      </c>
      <c r="I126" t="s">
        <v>22</v>
      </c>
      <c r="J126" t="s">
        <v>23</v>
      </c>
      <c r="K126">
        <v>356</v>
      </c>
      <c r="L126" s="4">
        <v>23.4315599</v>
      </c>
      <c r="M126" s="4">
        <v>95.827006069090075</v>
      </c>
      <c r="N126" s="4">
        <v>-3.3099400052263847E-2</v>
      </c>
      <c r="O126" s="1" t="str">
        <f>HYPERLINK(".\sm_car_250420_1604\sm_car_250420_1604_125_Ca145TrN_MaWOT_ode23t_1.png","figure")</f>
        <v>figure</v>
      </c>
      <c r="P126" t="s">
        <v>15</v>
      </c>
    </row>
    <row r="127" spans="1:16" x14ac:dyDescent="0.25">
      <c r="A127">
        <v>126</v>
      </c>
      <c r="B127">
        <v>145</v>
      </c>
      <c r="C127" t="s">
        <v>46</v>
      </c>
      <c r="D127" t="s">
        <v>17</v>
      </c>
      <c r="E127" t="s">
        <v>50</v>
      </c>
      <c r="F127" t="s">
        <v>19</v>
      </c>
      <c r="G127" t="s">
        <v>26</v>
      </c>
      <c r="H127" t="s">
        <v>21</v>
      </c>
      <c r="I127" t="s">
        <v>24</v>
      </c>
      <c r="J127" t="s">
        <v>23</v>
      </c>
      <c r="K127">
        <v>450</v>
      </c>
      <c r="L127" s="4">
        <v>26.078956999999999</v>
      </c>
      <c r="M127" s="4">
        <v>25.009621804984665</v>
      </c>
      <c r="N127" s="4">
        <v>-5.0076731634986958E-2</v>
      </c>
      <c r="O127" s="1" t="str">
        <f>HYPERLINK(".\sm_car_250420_1604\sm_car_250420_1604_126_Ca145TrN_MaLSS_ode23t_1.png","figure")</f>
        <v>figure</v>
      </c>
      <c r="P127" t="s">
        <v>15</v>
      </c>
    </row>
    <row r="128" spans="1:16" x14ac:dyDescent="0.25">
      <c r="A128">
        <v>127</v>
      </c>
      <c r="B128">
        <v>146</v>
      </c>
      <c r="C128" t="s">
        <v>46</v>
      </c>
      <c r="D128" t="s">
        <v>17</v>
      </c>
      <c r="E128" t="s">
        <v>49</v>
      </c>
      <c r="F128" t="s">
        <v>19</v>
      </c>
      <c r="G128" t="s">
        <v>26</v>
      </c>
      <c r="H128" t="s">
        <v>21</v>
      </c>
      <c r="I128" t="s">
        <v>22</v>
      </c>
      <c r="J128" t="s">
        <v>23</v>
      </c>
      <c r="K128">
        <v>329</v>
      </c>
      <c r="L128" s="4">
        <v>15.924037</v>
      </c>
      <c r="M128" s="4">
        <v>113.96953753149637</v>
      </c>
      <c r="N128" s="4">
        <v>0.5327998967603309</v>
      </c>
      <c r="O128" s="1" t="str">
        <f>HYPERLINK(".\sm_car_250420_1604\sm_car_250420_1604_127_Ca146TrN_MaWOT_ode23t_1.png","figure")</f>
        <v>figure</v>
      </c>
      <c r="P128" t="s">
        <v>15</v>
      </c>
    </row>
    <row r="129" spans="1:16" x14ac:dyDescent="0.25">
      <c r="A129">
        <v>128</v>
      </c>
      <c r="B129">
        <v>146</v>
      </c>
      <c r="C129" t="s">
        <v>46</v>
      </c>
      <c r="D129" t="s">
        <v>17</v>
      </c>
      <c r="E129" t="s">
        <v>49</v>
      </c>
      <c r="F129" t="s">
        <v>19</v>
      </c>
      <c r="G129" t="s">
        <v>26</v>
      </c>
      <c r="H129" t="s">
        <v>21</v>
      </c>
      <c r="I129" t="s">
        <v>24</v>
      </c>
      <c r="J129" t="s">
        <v>23</v>
      </c>
      <c r="K129">
        <v>460</v>
      </c>
      <c r="L129" s="4">
        <v>22.849551300000002</v>
      </c>
      <c r="M129" s="4">
        <v>35.598778179997112</v>
      </c>
      <c r="N129" s="4">
        <v>-2.665081034009139E-2</v>
      </c>
      <c r="O129" s="1" t="str">
        <f>HYPERLINK(".\sm_car_250420_1604\sm_car_250420_1604_128_Ca146TrN_MaLSS_ode23t_1.png","figure")</f>
        <v>figure</v>
      </c>
      <c r="P129" t="s">
        <v>15</v>
      </c>
    </row>
    <row r="130" spans="1:16" x14ac:dyDescent="0.25">
      <c r="A130">
        <v>129</v>
      </c>
      <c r="B130">
        <v>146</v>
      </c>
      <c r="C130" t="s">
        <v>46</v>
      </c>
      <c r="D130" t="s">
        <v>17</v>
      </c>
      <c r="E130" t="s">
        <v>49</v>
      </c>
      <c r="F130" t="s">
        <v>19</v>
      </c>
      <c r="G130" t="s">
        <v>26</v>
      </c>
      <c r="H130" t="s">
        <v>21</v>
      </c>
      <c r="I130" t="s">
        <v>22</v>
      </c>
      <c r="J130" t="s">
        <v>23</v>
      </c>
      <c r="K130">
        <v>329</v>
      </c>
      <c r="L130" s="4">
        <v>15.9575271</v>
      </c>
      <c r="M130" s="4">
        <v>113.96953753149637</v>
      </c>
      <c r="N130" s="4">
        <v>0.5327998967603309</v>
      </c>
      <c r="O130" s="1" t="str">
        <f>HYPERLINK(".\sm_car_250420_1604\sm_car_250420_1604_129_Ca146TrN_MaWOT_ode23t_1.png","figure")</f>
        <v>figure</v>
      </c>
      <c r="P130" t="s">
        <v>15</v>
      </c>
    </row>
    <row r="131" spans="1:16" x14ac:dyDescent="0.25">
      <c r="A131">
        <v>130</v>
      </c>
      <c r="B131">
        <v>146</v>
      </c>
      <c r="C131" t="s">
        <v>46</v>
      </c>
      <c r="D131" t="s">
        <v>17</v>
      </c>
      <c r="E131" t="s">
        <v>49</v>
      </c>
      <c r="F131" t="s">
        <v>19</v>
      </c>
      <c r="G131" t="s">
        <v>26</v>
      </c>
      <c r="H131" t="s">
        <v>21</v>
      </c>
      <c r="I131" t="s">
        <v>24</v>
      </c>
      <c r="J131" t="s">
        <v>23</v>
      </c>
      <c r="K131">
        <v>460</v>
      </c>
      <c r="L131" s="4">
        <v>21.833576799999999</v>
      </c>
      <c r="M131" s="4">
        <v>35.598778179997112</v>
      </c>
      <c r="N131" s="4">
        <v>-2.665081034009139E-2</v>
      </c>
      <c r="O131" s="1" t="str">
        <f>HYPERLINK(".\sm_car_250420_1604\sm_car_250420_1604_130_Ca146TrN_MaLSS_ode23t_1.png","figure")</f>
        <v>figure</v>
      </c>
      <c r="P131" t="s">
        <v>15</v>
      </c>
    </row>
    <row r="132" spans="1:16" x14ac:dyDescent="0.25">
      <c r="A132">
        <v>131</v>
      </c>
      <c r="B132">
        <v>161</v>
      </c>
      <c r="C132" t="s">
        <v>45</v>
      </c>
      <c r="D132" t="s">
        <v>51</v>
      </c>
      <c r="E132" t="s">
        <v>49</v>
      </c>
      <c r="F132" t="s">
        <v>19</v>
      </c>
      <c r="G132" t="s">
        <v>26</v>
      </c>
      <c r="H132" t="s">
        <v>21</v>
      </c>
      <c r="I132" t="s">
        <v>22</v>
      </c>
      <c r="J132" t="s">
        <v>23</v>
      </c>
      <c r="K132">
        <v>555</v>
      </c>
      <c r="L132" s="4">
        <v>42.745195699999996</v>
      </c>
      <c r="M132" s="4">
        <v>179.78458953594199</v>
      </c>
      <c r="N132" s="4">
        <v>0.26055647087088712</v>
      </c>
      <c r="O132" s="1" t="str">
        <f>HYPERLINK(".\sm_car_250420_1604\sm_car_250420_1604_131_Ca161TrN_MaWOT_ode23t_1.png","figure")</f>
        <v>figure</v>
      </c>
      <c r="P132" t="s">
        <v>15</v>
      </c>
    </row>
    <row r="133" spans="1:16" x14ac:dyDescent="0.25">
      <c r="A133">
        <v>132</v>
      </c>
      <c r="B133">
        <v>161</v>
      </c>
      <c r="C133" t="s">
        <v>45</v>
      </c>
      <c r="D133" t="s">
        <v>51</v>
      </c>
      <c r="E133" t="s">
        <v>49</v>
      </c>
      <c r="F133" t="s">
        <v>19</v>
      </c>
      <c r="G133" t="s">
        <v>26</v>
      </c>
      <c r="H133" t="s">
        <v>21</v>
      </c>
      <c r="I133" t="s">
        <v>24</v>
      </c>
      <c r="J133" t="s">
        <v>23</v>
      </c>
      <c r="K133">
        <v>680</v>
      </c>
      <c r="L133" s="4">
        <v>49.302767799999998</v>
      </c>
      <c r="M133" s="4">
        <v>154.1509371395982</v>
      </c>
      <c r="N133" s="4">
        <v>-0.57772637502501412</v>
      </c>
      <c r="O133" s="1" t="str">
        <f>HYPERLINK(".\sm_car_250420_1604\sm_car_250420_1604_132_Ca161TrN_MaLSS_ode23t_1.png","figure")</f>
        <v>figure</v>
      </c>
      <c r="P133" t="s">
        <v>15</v>
      </c>
    </row>
    <row r="134" spans="1:16" x14ac:dyDescent="0.25">
      <c r="A134">
        <v>133</v>
      </c>
      <c r="B134">
        <v>163</v>
      </c>
      <c r="C134" t="s">
        <v>45</v>
      </c>
      <c r="D134" t="s">
        <v>52</v>
      </c>
      <c r="E134" t="s">
        <v>49</v>
      </c>
      <c r="F134" t="s">
        <v>19</v>
      </c>
      <c r="G134" t="s">
        <v>26</v>
      </c>
      <c r="H134" t="s">
        <v>21</v>
      </c>
      <c r="I134" t="s">
        <v>22</v>
      </c>
      <c r="J134" t="s">
        <v>23</v>
      </c>
      <c r="K134">
        <v>623</v>
      </c>
      <c r="L134" s="4">
        <v>53.895706500000003</v>
      </c>
      <c r="M134" s="4">
        <v>277.43956183325412</v>
      </c>
      <c r="N134" s="4">
        <v>0.69063196291967444</v>
      </c>
      <c r="O134" s="1" t="str">
        <f>HYPERLINK(".\sm_car_250420_1604\sm_car_250420_1604_133_Ca163TrN_MaWOT_ode23t_1.png","figure")</f>
        <v>figure</v>
      </c>
      <c r="P134" t="s">
        <v>15</v>
      </c>
    </row>
    <row r="135" spans="1:16" x14ac:dyDescent="0.25">
      <c r="A135">
        <v>134</v>
      </c>
      <c r="B135">
        <v>163</v>
      </c>
      <c r="C135" t="s">
        <v>45</v>
      </c>
      <c r="D135" t="s">
        <v>52</v>
      </c>
      <c r="E135" t="s">
        <v>49</v>
      </c>
      <c r="F135" t="s">
        <v>19</v>
      </c>
      <c r="G135" t="s">
        <v>26</v>
      </c>
      <c r="H135" t="s">
        <v>21</v>
      </c>
      <c r="I135" t="s">
        <v>24</v>
      </c>
      <c r="J135" t="s">
        <v>23</v>
      </c>
      <c r="K135">
        <v>809</v>
      </c>
      <c r="L135" s="4">
        <v>61.875039700000002</v>
      </c>
      <c r="M135" s="4">
        <v>256.39584604618034</v>
      </c>
      <c r="N135" s="4">
        <v>-0.8673435788804994</v>
      </c>
      <c r="O135" s="1" t="str">
        <f>HYPERLINK(".\sm_car_250420_1604\sm_car_250420_1604_134_Ca163TrN_MaLSS_ode23t_1.png","figure")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122</v>
      </c>
      <c r="E136" t="s">
        <v>49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>
        <v>314</v>
      </c>
      <c r="L136" s="4">
        <v>23.3296961</v>
      </c>
      <c r="M136" s="4">
        <v>294.60516400503144</v>
      </c>
      <c r="N136" s="4">
        <v>3.0070182992938076E-4</v>
      </c>
      <c r="O136" s="1" t="str">
        <f>HYPERLINK(".\sm_car_250420_1604\sm_car_250420_1604_135_Ca184TrN_MaWOT_ode23t_1.png","figure")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122</v>
      </c>
      <c r="E137" t="s">
        <v>49</v>
      </c>
      <c r="F137" t="s">
        <v>19</v>
      </c>
      <c r="G137" t="s">
        <v>20</v>
      </c>
      <c r="H137" t="s">
        <v>21</v>
      </c>
      <c r="I137" t="s">
        <v>24</v>
      </c>
      <c r="J137" t="s">
        <v>23</v>
      </c>
      <c r="K137">
        <v>480</v>
      </c>
      <c r="L137" s="4">
        <v>19.524942299999999</v>
      </c>
      <c r="M137" s="4">
        <v>103.55339590683327</v>
      </c>
      <c r="N137" s="4">
        <v>-0.21425990128684613</v>
      </c>
      <c r="O137" s="1" t="str">
        <f>HYPERLINK(".\sm_car_250420_1604\sm_car_250420_1604_136_Ca184TrN_MaLSS_ode23t_1.png","figure")</f>
        <v>figure</v>
      </c>
      <c r="P137" t="s">
        <v>15</v>
      </c>
    </row>
    <row r="138" spans="1:16" x14ac:dyDescent="0.25">
      <c r="A138">
        <v>137</v>
      </c>
      <c r="B138">
        <v>217</v>
      </c>
      <c r="C138" t="s">
        <v>45</v>
      </c>
      <c r="D138" t="s">
        <v>17</v>
      </c>
      <c r="E138" t="s">
        <v>108</v>
      </c>
      <c r="F138" t="s">
        <v>126</v>
      </c>
      <c r="G138" t="s">
        <v>26</v>
      </c>
      <c r="H138" t="s">
        <v>21</v>
      </c>
      <c r="I138" t="s">
        <v>22</v>
      </c>
      <c r="J138" t="s">
        <v>23</v>
      </c>
      <c r="K138">
        <v>746</v>
      </c>
      <c r="L138" s="4">
        <v>52.967701900000002</v>
      </c>
      <c r="M138" s="4">
        <v>278.59324074130217</v>
      </c>
      <c r="N138" s="4">
        <v>0.72522942954911507</v>
      </c>
      <c r="O138" s="1" t="str">
        <f>HYPERLINK(".\sm_car_250420_1604\sm_car_250420_1604_137_Ca217TrN_MaWOT_ode23t_1.png","figure")</f>
        <v>figure</v>
      </c>
      <c r="P138" t="s">
        <v>15</v>
      </c>
    </row>
    <row r="139" spans="1:16" x14ac:dyDescent="0.25">
      <c r="A139">
        <v>138</v>
      </c>
      <c r="B139">
        <v>217</v>
      </c>
      <c r="C139" t="s">
        <v>45</v>
      </c>
      <c r="D139" t="s">
        <v>17</v>
      </c>
      <c r="E139" t="s">
        <v>108</v>
      </c>
      <c r="F139" t="s">
        <v>126</v>
      </c>
      <c r="G139" t="s">
        <v>26</v>
      </c>
      <c r="H139" t="s">
        <v>21</v>
      </c>
      <c r="I139" t="s">
        <v>24</v>
      </c>
      <c r="J139" t="s">
        <v>23</v>
      </c>
      <c r="K139">
        <v>861</v>
      </c>
      <c r="L139" s="4">
        <v>59.662031599999999</v>
      </c>
      <c r="M139" s="4">
        <v>110.08656713582636</v>
      </c>
      <c r="N139" s="4">
        <v>-0.35935274510462339</v>
      </c>
      <c r="O139" s="1" t="str">
        <f>HYPERLINK(".\sm_car_250420_1604\sm_car_250420_1604_138_Ca217TrN_MaLSS_ode23t_1.png","figure")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53</v>
      </c>
      <c r="J140" t="s">
        <v>23</v>
      </c>
      <c r="K140">
        <v>779</v>
      </c>
      <c r="L140" s="4">
        <v>17.451841399999999</v>
      </c>
      <c r="M140" s="4">
        <v>253.84603129113225</v>
      </c>
      <c r="N140" s="4">
        <v>3.8273713823366862E-3</v>
      </c>
      <c r="O140" s="1" t="str">
        <f>HYPERLINK(".\sm_car_250420_1604\sm_car_250420_1604_139_Ca012TrN_MaDLC_ode23t_1.png","figure")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54</v>
      </c>
      <c r="J141" t="s">
        <v>23</v>
      </c>
      <c r="K141">
        <v>935</v>
      </c>
      <c r="L141" s="4">
        <v>23.928342700000002</v>
      </c>
      <c r="M141" s="4">
        <v>74.817615996745658</v>
      </c>
      <c r="N141" s="4">
        <v>0.72077054446042399</v>
      </c>
      <c r="O141" s="1" t="str">
        <f>HYPERLINK(".\sm_car_250420_1604\sm_car_250420_1604_140_Ca012TrN_MaIPA_ode23t_1.png","figure")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53</v>
      </c>
      <c r="J142" t="s">
        <v>23</v>
      </c>
      <c r="K142">
        <v>776</v>
      </c>
      <c r="L142" s="4">
        <v>24.717898999999999</v>
      </c>
      <c r="M142" s="4">
        <v>253.99509852573414</v>
      </c>
      <c r="N142" s="4">
        <v>-5.5960855360339679E-3</v>
      </c>
      <c r="O142" s="1" t="str">
        <f>HYPERLINK(".\sm_car_250420_1604\sm_car_250420_1604_141_Ca142TrN_MaDLC_ode23t_1.png","figure")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54</v>
      </c>
      <c r="J143" t="s">
        <v>23</v>
      </c>
      <c r="K143">
        <v>1566</v>
      </c>
      <c r="L143" s="4">
        <v>67.525103799999997</v>
      </c>
      <c r="M143" s="4">
        <v>83.381514167399914</v>
      </c>
      <c r="N143" s="4">
        <v>0.85528131072339053</v>
      </c>
      <c r="O143" s="1" t="str">
        <f>HYPERLINK(".\sm_car_250420_1604\sm_car_250420_1604_142_Ca142TrN_MaIPA_ode23t_1.png","figure")</f>
        <v>figure</v>
      </c>
      <c r="P143" t="s">
        <v>15</v>
      </c>
    </row>
    <row r="144" spans="1:16" x14ac:dyDescent="0.25">
      <c r="A144">
        <v>143</v>
      </c>
      <c r="B144">
        <v>145</v>
      </c>
      <c r="C144" t="s">
        <v>46</v>
      </c>
      <c r="D144" t="s">
        <v>17</v>
      </c>
      <c r="E144" t="s">
        <v>50</v>
      </c>
      <c r="F144" t="s">
        <v>19</v>
      </c>
      <c r="G144" t="s">
        <v>26</v>
      </c>
      <c r="H144" t="s">
        <v>21</v>
      </c>
      <c r="I144" t="s">
        <v>53</v>
      </c>
      <c r="J144" t="s">
        <v>23</v>
      </c>
      <c r="K144">
        <v>482</v>
      </c>
      <c r="L144" s="4">
        <v>28.512155799999999</v>
      </c>
      <c r="M144" s="4">
        <v>254.25340157739993</v>
      </c>
      <c r="N144" s="4">
        <v>4.5336950357578232E-2</v>
      </c>
      <c r="O144" s="1" t="str">
        <f>HYPERLINK(".\sm_car_250420_1604\sm_car_250420_1604_143_Ca145TrN_MaDLC_ode23t_1.png","figure")</f>
        <v>figure</v>
      </c>
      <c r="P144" t="s">
        <v>15</v>
      </c>
    </row>
    <row r="145" spans="1:16" x14ac:dyDescent="0.25">
      <c r="A145">
        <v>144</v>
      </c>
      <c r="B145">
        <v>145</v>
      </c>
      <c r="C145" t="s">
        <v>46</v>
      </c>
      <c r="D145" t="s">
        <v>17</v>
      </c>
      <c r="E145" t="s">
        <v>50</v>
      </c>
      <c r="F145" t="s">
        <v>19</v>
      </c>
      <c r="G145" t="s">
        <v>26</v>
      </c>
      <c r="H145" t="s">
        <v>21</v>
      </c>
      <c r="I145" t="s">
        <v>54</v>
      </c>
      <c r="J145" t="s">
        <v>23</v>
      </c>
      <c r="K145">
        <v>321</v>
      </c>
      <c r="L145" s="4">
        <v>20.1067894</v>
      </c>
      <c r="M145" s="4">
        <v>28.089554659627126</v>
      </c>
      <c r="N145" s="4">
        <v>1.5876859294735785E-2</v>
      </c>
      <c r="O145" s="1" t="str">
        <f>HYPERLINK(".\sm_car_250420_1604\sm_car_250420_1604_144_Ca145TrN_MaIPA_ode23t_1.png","figure")</f>
        <v>figure</v>
      </c>
      <c r="P145" t="s">
        <v>15</v>
      </c>
    </row>
    <row r="146" spans="1:16" x14ac:dyDescent="0.25">
      <c r="A146">
        <v>145</v>
      </c>
      <c r="B146">
        <v>184</v>
      </c>
      <c r="C146" t="s">
        <v>105</v>
      </c>
      <c r="D146" t="s">
        <v>122</v>
      </c>
      <c r="E146" t="s">
        <v>49</v>
      </c>
      <c r="F146" t="s">
        <v>19</v>
      </c>
      <c r="G146" t="s">
        <v>20</v>
      </c>
      <c r="H146" t="s">
        <v>21</v>
      </c>
      <c r="I146" t="s">
        <v>53</v>
      </c>
      <c r="J146" t="s">
        <v>23</v>
      </c>
      <c r="K146">
        <v>418</v>
      </c>
      <c r="L146" s="4">
        <v>18.1144149</v>
      </c>
      <c r="M146" s="4">
        <v>255.9470516918056</v>
      </c>
      <c r="N146" s="4">
        <v>1.0614562833051622E-2</v>
      </c>
      <c r="O146" s="1" t="str">
        <f>HYPERLINK(".\sm_car_250420_1604\sm_car_250420_1604_145_Ca184TrN_MaDLC_ode23t_1.png","figure")</f>
        <v>figure</v>
      </c>
      <c r="P146" t="s">
        <v>15</v>
      </c>
    </row>
    <row r="147" spans="1:16" x14ac:dyDescent="0.25">
      <c r="A147">
        <v>146</v>
      </c>
      <c r="B147">
        <v>184</v>
      </c>
      <c r="C147" t="s">
        <v>105</v>
      </c>
      <c r="D147" t="s">
        <v>122</v>
      </c>
      <c r="E147" t="s">
        <v>49</v>
      </c>
      <c r="F147" t="s">
        <v>19</v>
      </c>
      <c r="G147" t="s">
        <v>20</v>
      </c>
      <c r="H147" t="s">
        <v>21</v>
      </c>
      <c r="I147" t="s">
        <v>54</v>
      </c>
      <c r="J147" t="s">
        <v>23</v>
      </c>
      <c r="K147">
        <v>336</v>
      </c>
      <c r="L147" s="4">
        <v>20.7888509</v>
      </c>
      <c r="M147" s="4">
        <v>55.272887960032172</v>
      </c>
      <c r="N147" s="4">
        <v>5.7852257024535716E-3</v>
      </c>
      <c r="O147" s="1" t="str">
        <f>HYPERLINK(".\sm_car_250420_1604\sm_car_250420_1604_146_Ca184TrN_MaIPA_ode23t_1.png","figure")</f>
        <v>figure</v>
      </c>
      <c r="P147" t="s">
        <v>15</v>
      </c>
    </row>
    <row r="148" spans="1:16" x14ac:dyDescent="0.25">
      <c r="A148">
        <v>147</v>
      </c>
      <c r="B148">
        <v>204</v>
      </c>
      <c r="C148" t="s">
        <v>105</v>
      </c>
      <c r="D148" t="s">
        <v>107</v>
      </c>
      <c r="E148" t="s">
        <v>18</v>
      </c>
      <c r="F148" t="s">
        <v>19</v>
      </c>
      <c r="G148" t="s">
        <v>20</v>
      </c>
      <c r="H148" t="s">
        <v>21</v>
      </c>
      <c r="I148" t="s">
        <v>53</v>
      </c>
      <c r="J148" t="s">
        <v>23</v>
      </c>
      <c r="K148">
        <v>1973</v>
      </c>
      <c r="L148" s="4">
        <v>47.720312900000003</v>
      </c>
      <c r="M148" s="4">
        <v>255.55813499736036</v>
      </c>
      <c r="N148" s="4">
        <v>1.4511931038034831E-2</v>
      </c>
      <c r="O148" s="1" t="str">
        <f>HYPERLINK(".\sm_car_250420_1604\sm_car_250420_1604_147_Ca204TrN_MaDLC_ode23t_1.png","figure")</f>
        <v>figure</v>
      </c>
      <c r="P148" t="s">
        <v>15</v>
      </c>
    </row>
    <row r="149" spans="1:16" x14ac:dyDescent="0.25">
      <c r="A149">
        <v>148</v>
      </c>
      <c r="B149">
        <v>204</v>
      </c>
      <c r="C149" t="s">
        <v>105</v>
      </c>
      <c r="D149" t="s">
        <v>107</v>
      </c>
      <c r="E149" t="s">
        <v>18</v>
      </c>
      <c r="F149" t="s">
        <v>19</v>
      </c>
      <c r="G149" t="s">
        <v>20</v>
      </c>
      <c r="H149" t="s">
        <v>21</v>
      </c>
      <c r="I149" t="s">
        <v>54</v>
      </c>
      <c r="J149" t="s">
        <v>23</v>
      </c>
      <c r="K149">
        <v>705</v>
      </c>
      <c r="L149" s="4">
        <v>22.066864899999999</v>
      </c>
      <c r="M149" s="4">
        <v>26.035401245788204</v>
      </c>
      <c r="N149" s="4">
        <v>9.6563362341288757E-3</v>
      </c>
      <c r="O149" s="1" t="str">
        <f>HYPERLINK(".\sm_car_250420_1604\sm_car_250420_1604_148_Ca204TrN_MaIPA_ode23t_1.png","figure")</f>
        <v>figure</v>
      </c>
      <c r="P149" t="s">
        <v>15</v>
      </c>
    </row>
    <row r="150" spans="1:16" x14ac:dyDescent="0.25">
      <c r="A150">
        <v>149</v>
      </c>
      <c r="B150">
        <v>12</v>
      </c>
      <c r="C150" t="s">
        <v>16</v>
      </c>
      <c r="D150" t="s">
        <v>17</v>
      </c>
      <c r="E150" t="s">
        <v>49</v>
      </c>
      <c r="F150" t="s">
        <v>28</v>
      </c>
      <c r="G150" t="s">
        <v>20</v>
      </c>
      <c r="H150" t="s">
        <v>21</v>
      </c>
      <c r="I150" t="s">
        <v>55</v>
      </c>
      <c r="J150" t="s">
        <v>23</v>
      </c>
      <c r="K150">
        <v>2718</v>
      </c>
      <c r="L150" s="4">
        <v>50.409039900000003</v>
      </c>
      <c r="M150" s="4">
        <v>-1.9001243105842919E-2</v>
      </c>
      <c r="N150" s="4">
        <v>-0.62229842965783733</v>
      </c>
      <c r="O150" s="1" t="str">
        <f>HYPERLINK(".\sm_car_250420_1604\sm_car_250420_1604_149_Ca012TrN_MaMPK_ode23t_1.png","figure")</f>
        <v>figure</v>
      </c>
      <c r="P150" t="s">
        <v>15</v>
      </c>
    </row>
    <row r="151" spans="1:16" x14ac:dyDescent="0.25">
      <c r="A151">
        <v>150</v>
      </c>
      <c r="B151">
        <v>12</v>
      </c>
      <c r="C151" t="s">
        <v>16</v>
      </c>
      <c r="D151" t="s">
        <v>17</v>
      </c>
      <c r="E151" t="s">
        <v>49</v>
      </c>
      <c r="F151" t="s">
        <v>28</v>
      </c>
      <c r="G151" t="s">
        <v>20</v>
      </c>
      <c r="H151" t="s">
        <v>21</v>
      </c>
      <c r="I151" t="s">
        <v>56</v>
      </c>
      <c r="J151" t="s">
        <v>23</v>
      </c>
      <c r="K151">
        <v>3121</v>
      </c>
      <c r="L151" s="4">
        <v>57.6961656</v>
      </c>
      <c r="M151" s="4">
        <v>0.78858313519074485</v>
      </c>
      <c r="N151" s="4">
        <v>-0.32241892331957928</v>
      </c>
      <c r="O151" s="1" t="str">
        <f>HYPERLINK(".\sm_car_250420_1604\sm_car_250420_1604_150_Ca012TrN_MaMPC_ode23t_1.png","figure")</f>
        <v>figure</v>
      </c>
      <c r="P151" t="s">
        <v>15</v>
      </c>
    </row>
    <row r="152" spans="1:16" x14ac:dyDescent="0.25">
      <c r="A152">
        <v>151</v>
      </c>
      <c r="B152">
        <v>142</v>
      </c>
      <c r="C152" t="s">
        <v>45</v>
      </c>
      <c r="D152" t="s">
        <v>17</v>
      </c>
      <c r="E152" t="s">
        <v>49</v>
      </c>
      <c r="F152" t="s">
        <v>28</v>
      </c>
      <c r="G152" t="s">
        <v>26</v>
      </c>
      <c r="H152" t="s">
        <v>21</v>
      </c>
      <c r="I152" t="s">
        <v>55</v>
      </c>
      <c r="J152" t="s">
        <v>23</v>
      </c>
      <c r="K152">
        <v>2598</v>
      </c>
      <c r="L152" s="4">
        <v>108.63889399999999</v>
      </c>
      <c r="M152" s="4">
        <v>-1.7464784353583521E-2</v>
      </c>
      <c r="N152" s="4">
        <v>-0.54646605864268483</v>
      </c>
      <c r="O152" s="1" t="str">
        <f>HYPERLINK(".\sm_car_250420_1604\sm_car_250420_1604_151_Ca142TrN_MaMPK_ode23t_1.png","figure")</f>
        <v>figure</v>
      </c>
      <c r="P152" t="s">
        <v>15</v>
      </c>
    </row>
    <row r="153" spans="1:16" x14ac:dyDescent="0.25">
      <c r="A153">
        <v>152</v>
      </c>
      <c r="B153">
        <v>142</v>
      </c>
      <c r="C153" t="s">
        <v>45</v>
      </c>
      <c r="D153" t="s">
        <v>17</v>
      </c>
      <c r="E153" t="s">
        <v>49</v>
      </c>
      <c r="F153" t="s">
        <v>28</v>
      </c>
      <c r="G153" t="s">
        <v>26</v>
      </c>
      <c r="H153" t="s">
        <v>21</v>
      </c>
      <c r="I153" t="s">
        <v>56</v>
      </c>
      <c r="J153" t="s">
        <v>23</v>
      </c>
      <c r="K153">
        <v>3205</v>
      </c>
      <c r="L153" s="4">
        <v>141.6130125</v>
      </c>
      <c r="M153" s="4">
        <v>0.78638218173817442</v>
      </c>
      <c r="N153" s="4">
        <v>-0.36594249785888422</v>
      </c>
      <c r="O153" s="1" t="str">
        <f>HYPERLINK(".\sm_car_250420_1604\sm_car_250420_1604_152_Ca142TrN_MaMPC_ode23t_1.png","figure")</f>
        <v>figure</v>
      </c>
      <c r="P153" t="s">
        <v>15</v>
      </c>
    </row>
    <row r="154" spans="1:16" x14ac:dyDescent="0.25">
      <c r="A154">
        <v>153</v>
      </c>
      <c r="B154">
        <v>116</v>
      </c>
      <c r="C154" t="s">
        <v>16</v>
      </c>
      <c r="D154" t="s">
        <v>35</v>
      </c>
      <c r="E154" t="s">
        <v>18</v>
      </c>
      <c r="F154" t="s">
        <v>28</v>
      </c>
      <c r="G154" t="s">
        <v>20</v>
      </c>
      <c r="H154" t="s">
        <v>21</v>
      </c>
      <c r="I154" t="s">
        <v>55</v>
      </c>
      <c r="J154" t="s">
        <v>23</v>
      </c>
      <c r="K154">
        <v>2862</v>
      </c>
      <c r="L154" s="4">
        <v>26.040811099999999</v>
      </c>
      <c r="M154" s="4">
        <v>-1.7885395093238832E-2</v>
      </c>
      <c r="N154" s="4">
        <v>-0.52483088445144455</v>
      </c>
      <c r="O154" s="1" t="str">
        <f>HYPERLINK(".\sm_car_250420_1604\sm_car_250420_1604_153_Ca116TrN_MaMPK_ode23t_1.png","figure")</f>
        <v>figure</v>
      </c>
      <c r="P154" t="s">
        <v>15</v>
      </c>
    </row>
    <row r="155" spans="1:16" x14ac:dyDescent="0.25">
      <c r="A155">
        <v>154</v>
      </c>
      <c r="B155">
        <v>116</v>
      </c>
      <c r="C155" t="s">
        <v>16</v>
      </c>
      <c r="D155" t="s">
        <v>35</v>
      </c>
      <c r="E155" t="s">
        <v>18</v>
      </c>
      <c r="F155" t="s">
        <v>28</v>
      </c>
      <c r="G155" t="s">
        <v>20</v>
      </c>
      <c r="H155" t="s">
        <v>21</v>
      </c>
      <c r="I155" t="s">
        <v>56</v>
      </c>
      <c r="J155" t="s">
        <v>23</v>
      </c>
      <c r="K155">
        <v>3374</v>
      </c>
      <c r="L155" s="4">
        <v>25.96902</v>
      </c>
      <c r="M155" s="4">
        <v>0.78890854276774824</v>
      </c>
      <c r="N155" s="4">
        <v>-0.35488175892756602</v>
      </c>
      <c r="O155" s="1" t="str">
        <f>HYPERLINK(".\sm_car_250420_1604\sm_car_250420_1604_154_Ca116TrN_MaMPC_ode23t_1.png","figure")</f>
        <v>figure</v>
      </c>
      <c r="P155" t="s">
        <v>15</v>
      </c>
    </row>
    <row r="156" spans="1:16" x14ac:dyDescent="0.25">
      <c r="A156">
        <v>155</v>
      </c>
      <c r="B156">
        <v>143</v>
      </c>
      <c r="C156" t="s">
        <v>46</v>
      </c>
      <c r="D156" t="s">
        <v>17</v>
      </c>
      <c r="E156" t="s">
        <v>47</v>
      </c>
      <c r="F156" t="s">
        <v>19</v>
      </c>
      <c r="G156" t="s">
        <v>26</v>
      </c>
      <c r="H156" t="s">
        <v>21</v>
      </c>
      <c r="I156" t="s">
        <v>55</v>
      </c>
      <c r="J156" t="s">
        <v>23</v>
      </c>
      <c r="K156">
        <v>2722</v>
      </c>
      <c r="L156" s="4">
        <v>88.435235899999995</v>
      </c>
      <c r="M156" s="4">
        <v>5.5094451438855996E-3</v>
      </c>
      <c r="N156" s="4">
        <v>-0.38946501748457851</v>
      </c>
      <c r="O156" s="1" t="str">
        <f>HYPERLINK(".\sm_car_250420_1604\sm_car_250420_1604_155_Ca143TrN_MaMPK_ode23t_1.png","figure")</f>
        <v>figure</v>
      </c>
      <c r="P156" t="s">
        <v>15</v>
      </c>
    </row>
    <row r="157" spans="1:16" x14ac:dyDescent="0.25">
      <c r="A157">
        <v>156</v>
      </c>
      <c r="B157">
        <v>143</v>
      </c>
      <c r="C157" t="s">
        <v>46</v>
      </c>
      <c r="D157" t="s">
        <v>17</v>
      </c>
      <c r="E157" t="s">
        <v>47</v>
      </c>
      <c r="F157" t="s">
        <v>19</v>
      </c>
      <c r="G157" t="s">
        <v>26</v>
      </c>
      <c r="H157" t="s">
        <v>21</v>
      </c>
      <c r="I157" t="s">
        <v>56</v>
      </c>
      <c r="J157" t="s">
        <v>23</v>
      </c>
      <c r="K157">
        <v>2890</v>
      </c>
      <c r="L157" s="4">
        <v>108.41539280000001</v>
      </c>
      <c r="M157" s="4">
        <v>0.78942922950205485</v>
      </c>
      <c r="N157" s="4">
        <v>-0.25882009119827359</v>
      </c>
      <c r="O157" s="1" t="str">
        <f>HYPERLINK(".\sm_car_250420_1604\sm_car_250420_1604_156_Ca143TrN_MaMPC_ode23t_1.png","figure")</f>
        <v>figure</v>
      </c>
      <c r="P157" t="s">
        <v>15</v>
      </c>
    </row>
    <row r="158" spans="1:16" x14ac:dyDescent="0.25">
      <c r="A158">
        <v>157</v>
      </c>
      <c r="B158">
        <v>166</v>
      </c>
      <c r="C158" t="s">
        <v>45</v>
      </c>
      <c r="D158" t="s">
        <v>57</v>
      </c>
      <c r="E158" t="s">
        <v>18</v>
      </c>
      <c r="F158" t="s">
        <v>19</v>
      </c>
      <c r="G158" t="s">
        <v>26</v>
      </c>
      <c r="H158" t="s">
        <v>21</v>
      </c>
      <c r="I158" t="s">
        <v>55</v>
      </c>
      <c r="J158" t="s">
        <v>23</v>
      </c>
      <c r="K158">
        <v>3199</v>
      </c>
      <c r="L158" s="4">
        <v>80.243364799999995</v>
      </c>
      <c r="M158" s="4">
        <v>-1.9074033276822014E-2</v>
      </c>
      <c r="N158" s="4">
        <v>-0.55554540196911006</v>
      </c>
      <c r="O158" s="1" t="str">
        <f>HYPERLINK(".\sm_car_250420_1604\sm_car_250420_1604_157_Ca166TrN_MaMPK_ode23t_1.png","figure")</f>
        <v>figure</v>
      </c>
      <c r="P158" t="s">
        <v>15</v>
      </c>
    </row>
    <row r="159" spans="1:16" x14ac:dyDescent="0.25">
      <c r="A159">
        <v>158</v>
      </c>
      <c r="B159">
        <v>166</v>
      </c>
      <c r="C159" t="s">
        <v>45</v>
      </c>
      <c r="D159" t="s">
        <v>57</v>
      </c>
      <c r="E159" t="s">
        <v>18</v>
      </c>
      <c r="F159" t="s">
        <v>19</v>
      </c>
      <c r="G159" t="s">
        <v>26</v>
      </c>
      <c r="H159" t="s">
        <v>21</v>
      </c>
      <c r="I159" t="s">
        <v>56</v>
      </c>
      <c r="J159" t="s">
        <v>23</v>
      </c>
      <c r="K159">
        <v>3552</v>
      </c>
      <c r="L159" s="4">
        <v>91.873388300000002</v>
      </c>
      <c r="M159" s="4">
        <v>0.78276434613018608</v>
      </c>
      <c r="N159" s="4">
        <v>-0.35628537354873829</v>
      </c>
      <c r="O159" s="1" t="str">
        <f>HYPERLINK(".\sm_car_250420_1604\sm_car_250420_1604_158_Ca166TrN_MaMPC_ode23t_1.png","figure")</f>
        <v>figure</v>
      </c>
      <c r="P159" t="s">
        <v>15</v>
      </c>
    </row>
    <row r="160" spans="1:16" x14ac:dyDescent="0.25">
      <c r="A160">
        <v>159</v>
      </c>
      <c r="B160">
        <v>169</v>
      </c>
      <c r="C160" t="s">
        <v>45</v>
      </c>
      <c r="D160" t="s">
        <v>58</v>
      </c>
      <c r="E160" t="s">
        <v>49</v>
      </c>
      <c r="F160" t="s">
        <v>19</v>
      </c>
      <c r="G160" t="s">
        <v>26</v>
      </c>
      <c r="H160" t="s">
        <v>21</v>
      </c>
      <c r="I160" t="s">
        <v>55</v>
      </c>
      <c r="J160" t="s">
        <v>23</v>
      </c>
      <c r="K160">
        <v>3163</v>
      </c>
      <c r="L160" s="4">
        <v>71.0626994</v>
      </c>
      <c r="M160" s="4">
        <v>-1.9209941762647662E-2</v>
      </c>
      <c r="N160" s="4">
        <v>-0.55642488891193398</v>
      </c>
      <c r="O160" s="1" t="str">
        <f>HYPERLINK(".\sm_car_250420_1604\sm_car_250420_1604_159_Ca169TrN_MaMPK_ode23t_1.png","figure")</f>
        <v>figure</v>
      </c>
      <c r="P160" t="s">
        <v>15</v>
      </c>
    </row>
    <row r="161" spans="1:16" x14ac:dyDescent="0.25">
      <c r="A161">
        <v>160</v>
      </c>
      <c r="B161">
        <v>169</v>
      </c>
      <c r="C161" t="s">
        <v>45</v>
      </c>
      <c r="D161" t="s">
        <v>58</v>
      </c>
      <c r="E161" t="s">
        <v>49</v>
      </c>
      <c r="F161" t="s">
        <v>19</v>
      </c>
      <c r="G161" t="s">
        <v>26</v>
      </c>
      <c r="H161" t="s">
        <v>21</v>
      </c>
      <c r="I161" t="s">
        <v>56</v>
      </c>
      <c r="J161" t="s">
        <v>23</v>
      </c>
      <c r="K161">
        <v>3359</v>
      </c>
      <c r="L161" s="4">
        <v>74.208196200000003</v>
      </c>
      <c r="M161" s="4">
        <v>0.78338122122234566</v>
      </c>
      <c r="N161" s="4">
        <v>-0.35555153362960812</v>
      </c>
      <c r="O161" s="1" t="str">
        <f>HYPERLINK(".\sm_car_250420_1604\sm_car_250420_1604_160_Ca169TrN_MaMPC_ode23t_1.png","figure")</f>
        <v>figure</v>
      </c>
      <c r="P161" t="s">
        <v>15</v>
      </c>
    </row>
    <row r="162" spans="1:16" x14ac:dyDescent="0.25">
      <c r="A162">
        <v>161</v>
      </c>
      <c r="B162">
        <v>184</v>
      </c>
      <c r="C162" t="s">
        <v>105</v>
      </c>
      <c r="D162" t="s">
        <v>122</v>
      </c>
      <c r="E162" t="s">
        <v>49</v>
      </c>
      <c r="F162" t="s">
        <v>19</v>
      </c>
      <c r="G162" t="s">
        <v>20</v>
      </c>
      <c r="H162" t="s">
        <v>21</v>
      </c>
      <c r="I162" t="s">
        <v>55</v>
      </c>
      <c r="J162" t="s">
        <v>23</v>
      </c>
      <c r="K162">
        <v>2104</v>
      </c>
      <c r="L162" s="4">
        <v>91.852295799999993</v>
      </c>
      <c r="M162" s="4">
        <v>-2.19330147958786E-2</v>
      </c>
      <c r="N162" s="4">
        <v>-0.69659093095538094</v>
      </c>
      <c r="O162" s="1" t="str">
        <f>HYPERLINK(".\sm_car_250420_1604\sm_car_250420_1604_161_Ca184TrN_MaMPK_ode23t_1.png","figure")</f>
        <v>figure</v>
      </c>
      <c r="P162" t="s">
        <v>15</v>
      </c>
    </row>
    <row r="163" spans="1:16" x14ac:dyDescent="0.25">
      <c r="A163">
        <v>162</v>
      </c>
      <c r="B163">
        <v>184</v>
      </c>
      <c r="C163" t="s">
        <v>105</v>
      </c>
      <c r="D163" t="s">
        <v>122</v>
      </c>
      <c r="E163" t="s">
        <v>49</v>
      </c>
      <c r="F163" t="s">
        <v>19</v>
      </c>
      <c r="G163" t="s">
        <v>20</v>
      </c>
      <c r="H163" t="s">
        <v>21</v>
      </c>
      <c r="I163" t="s">
        <v>56</v>
      </c>
      <c r="J163" t="s">
        <v>23</v>
      </c>
      <c r="K163">
        <v>2197</v>
      </c>
      <c r="L163" s="4">
        <v>93.381859300000002</v>
      </c>
      <c r="M163" s="4">
        <v>0.78740355662704964</v>
      </c>
      <c r="N163" s="4">
        <v>-0.32949284273264767</v>
      </c>
      <c r="O163" s="1" t="str">
        <f>HYPERLINK(".\sm_car_250420_1604\sm_car_250420_1604_162_Ca184TrN_MaMPC_ode23t_1.png","figure")</f>
        <v>figure</v>
      </c>
      <c r="P163" t="s">
        <v>15</v>
      </c>
    </row>
    <row r="164" spans="1:16" x14ac:dyDescent="0.25">
      <c r="A164">
        <v>163</v>
      </c>
      <c r="B164">
        <v>195</v>
      </c>
      <c r="C164" t="s">
        <v>45</v>
      </c>
      <c r="D164" t="s">
        <v>58</v>
      </c>
      <c r="E164" t="s">
        <v>108</v>
      </c>
      <c r="F164" t="s">
        <v>19</v>
      </c>
      <c r="G164" t="s">
        <v>26</v>
      </c>
      <c r="H164" t="s">
        <v>21</v>
      </c>
      <c r="I164" t="s">
        <v>55</v>
      </c>
      <c r="J164" t="s">
        <v>23</v>
      </c>
      <c r="K164">
        <v>3163</v>
      </c>
      <c r="L164" s="4">
        <v>68.362163199999998</v>
      </c>
      <c r="M164" s="4">
        <v>-1.9620072161543115E-2</v>
      </c>
      <c r="N164" s="4">
        <v>-0.55642041146956822</v>
      </c>
      <c r="O164" s="1" t="str">
        <f>HYPERLINK(".\sm_car_250420_1604\sm_car_250420_1604_163_Ca195TrN_MaMPK_ode23t_1.png","figure")</f>
        <v>figure</v>
      </c>
      <c r="P164" t="s">
        <v>15</v>
      </c>
    </row>
    <row r="165" spans="1:16" x14ac:dyDescent="0.25">
      <c r="A165">
        <v>164</v>
      </c>
      <c r="B165">
        <v>195</v>
      </c>
      <c r="C165" t="s">
        <v>45</v>
      </c>
      <c r="D165" t="s">
        <v>58</v>
      </c>
      <c r="E165" t="s">
        <v>108</v>
      </c>
      <c r="F165" t="s">
        <v>19</v>
      </c>
      <c r="G165" t="s">
        <v>26</v>
      </c>
      <c r="H165" t="s">
        <v>21</v>
      </c>
      <c r="I165" t="s">
        <v>56</v>
      </c>
      <c r="J165" t="s">
        <v>23</v>
      </c>
      <c r="K165">
        <v>3394</v>
      </c>
      <c r="L165" s="4">
        <v>70.457046899999995</v>
      </c>
      <c r="M165" s="4">
        <v>0.78930327231036657</v>
      </c>
      <c r="N165" s="4">
        <v>-0.35561992167095691</v>
      </c>
      <c r="O165" s="1" t="str">
        <f>HYPERLINK(".\sm_car_250420_1604\sm_car_250420_1604_164_Ca195TrN_MaMPC_ode23t_1.png","figure")</f>
        <v>figure</v>
      </c>
      <c r="P165" t="s">
        <v>15</v>
      </c>
    </row>
    <row r="166" spans="1:16" x14ac:dyDescent="0.25">
      <c r="A166">
        <v>165</v>
      </c>
      <c r="B166">
        <v>198</v>
      </c>
      <c r="C166" t="s">
        <v>105</v>
      </c>
      <c r="D166" t="s">
        <v>122</v>
      </c>
      <c r="E166" t="s">
        <v>108</v>
      </c>
      <c r="F166" t="s">
        <v>19</v>
      </c>
      <c r="G166" t="s">
        <v>20</v>
      </c>
      <c r="H166" t="s">
        <v>21</v>
      </c>
      <c r="I166" t="s">
        <v>55</v>
      </c>
      <c r="J166" t="s">
        <v>23</v>
      </c>
      <c r="K166">
        <v>2139</v>
      </c>
      <c r="L166" s="4">
        <v>54.251869599999999</v>
      </c>
      <c r="M166" s="4">
        <v>-1.6595943373446095E-2</v>
      </c>
      <c r="N166" s="4">
        <v>-0.69690540732691297</v>
      </c>
      <c r="O166" s="1" t="str">
        <f>HYPERLINK(".\sm_car_250420_1604\sm_car_250420_1604_165_Ca198TrN_MaMPK_ode23t_1.png","figure")</f>
        <v>figure</v>
      </c>
      <c r="P166" t="s">
        <v>15</v>
      </c>
    </row>
    <row r="167" spans="1:16" x14ac:dyDescent="0.25">
      <c r="A167">
        <v>166</v>
      </c>
      <c r="B167">
        <v>198</v>
      </c>
      <c r="C167" t="s">
        <v>105</v>
      </c>
      <c r="D167" t="s">
        <v>122</v>
      </c>
      <c r="E167" t="s">
        <v>108</v>
      </c>
      <c r="F167" t="s">
        <v>19</v>
      </c>
      <c r="G167" t="s">
        <v>20</v>
      </c>
      <c r="H167" t="s">
        <v>21</v>
      </c>
      <c r="I167" t="s">
        <v>56</v>
      </c>
      <c r="J167" t="s">
        <v>23</v>
      </c>
      <c r="K167">
        <v>2163</v>
      </c>
      <c r="L167" s="4">
        <v>56.520602099999998</v>
      </c>
      <c r="M167" s="4">
        <v>0.75528523836520023</v>
      </c>
      <c r="N167" s="4">
        <v>-0.32909407726556167</v>
      </c>
      <c r="O167" s="1" t="str">
        <f>HYPERLINK(".\sm_car_250420_1604\sm_car_250420_1604_166_Ca198TrN_MaMPC_ode23t_1.png","figure")</f>
        <v>figure</v>
      </c>
      <c r="P167" t="s">
        <v>15</v>
      </c>
    </row>
    <row r="168" spans="1:16" x14ac:dyDescent="0.25">
      <c r="A168">
        <v>167</v>
      </c>
      <c r="B168">
        <v>151</v>
      </c>
      <c r="C168" t="s">
        <v>16</v>
      </c>
      <c r="D168" t="s">
        <v>17</v>
      </c>
      <c r="E168" t="s">
        <v>18</v>
      </c>
      <c r="F168" t="s">
        <v>19</v>
      </c>
      <c r="G168" t="s">
        <v>59</v>
      </c>
      <c r="H168" t="s">
        <v>21</v>
      </c>
      <c r="I168" t="s">
        <v>24</v>
      </c>
      <c r="J168" t="s">
        <v>23</v>
      </c>
      <c r="K168">
        <v>514</v>
      </c>
      <c r="L168" s="4">
        <v>20.914935100000001</v>
      </c>
      <c r="M168" s="4">
        <v>72.557095163978914</v>
      </c>
      <c r="N168" s="4">
        <v>-0.80485839589991293</v>
      </c>
      <c r="O168" s="1" t="str">
        <f>HYPERLINK(".\sm_car_250420_1604\sm_car_250420_1604_167_Ca151TrN_MaLSS_ode23t_1.png","figure")</f>
        <v>figure</v>
      </c>
      <c r="P168" t="s">
        <v>15</v>
      </c>
    </row>
    <row r="169" spans="1:16" x14ac:dyDescent="0.25">
      <c r="A169">
        <v>168</v>
      </c>
      <c r="B169">
        <v>152</v>
      </c>
      <c r="C169" t="s">
        <v>16</v>
      </c>
      <c r="D169" t="s">
        <v>17</v>
      </c>
      <c r="E169" t="s">
        <v>18</v>
      </c>
      <c r="F169" t="s">
        <v>19</v>
      </c>
      <c r="G169" t="s">
        <v>60</v>
      </c>
      <c r="H169" t="s">
        <v>21</v>
      </c>
      <c r="I169" t="s">
        <v>24</v>
      </c>
      <c r="J169" t="s">
        <v>23</v>
      </c>
      <c r="K169">
        <v>525</v>
      </c>
      <c r="L169" s="4">
        <v>21.681536900000001</v>
      </c>
      <c r="M169" s="4">
        <v>70.951729745816806</v>
      </c>
      <c r="N169" s="4">
        <v>-0.53273147147092603</v>
      </c>
      <c r="O169" s="1" t="str">
        <f>HYPERLINK(".\sm_car_250420_1604\sm_car_250420_1604_168_Ca152TrN_MaLSS_ode23t_1.png","figure")</f>
        <v>figure</v>
      </c>
      <c r="P169" t="s">
        <v>15</v>
      </c>
    </row>
    <row r="170" spans="1:16" x14ac:dyDescent="0.25">
      <c r="A170">
        <v>169</v>
      </c>
      <c r="B170">
        <v>153</v>
      </c>
      <c r="C170" t="s">
        <v>16</v>
      </c>
      <c r="D170" t="s">
        <v>17</v>
      </c>
      <c r="E170" t="s">
        <v>18</v>
      </c>
      <c r="F170" t="s">
        <v>19</v>
      </c>
      <c r="G170" t="s">
        <v>61</v>
      </c>
      <c r="H170" t="s">
        <v>21</v>
      </c>
      <c r="I170" t="s">
        <v>24</v>
      </c>
      <c r="J170" t="s">
        <v>23</v>
      </c>
      <c r="K170">
        <v>553</v>
      </c>
      <c r="L170" s="4">
        <v>22.5919913</v>
      </c>
      <c r="M170" s="4">
        <v>70.804900457020835</v>
      </c>
      <c r="N170" s="4">
        <v>-0.87007906965159665</v>
      </c>
      <c r="O170" s="1" t="str">
        <f>HYPERLINK(".\sm_car_250420_1604\sm_car_250420_1604_169_Ca153TrN_MaLSS_ode23t_1.png","figure")</f>
        <v>figure</v>
      </c>
      <c r="P170" t="s">
        <v>15</v>
      </c>
    </row>
    <row r="171" spans="1:16" x14ac:dyDescent="0.25">
      <c r="A171">
        <v>170</v>
      </c>
      <c r="B171">
        <v>154</v>
      </c>
      <c r="C171" t="s">
        <v>16</v>
      </c>
      <c r="D171" t="s">
        <v>17</v>
      </c>
      <c r="E171" t="s">
        <v>18</v>
      </c>
      <c r="F171" t="s">
        <v>19</v>
      </c>
      <c r="G171" t="s">
        <v>109</v>
      </c>
      <c r="H171" t="s">
        <v>21</v>
      </c>
      <c r="I171" t="s">
        <v>24</v>
      </c>
      <c r="J171" t="s">
        <v>23</v>
      </c>
      <c r="K171">
        <v>486</v>
      </c>
      <c r="L171" s="4">
        <v>25.5500905</v>
      </c>
      <c r="M171" s="4">
        <v>70.983276565404793</v>
      </c>
      <c r="N171" s="4">
        <v>-0.35805496751054405</v>
      </c>
      <c r="O171" s="1" t="str">
        <f>HYPERLINK(".\sm_car_250420_1604\sm_car_250420_1604_170_Ca154TrN_MaLSS_ode23t_1.png","figure")</f>
        <v>figure</v>
      </c>
      <c r="P171" t="s">
        <v>15</v>
      </c>
    </row>
    <row r="172" spans="1:16" x14ac:dyDescent="0.25">
      <c r="A172">
        <v>171</v>
      </c>
      <c r="B172">
        <v>155</v>
      </c>
      <c r="C172" t="s">
        <v>16</v>
      </c>
      <c r="D172" t="s">
        <v>17</v>
      </c>
      <c r="E172" t="s">
        <v>18</v>
      </c>
      <c r="F172" t="s">
        <v>19</v>
      </c>
      <c r="G172" t="s">
        <v>62</v>
      </c>
      <c r="H172" t="s">
        <v>21</v>
      </c>
      <c r="I172" t="s">
        <v>24</v>
      </c>
      <c r="J172" t="s">
        <v>23</v>
      </c>
      <c r="K172">
        <v>536</v>
      </c>
      <c r="L172" s="4">
        <v>29.3544789</v>
      </c>
      <c r="M172" s="4">
        <v>70.834052441495189</v>
      </c>
      <c r="N172" s="4">
        <v>-0.84438233148160735</v>
      </c>
      <c r="O172" s="1" t="str">
        <f>HYPERLINK(".\sm_car_250420_1604\sm_car_250420_1604_171_Ca155TrN_MaLSS_ode23t_1.png","figure")</f>
        <v>figure</v>
      </c>
      <c r="P172" t="s">
        <v>15</v>
      </c>
    </row>
    <row r="173" spans="1:16" x14ac:dyDescent="0.25">
      <c r="A173">
        <v>172</v>
      </c>
      <c r="B173">
        <v>4</v>
      </c>
      <c r="C173" t="s">
        <v>16</v>
      </c>
      <c r="D173" t="s">
        <v>17</v>
      </c>
      <c r="E173" t="s">
        <v>18</v>
      </c>
      <c r="F173" t="s">
        <v>28</v>
      </c>
      <c r="G173" t="s">
        <v>20</v>
      </c>
      <c r="H173" t="s">
        <v>21</v>
      </c>
      <c r="I173" t="s">
        <v>22</v>
      </c>
      <c r="J173" t="s">
        <v>63</v>
      </c>
      <c r="K173">
        <v>3247</v>
      </c>
      <c r="L173" s="4">
        <v>14.46442</v>
      </c>
      <c r="M173" s="4">
        <v>231.38923252163076</v>
      </c>
      <c r="N173" s="4">
        <v>2.2944610708496901E-3</v>
      </c>
      <c r="O173" s="1" t="str">
        <f>HYPERLINK(".\sm_car_250420_1604\sm_car_250420_1604_172_Ca004TrN_MaWOT_ode3_1.png","figure")</f>
        <v>figure</v>
      </c>
      <c r="P173" t="s">
        <v>15</v>
      </c>
    </row>
    <row r="174" spans="1:16" x14ac:dyDescent="0.25">
      <c r="A174">
        <v>173</v>
      </c>
      <c r="B174">
        <v>4</v>
      </c>
      <c r="C174" t="s">
        <v>16</v>
      </c>
      <c r="D174" t="s">
        <v>17</v>
      </c>
      <c r="E174" t="s">
        <v>18</v>
      </c>
      <c r="F174" t="s">
        <v>28</v>
      </c>
      <c r="G174" t="s">
        <v>20</v>
      </c>
      <c r="H174" t="s">
        <v>21</v>
      </c>
      <c r="I174" t="s">
        <v>24</v>
      </c>
      <c r="J174" t="s">
        <v>63</v>
      </c>
      <c r="K174">
        <v>2564</v>
      </c>
      <c r="L174" s="4">
        <v>11.6354258</v>
      </c>
      <c r="M174" s="4">
        <v>71.253969951402098</v>
      </c>
      <c r="N174" s="4">
        <v>-0.54014322697826567</v>
      </c>
      <c r="O174" s="1" t="str">
        <f>HYPERLINK(".\sm_car_250420_1604\sm_car_250420_1604_173_Ca004TrN_MaLSS_ode3_1.png","figure")</f>
        <v>figure</v>
      </c>
      <c r="P174" t="s">
        <v>15</v>
      </c>
    </row>
    <row r="175" spans="1:16" x14ac:dyDescent="0.25">
      <c r="A175">
        <v>174</v>
      </c>
      <c r="B175">
        <v>4</v>
      </c>
      <c r="C175" t="s">
        <v>16</v>
      </c>
      <c r="D175" t="s">
        <v>17</v>
      </c>
      <c r="E175" t="s">
        <v>18</v>
      </c>
      <c r="F175" t="s">
        <v>28</v>
      </c>
      <c r="G175" t="s">
        <v>20</v>
      </c>
      <c r="H175" t="s">
        <v>21</v>
      </c>
      <c r="I175" t="s">
        <v>64</v>
      </c>
      <c r="J175" t="s">
        <v>63</v>
      </c>
      <c r="K175">
        <v>2562</v>
      </c>
      <c r="L175" s="4">
        <v>11.528387800000001</v>
      </c>
      <c r="M175" s="4">
        <v>63.785889456714656</v>
      </c>
      <c r="N175" s="4">
        <v>-25.043861215377692</v>
      </c>
      <c r="O175" s="1" t="str">
        <f>HYPERLINK(".\sm_car_250420_1604\sm_car_250420_1604_174_Ca004TrN_MaTUR_ode3_1.png","figure")</f>
        <v>figure</v>
      </c>
      <c r="P175" t="s">
        <v>15</v>
      </c>
    </row>
    <row r="176" spans="1:16" x14ac:dyDescent="0.25">
      <c r="A176">
        <v>175</v>
      </c>
      <c r="B176">
        <v>116</v>
      </c>
      <c r="C176" t="s">
        <v>16</v>
      </c>
      <c r="D176" t="s">
        <v>35</v>
      </c>
      <c r="E176" t="s">
        <v>18</v>
      </c>
      <c r="F176" t="s">
        <v>28</v>
      </c>
      <c r="G176" t="s">
        <v>20</v>
      </c>
      <c r="H176" t="s">
        <v>21</v>
      </c>
      <c r="I176" t="s">
        <v>22</v>
      </c>
      <c r="J176" t="s">
        <v>63</v>
      </c>
      <c r="K176">
        <v>3244</v>
      </c>
      <c r="L176" s="4">
        <v>6.4931758000000004</v>
      </c>
      <c r="M176" s="4">
        <v>242.70379428436041</v>
      </c>
      <c r="N176" s="4">
        <v>0.23327324309701689</v>
      </c>
      <c r="O176" s="1" t="str">
        <f>HYPERLINK(".\sm_car_250420_1604\sm_car_250420_1604_175_Ca116TrN_MaWOT_ode3_1.png","figure")</f>
        <v>figure</v>
      </c>
      <c r="P176" t="s">
        <v>15</v>
      </c>
    </row>
    <row r="177" spans="1:16" x14ac:dyDescent="0.25">
      <c r="A177">
        <v>176</v>
      </c>
      <c r="B177">
        <v>116</v>
      </c>
      <c r="C177" t="s">
        <v>16</v>
      </c>
      <c r="D177" t="s">
        <v>35</v>
      </c>
      <c r="E177" t="s">
        <v>18</v>
      </c>
      <c r="F177" t="s">
        <v>28</v>
      </c>
      <c r="G177" t="s">
        <v>20</v>
      </c>
      <c r="H177" t="s">
        <v>21</v>
      </c>
      <c r="I177" t="s">
        <v>24</v>
      </c>
      <c r="J177" t="s">
        <v>63</v>
      </c>
      <c r="K177">
        <v>2564</v>
      </c>
      <c r="L177" s="4">
        <v>5.2746784</v>
      </c>
      <c r="M177" s="4">
        <v>74.659491982450774</v>
      </c>
      <c r="N177" s="4">
        <v>-0.34093758006291858</v>
      </c>
      <c r="O177" s="1" t="str">
        <f>HYPERLINK(".\sm_car_250420_1604\sm_car_250420_1604_176_Ca116TrN_MaLSS_ode3_1.png","figure")</f>
        <v>figure</v>
      </c>
      <c r="P177" t="s">
        <v>15</v>
      </c>
    </row>
    <row r="178" spans="1:16" x14ac:dyDescent="0.25">
      <c r="A178">
        <v>177</v>
      </c>
      <c r="B178">
        <v>116</v>
      </c>
      <c r="C178" t="s">
        <v>16</v>
      </c>
      <c r="D178" t="s">
        <v>35</v>
      </c>
      <c r="E178" t="s">
        <v>18</v>
      </c>
      <c r="F178" t="s">
        <v>28</v>
      </c>
      <c r="G178" t="s">
        <v>20</v>
      </c>
      <c r="H178" t="s">
        <v>21</v>
      </c>
      <c r="I178" t="s">
        <v>64</v>
      </c>
      <c r="J178" t="s">
        <v>63</v>
      </c>
      <c r="K178">
        <v>2563</v>
      </c>
      <c r="L178" s="4">
        <v>5.3040291000000002</v>
      </c>
      <c r="M178" s="4">
        <v>71.32397117118802</v>
      </c>
      <c r="N178" s="4">
        <v>-17.591551103430934</v>
      </c>
      <c r="O178" s="1" t="str">
        <f>HYPERLINK(".\sm_car_250420_1604\sm_car_250420_1604_177_Ca116TrN_MaTUR_ode3_1.png","figure")</f>
        <v>figure</v>
      </c>
      <c r="P178" t="s">
        <v>15</v>
      </c>
    </row>
    <row r="179" spans="1:16" x14ac:dyDescent="0.25">
      <c r="A179">
        <v>178</v>
      </c>
      <c r="B179">
        <v>124</v>
      </c>
      <c r="C179" t="s">
        <v>16</v>
      </c>
      <c r="D179" t="s">
        <v>35</v>
      </c>
      <c r="E179" t="s">
        <v>49</v>
      </c>
      <c r="F179" t="s">
        <v>28</v>
      </c>
      <c r="G179" t="s">
        <v>20</v>
      </c>
      <c r="H179" t="s">
        <v>21</v>
      </c>
      <c r="I179" t="s">
        <v>22</v>
      </c>
      <c r="J179" t="s">
        <v>63</v>
      </c>
      <c r="K179">
        <v>3244</v>
      </c>
      <c r="L179" s="4">
        <v>3.9046910000000001</v>
      </c>
      <c r="M179" s="4">
        <v>242.88013068819623</v>
      </c>
      <c r="N179" s="4">
        <v>0.23307974035338433</v>
      </c>
      <c r="O179" s="1" t="str">
        <f>HYPERLINK(".\sm_car_250420_1604\sm_car_250420_1604_178_Ca124TrN_MaWOT_ode3_1.png","figure")</f>
        <v>figure</v>
      </c>
      <c r="P179" t="s">
        <v>15</v>
      </c>
    </row>
    <row r="180" spans="1:16" x14ac:dyDescent="0.25">
      <c r="A180">
        <v>179</v>
      </c>
      <c r="B180">
        <v>124</v>
      </c>
      <c r="C180" t="s">
        <v>16</v>
      </c>
      <c r="D180" t="s">
        <v>35</v>
      </c>
      <c r="E180" t="s">
        <v>49</v>
      </c>
      <c r="F180" t="s">
        <v>28</v>
      </c>
      <c r="G180" t="s">
        <v>20</v>
      </c>
      <c r="H180" t="s">
        <v>21</v>
      </c>
      <c r="I180" t="s">
        <v>24</v>
      </c>
      <c r="J180" t="s">
        <v>63</v>
      </c>
      <c r="K180">
        <v>2565</v>
      </c>
      <c r="L180" s="4">
        <v>3.0740617000000001</v>
      </c>
      <c r="M180" s="4">
        <v>74.798394612599097</v>
      </c>
      <c r="N180" s="4">
        <v>-0.34251622055333664</v>
      </c>
      <c r="O180" s="1" t="str">
        <f>HYPERLINK(".\sm_car_250420_1604\sm_car_250420_1604_179_Ca124TrN_MaLSS_ode3_1.png","figure")</f>
        <v>figure</v>
      </c>
      <c r="P180" t="s">
        <v>15</v>
      </c>
    </row>
    <row r="181" spans="1:16" x14ac:dyDescent="0.25">
      <c r="A181">
        <v>180</v>
      </c>
      <c r="B181">
        <v>124</v>
      </c>
      <c r="C181" t="s">
        <v>16</v>
      </c>
      <c r="D181" t="s">
        <v>35</v>
      </c>
      <c r="E181" t="s">
        <v>49</v>
      </c>
      <c r="F181" t="s">
        <v>28</v>
      </c>
      <c r="G181" t="s">
        <v>20</v>
      </c>
      <c r="H181" t="s">
        <v>21</v>
      </c>
      <c r="I181" t="s">
        <v>64</v>
      </c>
      <c r="J181" t="s">
        <v>63</v>
      </c>
      <c r="K181">
        <v>2564</v>
      </c>
      <c r="L181" s="4">
        <v>3.1166393000000001</v>
      </c>
      <c r="M181" s="4">
        <v>71.449352968456878</v>
      </c>
      <c r="N181" s="4">
        <v>-17.63759605520924</v>
      </c>
      <c r="O181" s="1" t="str">
        <f>HYPERLINK(".\sm_car_250420_1604\sm_car_250420_1604_180_Ca124TrN_MaTUR_ode3_1.png","figure")</f>
        <v>figure</v>
      </c>
      <c r="P181" t="s">
        <v>15</v>
      </c>
    </row>
    <row r="182" spans="1:16" x14ac:dyDescent="0.25">
      <c r="A182">
        <v>181</v>
      </c>
      <c r="B182">
        <v>141</v>
      </c>
      <c r="C182" t="s">
        <v>45</v>
      </c>
      <c r="D182" t="s">
        <v>17</v>
      </c>
      <c r="E182" t="s">
        <v>18</v>
      </c>
      <c r="F182" t="s">
        <v>28</v>
      </c>
      <c r="G182" t="s">
        <v>26</v>
      </c>
      <c r="H182" t="s">
        <v>21</v>
      </c>
      <c r="I182" t="s">
        <v>22</v>
      </c>
      <c r="J182" t="s">
        <v>63</v>
      </c>
      <c r="K182">
        <v>3837</v>
      </c>
      <c r="L182" s="4">
        <v>19.546792799999999</v>
      </c>
      <c r="M182" s="4">
        <v>405.30632146139419</v>
      </c>
      <c r="N182" s="4">
        <v>1.5698091478697282</v>
      </c>
      <c r="O182" s="1" t="str">
        <f>HYPERLINK(".\sm_car_250420_1604\sm_car_250420_1604_181_Ca141TrN_MaWOT_ode3_1.png","figure")</f>
        <v>figure</v>
      </c>
      <c r="P182" t="s">
        <v>15</v>
      </c>
    </row>
    <row r="183" spans="1:16" x14ac:dyDescent="0.25">
      <c r="A183">
        <v>182</v>
      </c>
      <c r="B183">
        <v>141</v>
      </c>
      <c r="C183" t="s">
        <v>45</v>
      </c>
      <c r="D183" t="s">
        <v>17</v>
      </c>
      <c r="E183" t="s">
        <v>18</v>
      </c>
      <c r="F183" t="s">
        <v>28</v>
      </c>
      <c r="G183" t="s">
        <v>26</v>
      </c>
      <c r="H183" t="s">
        <v>21</v>
      </c>
      <c r="I183" t="s">
        <v>24</v>
      </c>
      <c r="J183" t="s">
        <v>63</v>
      </c>
      <c r="K183">
        <v>3192</v>
      </c>
      <c r="L183" s="4">
        <v>16.470594999999999</v>
      </c>
      <c r="M183" s="4">
        <v>154.47541570703356</v>
      </c>
      <c r="N183" s="4">
        <v>-0.58371013006078798</v>
      </c>
      <c r="O183" s="1" t="str">
        <f>HYPERLINK(".\sm_car_250420_1604\sm_car_250420_1604_182_Ca141TrN_MaLSS_ode3_1.png","figure")</f>
        <v>figure</v>
      </c>
      <c r="P183" t="s">
        <v>15</v>
      </c>
    </row>
    <row r="184" spans="1:16" x14ac:dyDescent="0.25">
      <c r="A184">
        <v>183</v>
      </c>
      <c r="B184">
        <v>141</v>
      </c>
      <c r="C184" t="s">
        <v>45</v>
      </c>
      <c r="D184" t="s">
        <v>17</v>
      </c>
      <c r="E184" t="s">
        <v>18</v>
      </c>
      <c r="F184" t="s">
        <v>28</v>
      </c>
      <c r="G184" t="s">
        <v>26</v>
      </c>
      <c r="H184" t="s">
        <v>21</v>
      </c>
      <c r="I184" t="s">
        <v>64</v>
      </c>
      <c r="J184" t="s">
        <v>63</v>
      </c>
      <c r="K184">
        <v>3160</v>
      </c>
      <c r="L184" s="4">
        <v>16.403608699999999</v>
      </c>
      <c r="M184" s="4">
        <v>98.34609098441716</v>
      </c>
      <c r="N184" s="4">
        <v>-87.528834315745812</v>
      </c>
      <c r="O184" s="1" t="str">
        <f>HYPERLINK(".\sm_car_250420_1604\sm_car_250420_1604_183_Ca141TrN_MaTUR_ode3_1.png","figure")</f>
        <v>figure</v>
      </c>
      <c r="P184" t="s">
        <v>15</v>
      </c>
    </row>
    <row r="185" spans="1:16" x14ac:dyDescent="0.25">
      <c r="A185">
        <v>184</v>
      </c>
      <c r="B185">
        <v>145</v>
      </c>
      <c r="C185" t="s">
        <v>46</v>
      </c>
      <c r="D185" t="s">
        <v>17</v>
      </c>
      <c r="E185" t="s">
        <v>50</v>
      </c>
      <c r="F185" t="s">
        <v>19</v>
      </c>
      <c r="G185" t="s">
        <v>26</v>
      </c>
      <c r="H185" t="s">
        <v>21</v>
      </c>
      <c r="I185" t="s">
        <v>22</v>
      </c>
      <c r="J185" t="s">
        <v>63</v>
      </c>
      <c r="K185">
        <v>2852</v>
      </c>
      <c r="L185" s="4">
        <v>12.5770193</v>
      </c>
      <c r="M185" s="4">
        <v>96.209184494552233</v>
      </c>
      <c r="N185" s="4">
        <v>-6.2658213780580313E-2</v>
      </c>
      <c r="O185" s="1" t="str">
        <f>HYPERLINK(".\sm_car_250420_1604\sm_car_250420_1604_184_Ca145TrN_MaWOT_ode3_1.png","figure")</f>
        <v>figure</v>
      </c>
      <c r="P185" t="s">
        <v>15</v>
      </c>
    </row>
    <row r="186" spans="1:16" x14ac:dyDescent="0.25">
      <c r="A186">
        <v>185</v>
      </c>
      <c r="B186">
        <v>145</v>
      </c>
      <c r="C186" t="s">
        <v>46</v>
      </c>
      <c r="D186" t="s">
        <v>17</v>
      </c>
      <c r="E186" t="s">
        <v>50</v>
      </c>
      <c r="F186" t="s">
        <v>19</v>
      </c>
      <c r="G186" t="s">
        <v>26</v>
      </c>
      <c r="H186" t="s">
        <v>21</v>
      </c>
      <c r="I186" t="s">
        <v>24</v>
      </c>
      <c r="J186" t="s">
        <v>63</v>
      </c>
      <c r="K186">
        <v>2379</v>
      </c>
      <c r="L186" s="4">
        <v>11.142298200000001</v>
      </c>
      <c r="M186" s="4">
        <v>25.34577185651434</v>
      </c>
      <c r="N186" s="4">
        <v>-5.5557779286251149E-2</v>
      </c>
      <c r="O186" s="1" t="str">
        <f>HYPERLINK(".\sm_car_250420_1604\sm_car_250420_1604_185_Ca145TrN_MaLSS_ode3_1.png","figure")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64</v>
      </c>
      <c r="J187" t="s">
        <v>63</v>
      </c>
      <c r="K187">
        <v>2381</v>
      </c>
      <c r="L187" s="4">
        <v>10.555722400000001</v>
      </c>
      <c r="M187" s="4">
        <v>25.187072900127831</v>
      </c>
      <c r="N187" s="4">
        <v>-2.6264773257736613</v>
      </c>
      <c r="O187" s="1" t="str">
        <f>HYPERLINK(".\sm_car_250420_1604\sm_car_250420_1604_186_Ca145TrN_MaTUR_ode3_1.png","figure")</f>
        <v>figure</v>
      </c>
      <c r="P187" t="s">
        <v>15</v>
      </c>
    </row>
    <row r="188" spans="1:16" x14ac:dyDescent="0.25">
      <c r="A188">
        <v>187</v>
      </c>
      <c r="B188">
        <v>199</v>
      </c>
      <c r="C188" t="s">
        <v>46</v>
      </c>
      <c r="D188" t="s">
        <v>17</v>
      </c>
      <c r="E188" t="s">
        <v>110</v>
      </c>
      <c r="F188" t="s">
        <v>19</v>
      </c>
      <c r="G188" t="s">
        <v>26</v>
      </c>
      <c r="H188" t="s">
        <v>21</v>
      </c>
      <c r="I188" t="s">
        <v>22</v>
      </c>
      <c r="J188" t="s">
        <v>63</v>
      </c>
      <c r="K188">
        <v>2857</v>
      </c>
      <c r="L188" s="4">
        <v>14.3489261</v>
      </c>
      <c r="M188" s="4">
        <v>96.879869854711799</v>
      </c>
      <c r="N188" s="4">
        <v>0.14649362080475317</v>
      </c>
      <c r="O188" s="1" t="str">
        <f>HYPERLINK(".\sm_car_250420_1604\sm_car_250420_1604_187_Ca199TrN_MaWOT_ode3_1.png","figure")</f>
        <v>figure</v>
      </c>
      <c r="P188" t="s">
        <v>15</v>
      </c>
    </row>
    <row r="189" spans="1:16" x14ac:dyDescent="0.25">
      <c r="A189">
        <v>188</v>
      </c>
      <c r="B189">
        <v>199</v>
      </c>
      <c r="C189" t="s">
        <v>46</v>
      </c>
      <c r="D189" t="s">
        <v>17</v>
      </c>
      <c r="E189" t="s">
        <v>110</v>
      </c>
      <c r="F189" t="s">
        <v>19</v>
      </c>
      <c r="G189" t="s">
        <v>26</v>
      </c>
      <c r="H189" t="s">
        <v>21</v>
      </c>
      <c r="I189" t="s">
        <v>24</v>
      </c>
      <c r="J189" t="s">
        <v>63</v>
      </c>
      <c r="K189">
        <v>2381</v>
      </c>
      <c r="L189" s="4">
        <v>12.032776200000001</v>
      </c>
      <c r="M189" s="4">
        <v>25.961858178650331</v>
      </c>
      <c r="N189" s="4">
        <v>-2.8545665472503836E-2</v>
      </c>
      <c r="O189" s="1" t="str">
        <f>HYPERLINK(".\sm_car_250420_1604\sm_car_250420_1604_188_Ca199TrN_MaLSS_ode3_1.png","figure")</f>
        <v>figure</v>
      </c>
      <c r="P189" t="s">
        <v>15</v>
      </c>
    </row>
    <row r="190" spans="1:16" x14ac:dyDescent="0.25">
      <c r="A190">
        <v>189</v>
      </c>
      <c r="B190">
        <v>199</v>
      </c>
      <c r="C190" t="s">
        <v>46</v>
      </c>
      <c r="D190" t="s">
        <v>17</v>
      </c>
      <c r="E190" t="s">
        <v>110</v>
      </c>
      <c r="F190" t="s">
        <v>19</v>
      </c>
      <c r="G190" t="s">
        <v>26</v>
      </c>
      <c r="H190" t="s">
        <v>21</v>
      </c>
      <c r="I190" t="s">
        <v>64</v>
      </c>
      <c r="J190" t="s">
        <v>63</v>
      </c>
      <c r="K190">
        <v>2383</v>
      </c>
      <c r="L190" s="4">
        <v>11.8978745</v>
      </c>
      <c r="M190" s="4">
        <v>25.754349123408758</v>
      </c>
      <c r="N190" s="4">
        <v>-2.6782060540286721</v>
      </c>
      <c r="O190" s="1" t="str">
        <f>HYPERLINK(".\sm_car_250420_1604\sm_car_250420_1604_189_Ca199TrN_MaTUR_ode3_1.png","figure")</f>
        <v>figure</v>
      </c>
      <c r="P190" t="s">
        <v>15</v>
      </c>
    </row>
    <row r="191" spans="1:16" x14ac:dyDescent="0.25">
      <c r="A191">
        <v>190</v>
      </c>
      <c r="B191">
        <v>139</v>
      </c>
      <c r="C191" t="s">
        <v>45</v>
      </c>
      <c r="D191" t="s">
        <v>17</v>
      </c>
      <c r="E191" t="s">
        <v>18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574</v>
      </c>
      <c r="L191" s="4">
        <v>18.085029599999999</v>
      </c>
      <c r="M191" s="4">
        <v>254.02700915781651</v>
      </c>
      <c r="N191" s="4">
        <v>-6.3221032917377684E-3</v>
      </c>
      <c r="O191" s="1" t="str">
        <f>HYPERLINK(".\sm_car_250420_1604\sm_car_250420_1604_190_Ca139TrN_MaDLC_ode23t_1.png","figure")</f>
        <v>figure</v>
      </c>
      <c r="P191" t="s">
        <v>15</v>
      </c>
    </row>
    <row r="192" spans="1:16" x14ac:dyDescent="0.25">
      <c r="A192">
        <v>191</v>
      </c>
      <c r="B192">
        <v>139</v>
      </c>
      <c r="C192" t="s">
        <v>45</v>
      </c>
      <c r="D192" t="s">
        <v>17</v>
      </c>
      <c r="E192" t="s">
        <v>18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927</v>
      </c>
      <c r="L192" s="4">
        <v>55.866615400000001</v>
      </c>
      <c r="M192" s="4">
        <v>253.27435948080455</v>
      </c>
      <c r="N192" s="4">
        <v>0.18014577341667959</v>
      </c>
      <c r="O192" s="1" t="str">
        <f>HYPERLINK(".\sm_car_250420_1604\sm_car_250420_1604_191_Ca139TrE_MaDLC_ode23t_1.png","figure")</f>
        <v>figure</v>
      </c>
      <c r="P192" t="s">
        <v>15</v>
      </c>
    </row>
    <row r="193" spans="1:16" x14ac:dyDescent="0.25">
      <c r="A193">
        <v>192</v>
      </c>
      <c r="B193">
        <v>139</v>
      </c>
      <c r="C193" t="s">
        <v>45</v>
      </c>
      <c r="D193" t="s">
        <v>17</v>
      </c>
      <c r="E193" t="s">
        <v>18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937</v>
      </c>
      <c r="L193" s="4">
        <v>56.132153000000002</v>
      </c>
      <c r="M193" s="4">
        <v>255.27470358962563</v>
      </c>
      <c r="N193" s="4">
        <v>-5.4900239399220396E-3</v>
      </c>
      <c r="O193" s="1" t="str">
        <f>HYPERLINK(".\sm_car_250420_1604\sm_car_250420_1604_192_Ca139TrT_MaDLC_ode23t_1.png","figure")</f>
        <v>figure</v>
      </c>
      <c r="P193" t="s">
        <v>15</v>
      </c>
    </row>
    <row r="194" spans="1:16" x14ac:dyDescent="0.25">
      <c r="A194">
        <v>193</v>
      </c>
      <c r="B194">
        <v>139</v>
      </c>
      <c r="C194" t="s">
        <v>45</v>
      </c>
      <c r="D194" t="s">
        <v>17</v>
      </c>
      <c r="E194" t="s">
        <v>18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805</v>
      </c>
      <c r="L194" s="4">
        <v>36.555782399999998</v>
      </c>
      <c r="M194" s="4">
        <v>254.2141573127397</v>
      </c>
      <c r="N194" s="4">
        <v>1.1577060911625026E-2</v>
      </c>
      <c r="O194" s="1" t="str">
        <f>HYPERLINK(".\sm_car_250420_1604\sm_car_250420_1604_193_Ca139TrE_MaDLC_ode23t_1.png","figure")</f>
        <v>figure</v>
      </c>
      <c r="P194" t="s">
        <v>15</v>
      </c>
    </row>
    <row r="195" spans="1:16" x14ac:dyDescent="0.25">
      <c r="A195">
        <v>194</v>
      </c>
      <c r="B195">
        <v>2</v>
      </c>
      <c r="C195" t="s">
        <v>16</v>
      </c>
      <c r="D195" t="s">
        <v>17</v>
      </c>
      <c r="E195" t="s">
        <v>18</v>
      </c>
      <c r="F195" t="s">
        <v>19</v>
      </c>
      <c r="G195" t="s">
        <v>26</v>
      </c>
      <c r="H195" t="s">
        <v>21</v>
      </c>
      <c r="I195" t="s">
        <v>53</v>
      </c>
      <c r="J195" t="s">
        <v>23</v>
      </c>
      <c r="K195">
        <v>627</v>
      </c>
      <c r="L195" s="4">
        <v>17.283806800000001</v>
      </c>
      <c r="M195" s="4">
        <v>253.42838344408699</v>
      </c>
      <c r="N195" s="4">
        <v>3.6027343256135325E-3</v>
      </c>
      <c r="O195" s="1" t="str">
        <f>HYPERLINK(".\sm_car_250420_1604\sm_car_250420_1604_194_Ca002TrN_MaDLC_ode23t_1.png","figure")</f>
        <v>figure</v>
      </c>
      <c r="P195" t="s">
        <v>15</v>
      </c>
    </row>
    <row r="196" spans="1:16" x14ac:dyDescent="0.25">
      <c r="A196">
        <v>195</v>
      </c>
      <c r="B196">
        <v>2</v>
      </c>
      <c r="C196" t="s">
        <v>16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787</v>
      </c>
      <c r="L196" s="4">
        <v>38.901894800000001</v>
      </c>
      <c r="M196" s="4">
        <v>253.3273774201835</v>
      </c>
      <c r="N196" s="4">
        <v>3.6595875146439028E-3</v>
      </c>
      <c r="O196" s="1" t="str">
        <f>HYPERLINK(".\sm_car_250420_1604\sm_car_250420_1604_195_Ca002TrE_MaDLC_ode23t_1.png","figure")</f>
        <v>figure</v>
      </c>
      <c r="P196" t="s">
        <v>15</v>
      </c>
    </row>
    <row r="197" spans="1:16" x14ac:dyDescent="0.25">
      <c r="A197">
        <v>196</v>
      </c>
      <c r="B197">
        <v>2</v>
      </c>
      <c r="C197" t="s">
        <v>16</v>
      </c>
      <c r="D197" t="s">
        <v>17</v>
      </c>
      <c r="E197" t="s">
        <v>18</v>
      </c>
      <c r="F197" t="s">
        <v>19</v>
      </c>
      <c r="G197" t="s">
        <v>26</v>
      </c>
      <c r="H197" t="s">
        <v>66</v>
      </c>
      <c r="I197" t="s">
        <v>53</v>
      </c>
      <c r="J197" t="s">
        <v>23</v>
      </c>
      <c r="K197">
        <v>966</v>
      </c>
      <c r="L197" s="4">
        <v>48.849752000000002</v>
      </c>
      <c r="M197" s="4">
        <v>253.59986151280134</v>
      </c>
      <c r="N197" s="4">
        <v>3.5230816964366696E-3</v>
      </c>
      <c r="O197" s="1" t="str">
        <f>HYPERLINK(".\sm_car_250420_1604\sm_car_250420_1604_196_Ca002TrT_MaDLC_ode23t_1.png","figure")</f>
        <v>figure</v>
      </c>
      <c r="P197" t="s">
        <v>15</v>
      </c>
    </row>
    <row r="198" spans="1:16" x14ac:dyDescent="0.25">
      <c r="A198">
        <v>197</v>
      </c>
      <c r="B198">
        <v>2</v>
      </c>
      <c r="C198" t="s">
        <v>16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53</v>
      </c>
      <c r="J198" t="s">
        <v>23</v>
      </c>
      <c r="K198">
        <v>795</v>
      </c>
      <c r="L198" s="4">
        <v>28.6365348</v>
      </c>
      <c r="M198" s="4">
        <v>253.74663870386928</v>
      </c>
      <c r="N198" s="4">
        <v>3.4342532585558416E-3</v>
      </c>
      <c r="O198" s="1" t="str">
        <f>HYPERLINK(".\sm_car_250420_1604\sm_car_250420_1604_197_Ca002TrE_MaDLC_ode23t_1.png","figure")</f>
        <v>figure</v>
      </c>
      <c r="P198" t="s">
        <v>15</v>
      </c>
    </row>
    <row r="199" spans="1:16" x14ac:dyDescent="0.25">
      <c r="A199">
        <v>198</v>
      </c>
      <c r="B199">
        <v>145</v>
      </c>
      <c r="C199" t="s">
        <v>46</v>
      </c>
      <c r="D199" t="s">
        <v>17</v>
      </c>
      <c r="E199" t="s">
        <v>50</v>
      </c>
      <c r="F199" t="s">
        <v>19</v>
      </c>
      <c r="G199" t="s">
        <v>26</v>
      </c>
      <c r="H199" t="s">
        <v>21</v>
      </c>
      <c r="I199" t="s">
        <v>53</v>
      </c>
      <c r="J199" t="s">
        <v>23</v>
      </c>
      <c r="K199">
        <v>482</v>
      </c>
      <c r="L199" s="4">
        <v>28.809362700000001</v>
      </c>
      <c r="M199" s="4">
        <v>254.25340157739993</v>
      </c>
      <c r="N199" s="4">
        <v>4.5336950357578232E-2</v>
      </c>
      <c r="O199" s="1" t="str">
        <f>HYPERLINK(".\sm_car_250420_1604\sm_car_250420_1604_198_Ca145TrN_MaDLC_ode23t_1.png","figure")</f>
        <v>figure</v>
      </c>
      <c r="P199" t="s">
        <v>15</v>
      </c>
    </row>
    <row r="200" spans="1:16" x14ac:dyDescent="0.25">
      <c r="A200">
        <v>199</v>
      </c>
      <c r="B200">
        <v>145</v>
      </c>
      <c r="C200" t="s">
        <v>46</v>
      </c>
      <c r="D200" t="s">
        <v>17</v>
      </c>
      <c r="E200" t="s">
        <v>50</v>
      </c>
      <c r="F200" t="s">
        <v>19</v>
      </c>
      <c r="G200" t="s">
        <v>26</v>
      </c>
      <c r="H200" t="s">
        <v>65</v>
      </c>
      <c r="I200" t="s">
        <v>53</v>
      </c>
      <c r="J200" t="s">
        <v>23</v>
      </c>
      <c r="K200">
        <v>553</v>
      </c>
      <c r="L200" s="4">
        <v>55.768023999999997</v>
      </c>
      <c r="M200" s="4">
        <v>253.52343834133535</v>
      </c>
      <c r="N200" s="4">
        <v>4.853880014460632E-2</v>
      </c>
      <c r="O200" s="1" t="str">
        <f>HYPERLINK(".\sm_car_250420_1604\sm_car_250420_1604_199_Ca145TrE_MaDLC_ode23t_1.png","figure")</f>
        <v>figure</v>
      </c>
      <c r="P200" t="s">
        <v>15</v>
      </c>
    </row>
    <row r="201" spans="1:16" x14ac:dyDescent="0.25">
      <c r="A201">
        <v>200</v>
      </c>
      <c r="B201">
        <v>145</v>
      </c>
      <c r="C201" t="s">
        <v>46</v>
      </c>
      <c r="D201" t="s">
        <v>17</v>
      </c>
      <c r="E201" t="s">
        <v>50</v>
      </c>
      <c r="F201" t="s">
        <v>19</v>
      </c>
      <c r="G201" t="s">
        <v>26</v>
      </c>
      <c r="H201" t="s">
        <v>66</v>
      </c>
      <c r="I201" t="s">
        <v>53</v>
      </c>
      <c r="J201" t="s">
        <v>23</v>
      </c>
      <c r="K201">
        <v>651</v>
      </c>
      <c r="L201" s="4">
        <v>62.450979099999998</v>
      </c>
      <c r="M201" s="4">
        <v>253.20649645868605</v>
      </c>
      <c r="N201" s="4">
        <v>4.9470808568044866E-2</v>
      </c>
      <c r="O201" s="1" t="str">
        <f>HYPERLINK(".\sm_car_250420_1604\sm_car_250420_1604_200_Ca145TrT_MaDLC_ode23t_1.png","figure")</f>
        <v>figure</v>
      </c>
      <c r="P201" t="s">
        <v>15</v>
      </c>
    </row>
    <row r="202" spans="1:16" x14ac:dyDescent="0.25">
      <c r="A202">
        <v>201</v>
      </c>
      <c r="B202">
        <v>145</v>
      </c>
      <c r="C202" t="s">
        <v>46</v>
      </c>
      <c r="D202" t="s">
        <v>17</v>
      </c>
      <c r="E202" t="s">
        <v>50</v>
      </c>
      <c r="F202" t="s">
        <v>19</v>
      </c>
      <c r="G202" t="s">
        <v>26</v>
      </c>
      <c r="H202" t="s">
        <v>65</v>
      </c>
      <c r="I202" t="s">
        <v>53</v>
      </c>
      <c r="J202" t="s">
        <v>23</v>
      </c>
      <c r="K202">
        <v>561</v>
      </c>
      <c r="L202" s="4">
        <v>47.551987199999999</v>
      </c>
      <c r="M202" s="4">
        <v>253.51675533637666</v>
      </c>
      <c r="N202" s="4">
        <v>4.8553192582983407E-2</v>
      </c>
      <c r="O202" s="1" t="str">
        <f>HYPERLINK(".\sm_car_250420_1604\sm_car_250420_1604_201_Ca145TrE_MaDLC_ode23t_1.png","figure")</f>
        <v>figure</v>
      </c>
      <c r="P202" t="s">
        <v>15</v>
      </c>
    </row>
    <row r="203" spans="1:16" x14ac:dyDescent="0.25">
      <c r="A203">
        <v>202</v>
      </c>
      <c r="B203">
        <v>199</v>
      </c>
      <c r="C203" t="s">
        <v>46</v>
      </c>
      <c r="D203" t="s">
        <v>17</v>
      </c>
      <c r="E203" t="s">
        <v>110</v>
      </c>
      <c r="F203" t="s">
        <v>19</v>
      </c>
      <c r="G203" t="s">
        <v>26</v>
      </c>
      <c r="H203" t="s">
        <v>21</v>
      </c>
      <c r="I203" t="s">
        <v>53</v>
      </c>
      <c r="J203" t="s">
        <v>23</v>
      </c>
      <c r="K203">
        <v>487</v>
      </c>
      <c r="L203" s="4">
        <v>12.573574799999999</v>
      </c>
      <c r="M203" s="4">
        <v>255.34527957262077</v>
      </c>
      <c r="N203" s="4">
        <v>4.1187809322664748E-2</v>
      </c>
      <c r="O203" s="1" t="str">
        <f>HYPERLINK(".\sm_car_250420_1604\sm_car_250420_1604_202_Ca199TrN_MaDLC_ode23t_1.png","figure")</f>
        <v>figure</v>
      </c>
      <c r="P203" t="s">
        <v>15</v>
      </c>
    </row>
    <row r="204" spans="1:16" x14ac:dyDescent="0.25">
      <c r="A204">
        <v>203</v>
      </c>
      <c r="B204">
        <v>199</v>
      </c>
      <c r="C204" t="s">
        <v>46</v>
      </c>
      <c r="D204" t="s">
        <v>17</v>
      </c>
      <c r="E204" t="s">
        <v>110</v>
      </c>
      <c r="F204" t="s">
        <v>19</v>
      </c>
      <c r="G204" t="s">
        <v>26</v>
      </c>
      <c r="H204" t="s">
        <v>65</v>
      </c>
      <c r="I204" t="s">
        <v>53</v>
      </c>
      <c r="J204" t="s">
        <v>23</v>
      </c>
      <c r="K204">
        <v>557</v>
      </c>
      <c r="L204" s="4">
        <v>30.3800001</v>
      </c>
      <c r="M204" s="4">
        <v>254.12788935499429</v>
      </c>
      <c r="N204" s="4">
        <v>4.6223742057493133E-2</v>
      </c>
      <c r="O204" s="1" t="str">
        <f>HYPERLINK(".\sm_car_250420_1604\sm_car_250420_1604_203_Ca199TrE_MaDLC_ode23t_1.png","figure")</f>
        <v>figure</v>
      </c>
      <c r="P204" t="s">
        <v>15</v>
      </c>
    </row>
    <row r="205" spans="1:16" x14ac:dyDescent="0.25">
      <c r="A205">
        <v>204</v>
      </c>
      <c r="B205">
        <v>199</v>
      </c>
      <c r="C205" t="s">
        <v>46</v>
      </c>
      <c r="D205" t="s">
        <v>17</v>
      </c>
      <c r="E205" t="s">
        <v>110</v>
      </c>
      <c r="F205" t="s">
        <v>19</v>
      </c>
      <c r="G205" t="s">
        <v>26</v>
      </c>
      <c r="H205" t="s">
        <v>66</v>
      </c>
      <c r="I205" t="s">
        <v>53</v>
      </c>
      <c r="J205" t="s">
        <v>23</v>
      </c>
      <c r="K205">
        <v>626</v>
      </c>
      <c r="L205" s="4">
        <v>29.853680099999998</v>
      </c>
      <c r="M205" s="4">
        <v>253.26963690639644</v>
      </c>
      <c r="N205" s="4">
        <v>4.9212454685028106E-2</v>
      </c>
      <c r="O205" s="1" t="str">
        <f>HYPERLINK(".\sm_car_250420_1604\sm_car_250420_1604_204_Ca199TrT_MaDLC_ode23t_1.png","figure")</f>
        <v>figure</v>
      </c>
      <c r="P205" t="s">
        <v>15</v>
      </c>
    </row>
    <row r="206" spans="1:16" x14ac:dyDescent="0.25">
      <c r="A206">
        <v>205</v>
      </c>
      <c r="B206">
        <v>199</v>
      </c>
      <c r="C206" t="s">
        <v>46</v>
      </c>
      <c r="D206" t="s">
        <v>17</v>
      </c>
      <c r="E206" t="s">
        <v>110</v>
      </c>
      <c r="F206" t="s">
        <v>19</v>
      </c>
      <c r="G206" t="s">
        <v>26</v>
      </c>
      <c r="H206" t="s">
        <v>65</v>
      </c>
      <c r="I206" t="s">
        <v>53</v>
      </c>
      <c r="J206" t="s">
        <v>23</v>
      </c>
      <c r="K206">
        <v>554</v>
      </c>
      <c r="L206" s="4">
        <v>22.020812800000002</v>
      </c>
      <c r="M206" s="4">
        <v>253.61071670027587</v>
      </c>
      <c r="N206" s="4">
        <v>4.818003875134913E-2</v>
      </c>
      <c r="O206" s="1" t="str">
        <f>HYPERLINK(".\sm_car_250420_1604\sm_car_250420_1604_205_Ca199TrE_MaDLC_ode23t_1.png","figure")</f>
        <v>figure</v>
      </c>
      <c r="P206" t="s">
        <v>15</v>
      </c>
    </row>
    <row r="207" spans="1:16" x14ac:dyDescent="0.25">
      <c r="A207">
        <v>206</v>
      </c>
      <c r="B207">
        <v>189</v>
      </c>
      <c r="C207" t="s">
        <v>45</v>
      </c>
      <c r="D207" t="s">
        <v>17</v>
      </c>
      <c r="E207" t="s">
        <v>108</v>
      </c>
      <c r="F207" t="s">
        <v>19</v>
      </c>
      <c r="G207" t="s">
        <v>26</v>
      </c>
      <c r="H207" t="s">
        <v>65</v>
      </c>
      <c r="I207" t="s">
        <v>67</v>
      </c>
      <c r="J207" t="s">
        <v>23</v>
      </c>
      <c r="K207">
        <v>466</v>
      </c>
      <c r="L207" s="4">
        <v>20.758897699999999</v>
      </c>
      <c r="M207" s="4">
        <v>259.59897120526051</v>
      </c>
      <c r="N207" s="4">
        <v>5.0012878618740011</v>
      </c>
      <c r="O207" s="1" t="str">
        <f>HYPERLINK(".\sm_car_250420_1604\sm_car_250420_1604_206_Ca189TrE_MaTRD_ode23t_1.png","figure")</f>
        <v>figure</v>
      </c>
      <c r="P207" t="s">
        <v>15</v>
      </c>
    </row>
    <row r="208" spans="1:16" x14ac:dyDescent="0.25">
      <c r="A208">
        <v>207</v>
      </c>
      <c r="B208">
        <v>189</v>
      </c>
      <c r="C208" t="s">
        <v>45</v>
      </c>
      <c r="D208" t="s">
        <v>17</v>
      </c>
      <c r="E208" t="s">
        <v>108</v>
      </c>
      <c r="F208" t="s">
        <v>19</v>
      </c>
      <c r="G208" t="s">
        <v>26</v>
      </c>
      <c r="H208" t="s">
        <v>65</v>
      </c>
      <c r="I208" t="s">
        <v>67</v>
      </c>
      <c r="J208" t="s">
        <v>23</v>
      </c>
      <c r="K208">
        <v>636</v>
      </c>
      <c r="L208" s="4">
        <v>25.1484588</v>
      </c>
      <c r="M208" s="4">
        <v>259.57197219653847</v>
      </c>
      <c r="N208" s="4">
        <v>4.9156141044559138</v>
      </c>
      <c r="O208" s="1" t="str">
        <f>HYPERLINK(".\sm_car_250420_1604\sm_car_250420_1604_207_Ca189TrU_MaTRD_ode23t_1.png","figure")</f>
        <v>figure</v>
      </c>
      <c r="P208" t="s">
        <v>15</v>
      </c>
    </row>
    <row r="209" spans="1:16" x14ac:dyDescent="0.25">
      <c r="A209">
        <v>208</v>
      </c>
      <c r="B209">
        <v>149</v>
      </c>
      <c r="C209" t="s">
        <v>46</v>
      </c>
      <c r="D209" t="s">
        <v>17</v>
      </c>
      <c r="E209" t="s">
        <v>68</v>
      </c>
      <c r="F209" t="s">
        <v>19</v>
      </c>
      <c r="G209" t="s">
        <v>26</v>
      </c>
      <c r="H209" t="s">
        <v>21</v>
      </c>
      <c r="I209" t="s">
        <v>69</v>
      </c>
      <c r="J209" t="s">
        <v>23</v>
      </c>
      <c r="K209">
        <v>670</v>
      </c>
      <c r="L209" s="4">
        <v>15.5499811</v>
      </c>
      <c r="M209" s="4">
        <v>-5.6792653853601216E-3</v>
      </c>
      <c r="N209" s="4">
        <v>-1.9982665737069971E-4</v>
      </c>
      <c r="O209" s="1" t="str">
        <f>HYPERLINK(".\sm_car_250420_1604\sm_car_250420_1604_208_Ca149TrN_MaPST_ode23t_1.png","figure")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70</v>
      </c>
      <c r="J210" t="s">
        <v>23</v>
      </c>
      <c r="K210">
        <v>1569</v>
      </c>
      <c r="L210" s="4">
        <v>67.936891000000003</v>
      </c>
      <c r="M210" s="4">
        <v>36.515293150394918</v>
      </c>
      <c r="N210" s="4">
        <v>0.34566050806116244</v>
      </c>
      <c r="O210" s="1" t="str">
        <f>HYPERLINK(".\sm_car_250420_1604\sm_car_250420_1604_209_Ca139TrN_MaSKD_ode23t_1.png","figure")</f>
        <v>figure</v>
      </c>
      <c r="P210" t="s">
        <v>15</v>
      </c>
    </row>
    <row r="211" spans="1:16" x14ac:dyDescent="0.25">
      <c r="A211">
        <v>210</v>
      </c>
      <c r="B211">
        <v>139</v>
      </c>
      <c r="C211" t="s">
        <v>45</v>
      </c>
      <c r="D211" t="s">
        <v>17</v>
      </c>
      <c r="E211" t="s">
        <v>18</v>
      </c>
      <c r="F211" t="s">
        <v>19</v>
      </c>
      <c r="G211" t="s">
        <v>26</v>
      </c>
      <c r="H211" t="s">
        <v>21</v>
      </c>
      <c r="I211" t="s">
        <v>71</v>
      </c>
      <c r="J211" t="s">
        <v>23</v>
      </c>
      <c r="K211">
        <v>1101</v>
      </c>
      <c r="L211" s="4">
        <v>63.000029699999999</v>
      </c>
      <c r="M211" s="4">
        <v>3.4943465763418118</v>
      </c>
      <c r="N211" s="4">
        <v>27.08860823241292</v>
      </c>
      <c r="O211" s="1" t="str">
        <f>HYPERLINK(".\sm_car_250420_1604\sm_car_250420_1604_210_Ca139TrN_MaRAD_ode23t_1.png","figure")</f>
        <v>figure</v>
      </c>
      <c r="P211" t="s">
        <v>15</v>
      </c>
    </row>
    <row r="212" spans="1:16" x14ac:dyDescent="0.25">
      <c r="A212">
        <v>211</v>
      </c>
      <c r="B212">
        <v>184</v>
      </c>
      <c r="C212" t="s">
        <v>105</v>
      </c>
      <c r="D212" t="s">
        <v>122</v>
      </c>
      <c r="E212" t="s">
        <v>49</v>
      </c>
      <c r="F212" t="s">
        <v>19</v>
      </c>
      <c r="G212" t="s">
        <v>20</v>
      </c>
      <c r="H212" t="s">
        <v>21</v>
      </c>
      <c r="I212" t="s">
        <v>70</v>
      </c>
      <c r="J212" t="s">
        <v>23</v>
      </c>
      <c r="K212">
        <v>1319</v>
      </c>
      <c r="L212" s="4">
        <v>88.535970300000002</v>
      </c>
      <c r="M212" s="4">
        <v>36.655689715511102</v>
      </c>
      <c r="N212" s="4">
        <v>0.23968106904104836</v>
      </c>
      <c r="O212" s="1" t="str">
        <f>HYPERLINK(".\sm_car_250420_1604\sm_car_250420_1604_211_Ca184TrN_MaSKD_ode23t_1.png","figure")</f>
        <v>figure</v>
      </c>
      <c r="P212" t="s">
        <v>15</v>
      </c>
    </row>
    <row r="213" spans="1:16" x14ac:dyDescent="0.25">
      <c r="A213">
        <v>212</v>
      </c>
      <c r="B213">
        <v>184</v>
      </c>
      <c r="C213" t="s">
        <v>105</v>
      </c>
      <c r="D213" t="s">
        <v>122</v>
      </c>
      <c r="E213" t="s">
        <v>49</v>
      </c>
      <c r="F213" t="s">
        <v>19</v>
      </c>
      <c r="G213" t="s">
        <v>20</v>
      </c>
      <c r="H213" t="s">
        <v>21</v>
      </c>
      <c r="I213" t="s">
        <v>71</v>
      </c>
      <c r="J213" t="s">
        <v>23</v>
      </c>
      <c r="K213">
        <v>624</v>
      </c>
      <c r="L213" s="4">
        <v>38.785172199999998</v>
      </c>
      <c r="M213" s="4">
        <v>13.885005523078346</v>
      </c>
      <c r="N213" s="4">
        <v>23.763905668735653</v>
      </c>
      <c r="O213" s="1" t="str">
        <f>HYPERLINK(".\sm_car_250420_1604\sm_car_250420_1604_212_Ca184TrN_MaRAD_ode23t_1.png","figure")</f>
        <v>figure</v>
      </c>
      <c r="P213" t="s">
        <v>15</v>
      </c>
    </row>
    <row r="214" spans="1:16" x14ac:dyDescent="0.25">
      <c r="A214">
        <v>213</v>
      </c>
      <c r="B214">
        <v>198</v>
      </c>
      <c r="C214" t="s">
        <v>105</v>
      </c>
      <c r="D214" t="s">
        <v>122</v>
      </c>
      <c r="E214" t="s">
        <v>108</v>
      </c>
      <c r="F214" t="s">
        <v>19</v>
      </c>
      <c r="G214" t="s">
        <v>20</v>
      </c>
      <c r="H214" t="s">
        <v>21</v>
      </c>
      <c r="I214" t="s">
        <v>70</v>
      </c>
      <c r="J214" t="s">
        <v>23</v>
      </c>
      <c r="K214">
        <v>1421</v>
      </c>
      <c r="L214" s="4">
        <v>55.271705300000001</v>
      </c>
      <c r="M214" s="4">
        <v>36.658093322940523</v>
      </c>
      <c r="N214" s="4">
        <v>0.23948492950534966</v>
      </c>
      <c r="O214" s="1" t="str">
        <f>HYPERLINK(".\sm_car_250420_1604\sm_car_250420_1604_213_Ca198TrN_MaSKD_ode23t_1.png","figure")</f>
        <v>figure</v>
      </c>
      <c r="P214" t="s">
        <v>15</v>
      </c>
    </row>
    <row r="215" spans="1:16" x14ac:dyDescent="0.25">
      <c r="A215">
        <v>214</v>
      </c>
      <c r="B215">
        <v>198</v>
      </c>
      <c r="C215" t="s">
        <v>105</v>
      </c>
      <c r="D215" t="s">
        <v>122</v>
      </c>
      <c r="E215" t="s">
        <v>108</v>
      </c>
      <c r="F215" t="s">
        <v>19</v>
      </c>
      <c r="G215" t="s">
        <v>20</v>
      </c>
      <c r="H215" t="s">
        <v>21</v>
      </c>
      <c r="I215" t="s">
        <v>71</v>
      </c>
      <c r="J215" t="s">
        <v>23</v>
      </c>
      <c r="K215">
        <v>664</v>
      </c>
      <c r="L215" s="4">
        <v>23.620963400000001</v>
      </c>
      <c r="M215" s="4">
        <v>13.858807197273647</v>
      </c>
      <c r="N215" s="4">
        <v>23.713217032750723</v>
      </c>
      <c r="O215" s="1" t="str">
        <f>HYPERLINK(".\sm_car_250420_1604\sm_car_250420_1604_214_Ca198TrN_MaRAD_ode23t_1.png","figure")</f>
        <v>figure</v>
      </c>
      <c r="P215" t="s">
        <v>15</v>
      </c>
    </row>
    <row r="216" spans="1:16" x14ac:dyDescent="0.25">
      <c r="A216">
        <v>215</v>
      </c>
      <c r="B216">
        <v>189</v>
      </c>
      <c r="C216" t="s">
        <v>45</v>
      </c>
      <c r="D216" t="s">
        <v>17</v>
      </c>
      <c r="E216" t="s">
        <v>108</v>
      </c>
      <c r="F216" t="s">
        <v>19</v>
      </c>
      <c r="G216" t="s">
        <v>26</v>
      </c>
      <c r="H216" t="s">
        <v>21</v>
      </c>
      <c r="I216" t="s">
        <v>129</v>
      </c>
      <c r="J216" t="s">
        <v>23</v>
      </c>
      <c r="K216">
        <v>760</v>
      </c>
      <c r="L216" s="4">
        <v>20.0453896</v>
      </c>
      <c r="M216" s="4">
        <v>120.05150532863072</v>
      </c>
      <c r="N216" s="4">
        <v>-15.86219946289008</v>
      </c>
      <c r="O216" s="1" t="str">
        <f>HYPERLINK(".\sm_car_250420_1604\sm_car_250420_1604_215_Ca189TrN_MaFSH_ode23t_1.png","figure")</f>
        <v>figure</v>
      </c>
      <c r="P216" t="s">
        <v>15</v>
      </c>
    </row>
    <row r="217" spans="1:16" x14ac:dyDescent="0.25">
      <c r="A217">
        <v>216</v>
      </c>
      <c r="B217">
        <v>189</v>
      </c>
      <c r="C217" t="s">
        <v>45</v>
      </c>
      <c r="D217" t="s">
        <v>17</v>
      </c>
      <c r="E217" t="s">
        <v>108</v>
      </c>
      <c r="F217" t="s">
        <v>19</v>
      </c>
      <c r="G217" t="s">
        <v>26</v>
      </c>
      <c r="H217" t="s">
        <v>21</v>
      </c>
      <c r="I217" t="s">
        <v>130</v>
      </c>
      <c r="J217" t="s">
        <v>23</v>
      </c>
      <c r="K217">
        <v>526</v>
      </c>
      <c r="L217" s="4">
        <v>13.2524231</v>
      </c>
      <c r="M217" s="4">
        <v>117.00411960982572</v>
      </c>
      <c r="N217" s="4">
        <v>-9.4418663993303973</v>
      </c>
      <c r="O217" s="1" t="str">
        <f>HYPERLINK(".\sm_car_250420_1604\sm_car_250420_1604_216_Ca189TrN_MaSWD_ode23t_1.png","figure")</f>
        <v>figure</v>
      </c>
      <c r="P217" t="s">
        <v>15</v>
      </c>
    </row>
    <row r="218" spans="1:16" x14ac:dyDescent="0.25">
      <c r="A218">
        <v>217</v>
      </c>
      <c r="B218">
        <v>189</v>
      </c>
      <c r="C218" t="s">
        <v>45</v>
      </c>
      <c r="D218" t="s">
        <v>17</v>
      </c>
      <c r="E218" t="s">
        <v>108</v>
      </c>
      <c r="F218" t="s">
        <v>19</v>
      </c>
      <c r="G218" t="s">
        <v>26</v>
      </c>
      <c r="H218" t="s">
        <v>21</v>
      </c>
      <c r="I218" t="s">
        <v>131</v>
      </c>
      <c r="J218" t="s">
        <v>23</v>
      </c>
      <c r="K218">
        <v>526</v>
      </c>
      <c r="L218" s="4">
        <v>14.108134400000001</v>
      </c>
      <c r="M218" s="4">
        <v>100.63231309185441</v>
      </c>
      <c r="N218" s="4">
        <v>18.072137984505023</v>
      </c>
      <c r="O218" s="1" t="str">
        <f>HYPERLINK(".\sm_car_250420_1604\sm_car_250420_1604_217_Ca189TrN_MaRST_ode23t_1.png","figure")</f>
        <v>figure</v>
      </c>
      <c r="P218" t="s">
        <v>15</v>
      </c>
    </row>
    <row r="219" spans="1:16" x14ac:dyDescent="0.25">
      <c r="A219">
        <v>218</v>
      </c>
      <c r="B219">
        <v>189</v>
      </c>
      <c r="C219" t="s">
        <v>45</v>
      </c>
      <c r="D219" t="s">
        <v>17</v>
      </c>
      <c r="E219" t="s">
        <v>108</v>
      </c>
      <c r="F219" t="s">
        <v>19</v>
      </c>
      <c r="G219" t="s">
        <v>26</v>
      </c>
      <c r="H219" t="s">
        <v>21</v>
      </c>
      <c r="I219" t="s">
        <v>132</v>
      </c>
      <c r="J219" t="s">
        <v>23</v>
      </c>
      <c r="K219">
        <v>602</v>
      </c>
      <c r="L219" s="4">
        <v>31.3588697</v>
      </c>
      <c r="M219" s="4">
        <v>230.88161903557119</v>
      </c>
      <c r="N219" s="4">
        <v>6.3380705183055122E-2</v>
      </c>
      <c r="O219" s="1" t="str">
        <f>HYPERLINK(".\sm_car_250420_1604\sm_car_250420_1604_218_Ca189TrN_MaSLA_ode23t_1.png","figure")</f>
        <v>figure</v>
      </c>
      <c r="P219" t="s">
        <v>15</v>
      </c>
    </row>
    <row r="220" spans="1:16" x14ac:dyDescent="0.25">
      <c r="A220">
        <v>219</v>
      </c>
      <c r="B220">
        <v>218</v>
      </c>
      <c r="C220" t="s">
        <v>16</v>
      </c>
      <c r="D220" t="s">
        <v>124</v>
      </c>
      <c r="E220" t="s">
        <v>108</v>
      </c>
      <c r="F220" t="s">
        <v>19</v>
      </c>
      <c r="G220" t="s">
        <v>26</v>
      </c>
      <c r="H220" t="s">
        <v>21</v>
      </c>
      <c r="I220" t="s">
        <v>129</v>
      </c>
      <c r="J220" t="s">
        <v>23</v>
      </c>
      <c r="K220">
        <v>688</v>
      </c>
      <c r="L220" s="4">
        <v>11.6193712</v>
      </c>
      <c r="M220" s="4">
        <v>90.641366253960896</v>
      </c>
      <c r="N220" s="4">
        <v>-21.971383986149487</v>
      </c>
      <c r="O220" s="1" t="str">
        <f>HYPERLINK(".\sm_car_250420_1604\sm_car_250420_1604_219_Ca218TrN_MaFSH_ode23t_1.png","figure")</f>
        <v>figure</v>
      </c>
      <c r="P220" t="s">
        <v>15</v>
      </c>
    </row>
    <row r="221" spans="1:16" x14ac:dyDescent="0.25">
      <c r="A221">
        <v>220</v>
      </c>
      <c r="B221">
        <v>218</v>
      </c>
      <c r="C221" t="s">
        <v>16</v>
      </c>
      <c r="D221" t="s">
        <v>124</v>
      </c>
      <c r="E221" t="s">
        <v>108</v>
      </c>
      <c r="F221" t="s">
        <v>19</v>
      </c>
      <c r="G221" t="s">
        <v>26</v>
      </c>
      <c r="H221" t="s">
        <v>21</v>
      </c>
      <c r="I221" t="s">
        <v>130</v>
      </c>
      <c r="J221" t="s">
        <v>23</v>
      </c>
      <c r="K221">
        <v>552</v>
      </c>
      <c r="L221" s="4">
        <v>8.6754829999999998</v>
      </c>
      <c r="M221" s="4">
        <v>125.30881917365861</v>
      </c>
      <c r="N221" s="4">
        <v>-8.597821345689221</v>
      </c>
      <c r="O221" s="1" t="str">
        <f>HYPERLINK(".\sm_car_250420_1604\sm_car_250420_1604_220_Ca218TrN_MaSWD_ode23t_1.png","figure")</f>
        <v>figure</v>
      </c>
      <c r="P221" t="s">
        <v>15</v>
      </c>
    </row>
    <row r="222" spans="1:16" x14ac:dyDescent="0.25">
      <c r="A222">
        <v>221</v>
      </c>
      <c r="B222">
        <v>218</v>
      </c>
      <c r="C222" t="s">
        <v>16</v>
      </c>
      <c r="D222" t="s">
        <v>124</v>
      </c>
      <c r="E222" t="s">
        <v>108</v>
      </c>
      <c r="F222" t="s">
        <v>19</v>
      </c>
      <c r="G222" t="s">
        <v>26</v>
      </c>
      <c r="H222" t="s">
        <v>21</v>
      </c>
      <c r="I222" t="s">
        <v>131</v>
      </c>
      <c r="J222" t="s">
        <v>23</v>
      </c>
      <c r="K222">
        <v>474</v>
      </c>
      <c r="L222" s="4">
        <v>8.6388241000000008</v>
      </c>
      <c r="M222" s="4">
        <v>90.661763366037135</v>
      </c>
      <c r="N222" s="4">
        <v>28.882431858336776</v>
      </c>
      <c r="O222" s="1" t="str">
        <f>HYPERLINK(".\sm_car_250420_1604\sm_car_250420_1604_221_Ca218TrN_MaRST_ode23t_1.png","figure")</f>
        <v>figure</v>
      </c>
      <c r="P222" t="s">
        <v>15</v>
      </c>
    </row>
    <row r="223" spans="1:16" x14ac:dyDescent="0.25">
      <c r="A223">
        <v>222</v>
      </c>
      <c r="B223">
        <v>218</v>
      </c>
      <c r="C223" t="s">
        <v>16</v>
      </c>
      <c r="D223" t="s">
        <v>124</v>
      </c>
      <c r="E223" t="s">
        <v>108</v>
      </c>
      <c r="F223" t="s">
        <v>19</v>
      </c>
      <c r="G223" t="s">
        <v>26</v>
      </c>
      <c r="H223" t="s">
        <v>21</v>
      </c>
      <c r="I223" t="s">
        <v>132</v>
      </c>
      <c r="J223" t="s">
        <v>23</v>
      </c>
      <c r="K223">
        <v>562</v>
      </c>
      <c r="L223" s="4">
        <v>17.1673787</v>
      </c>
      <c r="M223" s="4">
        <v>230.18032765240727</v>
      </c>
      <c r="N223" s="4">
        <v>6.6727824638868005E-2</v>
      </c>
      <c r="O223" s="1" t="str">
        <f>HYPERLINK(".\sm_car_250420_1604\sm_car_250420_1604_222_Ca218TrN_MaSLA_ode23t_1.png","figure")</f>
        <v>figure</v>
      </c>
      <c r="P223" t="s">
        <v>15</v>
      </c>
    </row>
    <row r="224" spans="1:16" x14ac:dyDescent="0.25">
      <c r="A224">
        <v>223</v>
      </c>
      <c r="B224">
        <v>156</v>
      </c>
      <c r="C224" t="s">
        <v>45</v>
      </c>
      <c r="D224" t="s">
        <v>17</v>
      </c>
      <c r="E224" t="s">
        <v>18</v>
      </c>
      <c r="F224" t="s">
        <v>19</v>
      </c>
      <c r="G224" t="s">
        <v>38</v>
      </c>
      <c r="H224" t="s">
        <v>21</v>
      </c>
      <c r="I224" t="s">
        <v>54</v>
      </c>
      <c r="J224" t="s">
        <v>23</v>
      </c>
      <c r="K224">
        <v>26121</v>
      </c>
      <c r="L224" s="4">
        <v>641.38973880000003</v>
      </c>
      <c r="M224" s="4">
        <v>19.431664357368206</v>
      </c>
      <c r="N224" s="4">
        <v>2.6274375253323528</v>
      </c>
      <c r="O224" s="1" t="str">
        <f>HYPERLINK(".\sm_car_250420_1604\sm_car_250420_1604_223_Ca156TrN_MaIPA_ode23t.png","figure")</f>
        <v>figure</v>
      </c>
      <c r="P224" t="s">
        <v>15</v>
      </c>
    </row>
    <row r="225" spans="1:16" x14ac:dyDescent="0.25">
      <c r="A225">
        <v>224</v>
      </c>
      <c r="B225">
        <v>130</v>
      </c>
      <c r="C225" t="s">
        <v>16</v>
      </c>
      <c r="D225" t="s">
        <v>17</v>
      </c>
      <c r="E225" t="s">
        <v>18</v>
      </c>
      <c r="F225" t="s">
        <v>19</v>
      </c>
      <c r="G225" t="s">
        <v>38</v>
      </c>
      <c r="H225" t="s">
        <v>21</v>
      </c>
      <c r="I225" t="s">
        <v>54</v>
      </c>
      <c r="J225" t="s">
        <v>23</v>
      </c>
      <c r="K225">
        <v>17625</v>
      </c>
      <c r="L225" s="4">
        <v>439.85338109999998</v>
      </c>
      <c r="M225" s="4">
        <v>16.354383687405829</v>
      </c>
      <c r="N225" s="4">
        <v>0.57188839244563583</v>
      </c>
      <c r="O225" s="1" t="str">
        <f>HYPERLINK(".\sm_car_250420_1604\sm_car_250420_1604_224_Ca130TrN_MaIPA_ode23t.png","figure")</f>
        <v>figure</v>
      </c>
      <c r="P225" t="s">
        <v>15</v>
      </c>
    </row>
    <row r="226" spans="1:16" x14ac:dyDescent="0.25">
      <c r="A226">
        <v>225</v>
      </c>
      <c r="B226">
        <v>171</v>
      </c>
      <c r="C226" t="s">
        <v>45</v>
      </c>
      <c r="D226" t="s">
        <v>17</v>
      </c>
      <c r="E226" t="s">
        <v>72</v>
      </c>
      <c r="F226" t="s">
        <v>19</v>
      </c>
      <c r="G226" t="s">
        <v>26</v>
      </c>
      <c r="H226" t="s">
        <v>21</v>
      </c>
      <c r="I226" t="s">
        <v>73</v>
      </c>
      <c r="J226" t="s">
        <v>23</v>
      </c>
      <c r="K226">
        <v>1358</v>
      </c>
      <c r="L226" s="4">
        <v>37.310489599999997</v>
      </c>
      <c r="M226" s="4">
        <v>338.64668322366072</v>
      </c>
      <c r="N226" s="4">
        <v>0.66395632542420979</v>
      </c>
      <c r="O226" s="1" t="str">
        <f>HYPERLINK(".\sm_car_250420_1604\sm_car_250420_1604_225_Ca171TrN_MaRDP_ode23t_1.png","figure")</f>
        <v>figure</v>
      </c>
      <c r="P226" t="s">
        <v>15</v>
      </c>
    </row>
    <row r="227" spans="1:16" x14ac:dyDescent="0.25">
      <c r="A227">
        <v>226</v>
      </c>
      <c r="B227">
        <v>172</v>
      </c>
      <c r="C227" t="s">
        <v>46</v>
      </c>
      <c r="D227" t="s">
        <v>17</v>
      </c>
      <c r="E227" t="s">
        <v>72</v>
      </c>
      <c r="F227" t="s">
        <v>19</v>
      </c>
      <c r="G227" t="s">
        <v>26</v>
      </c>
      <c r="H227" t="s">
        <v>21</v>
      </c>
      <c r="I227" t="s">
        <v>73</v>
      </c>
      <c r="J227" t="s">
        <v>23</v>
      </c>
      <c r="K227">
        <v>1227</v>
      </c>
      <c r="L227" s="4">
        <v>18.573104900000001</v>
      </c>
      <c r="M227" s="4">
        <v>137.93021495672815</v>
      </c>
      <c r="N227" s="4">
        <v>3.6787936739008563E-2</v>
      </c>
      <c r="O227" s="1" t="str">
        <f>HYPERLINK(".\sm_car_250420_1604\sm_car_250420_1604_226_Ca172TrN_MaRDP_ode23t_1.png","figure")</f>
        <v>figure</v>
      </c>
      <c r="P227" t="s">
        <v>15</v>
      </c>
    </row>
    <row r="228" spans="1:16" x14ac:dyDescent="0.25">
      <c r="A228">
        <v>227</v>
      </c>
      <c r="B228">
        <v>139</v>
      </c>
      <c r="C228" t="s">
        <v>45</v>
      </c>
      <c r="D228" t="s">
        <v>17</v>
      </c>
      <c r="E228" t="s">
        <v>18</v>
      </c>
      <c r="F228" t="s">
        <v>19</v>
      </c>
      <c r="G228" t="s">
        <v>26</v>
      </c>
      <c r="H228" t="s">
        <v>21</v>
      </c>
      <c r="I228" t="s">
        <v>74</v>
      </c>
      <c r="J228" t="s">
        <v>23</v>
      </c>
      <c r="K228">
        <v>1477</v>
      </c>
      <c r="L228" s="4">
        <v>31.773952399999999</v>
      </c>
      <c r="M228" s="4">
        <v>364.34387760348238</v>
      </c>
      <c r="N228" s="4">
        <v>0.71381552967494932</v>
      </c>
      <c r="O228" s="1" t="str">
        <f>HYPERLINK(".\sm_car_250420_1604\sm_car_250420_1604_227_Ca139TrN_MaZPL_ode23t_1.png","figure")</f>
        <v>figure</v>
      </c>
      <c r="P228" t="s">
        <v>15</v>
      </c>
    </row>
    <row r="229" spans="1:16" x14ac:dyDescent="0.25">
      <c r="A229">
        <v>228</v>
      </c>
      <c r="B229">
        <v>165</v>
      </c>
      <c r="C229" t="s">
        <v>45</v>
      </c>
      <c r="D229" t="s">
        <v>35</v>
      </c>
      <c r="E229" t="s">
        <v>49</v>
      </c>
      <c r="F229" t="s">
        <v>19</v>
      </c>
      <c r="G229" t="s">
        <v>26</v>
      </c>
      <c r="H229" t="s">
        <v>21</v>
      </c>
      <c r="I229" t="s">
        <v>74</v>
      </c>
      <c r="J229" t="s">
        <v>23</v>
      </c>
      <c r="K229">
        <v>2105</v>
      </c>
      <c r="L229" s="4">
        <v>16.932852499999999</v>
      </c>
      <c r="M229" s="4">
        <v>397.68495803332058</v>
      </c>
      <c r="N229" s="4">
        <v>0.3348470775476588</v>
      </c>
      <c r="O229" s="1" t="str">
        <f>HYPERLINK(".\sm_car_250420_1604\sm_car_250420_1604_228_Ca165TrN_MaZPL_ode23t_1.png","figure")</f>
        <v>figure</v>
      </c>
      <c r="P229" t="s">
        <v>15</v>
      </c>
    </row>
    <row r="230" spans="1:16" x14ac:dyDescent="0.25">
      <c r="A230">
        <v>229</v>
      </c>
      <c r="B230">
        <v>171</v>
      </c>
      <c r="C230" t="s">
        <v>45</v>
      </c>
      <c r="D230" t="s">
        <v>17</v>
      </c>
      <c r="E230" t="s">
        <v>72</v>
      </c>
      <c r="F230" t="s">
        <v>19</v>
      </c>
      <c r="G230" t="s">
        <v>26</v>
      </c>
      <c r="H230" t="s">
        <v>21</v>
      </c>
      <c r="I230" t="s">
        <v>74</v>
      </c>
      <c r="J230" t="s">
        <v>23</v>
      </c>
      <c r="K230">
        <v>1483</v>
      </c>
      <c r="L230" s="4">
        <v>42.2722871</v>
      </c>
      <c r="M230" s="4">
        <v>364.2180129262938</v>
      </c>
      <c r="N230" s="4">
        <v>0.73382223756308274</v>
      </c>
      <c r="O230" s="1" t="str">
        <f>HYPERLINK(".\sm_car_250420_1604\sm_car_250420_1604_229_Ca171TrN_MaZPL_ode23t_1.png","figure")</f>
        <v>figure</v>
      </c>
      <c r="P230" t="s">
        <v>15</v>
      </c>
    </row>
    <row r="231" spans="1:16" x14ac:dyDescent="0.25">
      <c r="A231">
        <v>230</v>
      </c>
      <c r="B231">
        <v>165</v>
      </c>
      <c r="C231" t="s">
        <v>45</v>
      </c>
      <c r="D231" t="s">
        <v>35</v>
      </c>
      <c r="E231" t="s">
        <v>49</v>
      </c>
      <c r="F231" t="s">
        <v>19</v>
      </c>
      <c r="G231" t="s">
        <v>26</v>
      </c>
      <c r="H231" t="s">
        <v>21</v>
      </c>
      <c r="I231" t="s">
        <v>75</v>
      </c>
      <c r="J231" t="s">
        <v>23</v>
      </c>
      <c r="K231">
        <v>504</v>
      </c>
      <c r="L231" s="4">
        <v>7.5253655999999998</v>
      </c>
      <c r="M231" s="4">
        <v>378.33541155264504</v>
      </c>
      <c r="N231" s="4">
        <v>0.32213547291874578</v>
      </c>
      <c r="O231" s="1" t="str">
        <f>HYPERLINK(".\sm_car_250420_1604\sm_car_250420_1604_230_Ca165TrN_MaCPL_ode23t_1.png","figure")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75</v>
      </c>
      <c r="J232" t="s">
        <v>23</v>
      </c>
      <c r="K232">
        <v>465</v>
      </c>
      <c r="L232" s="4">
        <v>4.9593708999999997</v>
      </c>
      <c r="M232" s="4">
        <v>380.91793190860193</v>
      </c>
      <c r="N232" s="4">
        <v>0.32782964600872139</v>
      </c>
      <c r="O232" s="1" t="str">
        <f>HYPERLINK(".\sm_car_250420_1604\sm_car_250420_1604_231_Ca170TrN_MaCPL_ode23t_1.png","figure")</f>
        <v>figure</v>
      </c>
      <c r="P232" t="s">
        <v>15</v>
      </c>
    </row>
    <row r="233" spans="1:16" x14ac:dyDescent="0.25">
      <c r="A233">
        <v>232</v>
      </c>
      <c r="B233">
        <v>171</v>
      </c>
      <c r="C233" t="s">
        <v>45</v>
      </c>
      <c r="D233" t="s">
        <v>17</v>
      </c>
      <c r="E233" t="s">
        <v>72</v>
      </c>
      <c r="F233" t="s">
        <v>19</v>
      </c>
      <c r="G233" t="s">
        <v>26</v>
      </c>
      <c r="H233" t="s">
        <v>21</v>
      </c>
      <c r="I233" t="s">
        <v>76</v>
      </c>
      <c r="J233" t="s">
        <v>23</v>
      </c>
      <c r="K233">
        <v>2475</v>
      </c>
      <c r="L233" s="4">
        <v>70.068624499999999</v>
      </c>
      <c r="M233" s="4">
        <v>152.36713650324597</v>
      </c>
      <c r="N233" s="4">
        <v>1.9120003695300746E-3</v>
      </c>
      <c r="O233" s="1" t="str">
        <f>HYPERLINK(".\sm_car_250420_1604\sm_car_250420_1604_232_Ca171TrN_MaRDR_ode23t_1.png","figure")</f>
        <v>figure</v>
      </c>
      <c r="P233" t="s">
        <v>15</v>
      </c>
    </row>
    <row r="234" spans="1:16" x14ac:dyDescent="0.25">
      <c r="A234">
        <v>233</v>
      </c>
      <c r="B234">
        <v>172</v>
      </c>
      <c r="C234" t="s">
        <v>46</v>
      </c>
      <c r="D234" t="s">
        <v>17</v>
      </c>
      <c r="E234" t="s">
        <v>72</v>
      </c>
      <c r="F234" t="s">
        <v>19</v>
      </c>
      <c r="G234" t="s">
        <v>26</v>
      </c>
      <c r="H234" t="s">
        <v>21</v>
      </c>
      <c r="I234" t="s">
        <v>76</v>
      </c>
      <c r="J234" t="s">
        <v>23</v>
      </c>
      <c r="K234">
        <v>2952</v>
      </c>
      <c r="L234" s="4">
        <v>46.321587000000001</v>
      </c>
      <c r="M234" s="4">
        <v>146.50271367037044</v>
      </c>
      <c r="N234" s="4">
        <v>-4.8612575758399191E-3</v>
      </c>
      <c r="O234" s="1" t="str">
        <f>HYPERLINK(".\sm_car_250420_1604\sm_car_250420_1604_233_Ca172TrN_MaRDR_ode23t_1.png","figure")</f>
        <v>figure</v>
      </c>
      <c r="P234" t="s">
        <v>15</v>
      </c>
    </row>
    <row r="235" spans="1:16" x14ac:dyDescent="0.25">
      <c r="A235">
        <v>234</v>
      </c>
      <c r="B235">
        <v>139</v>
      </c>
      <c r="C235" t="s">
        <v>45</v>
      </c>
      <c r="D235" t="s">
        <v>17</v>
      </c>
      <c r="E235" t="s">
        <v>18</v>
      </c>
      <c r="F235" t="s">
        <v>19</v>
      </c>
      <c r="G235" t="s">
        <v>26</v>
      </c>
      <c r="H235" t="s">
        <v>21</v>
      </c>
      <c r="I235" t="s">
        <v>77</v>
      </c>
      <c r="J235" t="s">
        <v>23</v>
      </c>
      <c r="K235">
        <v>3017</v>
      </c>
      <c r="L235" s="4">
        <v>59.747140199999997</v>
      </c>
      <c r="M235" s="4">
        <v>176.47755298858661</v>
      </c>
      <c r="N235" s="4">
        <v>8.5533391124845203E-4</v>
      </c>
      <c r="O235" s="1" t="str">
        <f>HYPERLINK(".\sm_car_250420_1604\sm_car_250420_1604_234_Ca139TrN_MaZRR_ode23t_1.png","figure")</f>
        <v>figure</v>
      </c>
      <c r="P235" t="s">
        <v>15</v>
      </c>
    </row>
    <row r="236" spans="1:16" x14ac:dyDescent="0.25">
      <c r="A236">
        <v>235</v>
      </c>
      <c r="B236">
        <v>165</v>
      </c>
      <c r="C236" t="s">
        <v>45</v>
      </c>
      <c r="D236" t="s">
        <v>35</v>
      </c>
      <c r="E236" t="s">
        <v>49</v>
      </c>
      <c r="F236" t="s">
        <v>19</v>
      </c>
      <c r="G236" t="s">
        <v>26</v>
      </c>
      <c r="H236" t="s">
        <v>21</v>
      </c>
      <c r="I236" t="s">
        <v>77</v>
      </c>
      <c r="J236" t="s">
        <v>23</v>
      </c>
      <c r="K236">
        <v>3553</v>
      </c>
      <c r="L236" s="4">
        <v>36.1688002</v>
      </c>
      <c r="M236" s="4">
        <v>176.8146171468648</v>
      </c>
      <c r="N236" s="4">
        <v>8.1716243289086985E-5</v>
      </c>
      <c r="O236" s="1" t="str">
        <f>HYPERLINK(".\sm_car_250420_1604\sm_car_250420_1604_235_Ca165TrN_MaZRR_ode23t_1.png","figure")</f>
        <v>figure</v>
      </c>
      <c r="P236" t="s">
        <v>15</v>
      </c>
    </row>
    <row r="237" spans="1:16" x14ac:dyDescent="0.25">
      <c r="A237">
        <v>236</v>
      </c>
      <c r="B237">
        <v>171</v>
      </c>
      <c r="C237" t="s">
        <v>45</v>
      </c>
      <c r="D237" t="s">
        <v>17</v>
      </c>
      <c r="E237" t="s">
        <v>72</v>
      </c>
      <c r="F237" t="s">
        <v>19</v>
      </c>
      <c r="G237" t="s">
        <v>26</v>
      </c>
      <c r="H237" t="s">
        <v>21</v>
      </c>
      <c r="I237" t="s">
        <v>77</v>
      </c>
      <c r="J237" t="s">
        <v>23</v>
      </c>
      <c r="K237">
        <v>2986</v>
      </c>
      <c r="L237" s="4">
        <v>89.345341700000006</v>
      </c>
      <c r="M237" s="4">
        <v>176.48396407176148</v>
      </c>
      <c r="N237" s="4">
        <v>8.4029405499591917E-4</v>
      </c>
      <c r="O237" s="1" t="str">
        <f>HYPERLINK(".\sm_car_250420_1604\sm_car_250420_1604_236_Ca171TrN_MaZRR_ode23t_1.png","figure")</f>
        <v>figure</v>
      </c>
      <c r="P237" t="s">
        <v>15</v>
      </c>
    </row>
    <row r="238" spans="1:16" x14ac:dyDescent="0.25">
      <c r="A238">
        <v>237</v>
      </c>
      <c r="B238">
        <v>170</v>
      </c>
      <c r="C238" t="s">
        <v>45</v>
      </c>
      <c r="D238" t="s">
        <v>35</v>
      </c>
      <c r="E238" t="s">
        <v>49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5056</v>
      </c>
      <c r="L238" s="4">
        <v>31.573396599999999</v>
      </c>
      <c r="M238" s="4">
        <v>-5.9999047862402586</v>
      </c>
      <c r="N238" s="4">
        <v>2.8915557959139208E-3</v>
      </c>
      <c r="O238" s="1" t="str">
        <f>HYPERLINK(".\sm_car_250420_1604\sm_car_250420_1604_237_Ca170TrN_MaCMP_ode23t_1.png","figure")</f>
        <v>figure</v>
      </c>
      <c r="P238" t="s">
        <v>15</v>
      </c>
    </row>
    <row r="239" spans="1:16" x14ac:dyDescent="0.25">
      <c r="A239">
        <v>238</v>
      </c>
      <c r="B239">
        <v>170</v>
      </c>
      <c r="C239" t="s">
        <v>45</v>
      </c>
      <c r="D239" t="s">
        <v>35</v>
      </c>
      <c r="E239" t="s">
        <v>49</v>
      </c>
      <c r="F239" t="s">
        <v>19</v>
      </c>
      <c r="G239" t="s">
        <v>20</v>
      </c>
      <c r="H239" t="s">
        <v>21</v>
      </c>
      <c r="I239" t="s">
        <v>79</v>
      </c>
      <c r="J239" t="s">
        <v>23</v>
      </c>
      <c r="K239">
        <v>1825</v>
      </c>
      <c r="L239" s="4">
        <v>20.780515000000001</v>
      </c>
      <c r="M239" s="4">
        <v>-5.9987021061299801</v>
      </c>
      <c r="N239" s="4">
        <v>2.9104213920266553E-3</v>
      </c>
      <c r="O239" s="1" t="str">
        <f>HYPERLINK(".\sm_car_250420_1604\sm_car_250420_1604_238_Ca170TrN_MaCMF_ode23t_1.png","figure")</f>
        <v>figure</v>
      </c>
      <c r="P239" t="s">
        <v>15</v>
      </c>
    </row>
    <row r="240" spans="1:16" x14ac:dyDescent="0.25">
      <c r="A240">
        <v>239</v>
      </c>
      <c r="B240">
        <v>170</v>
      </c>
      <c r="C240" t="s">
        <v>45</v>
      </c>
      <c r="D240" t="s">
        <v>35</v>
      </c>
      <c r="E240" t="s">
        <v>49</v>
      </c>
      <c r="F240" t="s">
        <v>19</v>
      </c>
      <c r="G240" t="s">
        <v>20</v>
      </c>
      <c r="H240" t="s">
        <v>21</v>
      </c>
      <c r="I240" t="s">
        <v>80</v>
      </c>
      <c r="J240" t="s">
        <v>23</v>
      </c>
      <c r="K240">
        <v>4588</v>
      </c>
      <c r="L240" s="4">
        <v>70.112565099999998</v>
      </c>
      <c r="M240" s="4">
        <v>-329.50659482963084</v>
      </c>
      <c r="N240" s="4">
        <v>6.0548118408490881</v>
      </c>
      <c r="O240" s="1" t="str">
        <f>HYPERLINK(".\sm_car_250420_1604\sm_car_250420_1604_239_Ca170TrN_MaMPO_ode23t_1.png","figure")</f>
        <v>figure</v>
      </c>
      <c r="P240" t="s">
        <v>15</v>
      </c>
    </row>
    <row r="241" spans="1:16" x14ac:dyDescent="0.25">
      <c r="A241">
        <v>240</v>
      </c>
      <c r="B241">
        <v>170</v>
      </c>
      <c r="C241" t="s">
        <v>45</v>
      </c>
      <c r="D241" t="s">
        <v>35</v>
      </c>
      <c r="E241" t="s">
        <v>49</v>
      </c>
      <c r="F241" t="s">
        <v>19</v>
      </c>
      <c r="G241" t="s">
        <v>20</v>
      </c>
      <c r="H241" t="s">
        <v>21</v>
      </c>
      <c r="I241" t="s">
        <v>81</v>
      </c>
      <c r="J241" t="s">
        <v>23</v>
      </c>
      <c r="K241">
        <v>1183</v>
      </c>
      <c r="L241" s="4">
        <v>19.665255599999998</v>
      </c>
      <c r="M241" s="4">
        <v>-13.900912833917417</v>
      </c>
      <c r="N241" s="4">
        <v>0.20570073501548336</v>
      </c>
      <c r="O241" s="1" t="str">
        <f>HYPERLINK(".\sm_car_250420_1604\sm_car_250420_1604_240_Ca170TrN_MaMCI_ode23t_1.png","figure")</f>
        <v>figure</v>
      </c>
      <c r="P241" t="s">
        <v>15</v>
      </c>
    </row>
    <row r="242" spans="1:16" x14ac:dyDescent="0.25">
      <c r="A242">
        <v>241</v>
      </c>
      <c r="B242">
        <v>170</v>
      </c>
      <c r="C242" t="s">
        <v>45</v>
      </c>
      <c r="D242" t="s">
        <v>35</v>
      </c>
      <c r="E242" t="s">
        <v>49</v>
      </c>
      <c r="F242" t="s">
        <v>19</v>
      </c>
      <c r="G242" t="s">
        <v>20</v>
      </c>
      <c r="H242" t="s">
        <v>21</v>
      </c>
      <c r="I242" t="s">
        <v>111</v>
      </c>
      <c r="J242" t="s">
        <v>23</v>
      </c>
      <c r="K242">
        <v>6021</v>
      </c>
      <c r="L242" s="4">
        <v>34.720369099999999</v>
      </c>
      <c r="M242" s="4">
        <v>-5.9984079506542995</v>
      </c>
      <c r="N242" s="4">
        <v>-4.4506688487792089E-3</v>
      </c>
      <c r="O242" s="1" t="str">
        <f>HYPERLINK(".\sm_car_250420_1604\sm_car_250420_1604_241_Ca170TrN_MaCHO_ode23t_1.png","figure")</f>
        <v>figure</v>
      </c>
      <c r="P242" t="s">
        <v>15</v>
      </c>
    </row>
    <row r="243" spans="1:16" x14ac:dyDescent="0.25">
      <c r="A243">
        <v>242</v>
      </c>
      <c r="B243">
        <v>170</v>
      </c>
      <c r="C243" t="s">
        <v>45</v>
      </c>
      <c r="D243" t="s">
        <v>35</v>
      </c>
      <c r="E243" t="s">
        <v>49</v>
      </c>
      <c r="F243" t="s">
        <v>19</v>
      </c>
      <c r="G243" t="s">
        <v>20</v>
      </c>
      <c r="H243" t="s">
        <v>21</v>
      </c>
      <c r="I243" t="s">
        <v>112</v>
      </c>
      <c r="J243" t="s">
        <v>23</v>
      </c>
      <c r="K243">
        <v>3431</v>
      </c>
      <c r="L243" s="4">
        <v>33.356044099999998</v>
      </c>
      <c r="M243" s="4">
        <v>-5.9979277847737853</v>
      </c>
      <c r="N243" s="4">
        <v>-4.4935030138805879E-3</v>
      </c>
      <c r="O243" s="1" t="str">
        <f>HYPERLINK(".\sm_car_250420_1604\sm_car_250420_1604_242_Ca170TrN_MaCHF_ode23t_1.png","figure")</f>
        <v>figure</v>
      </c>
      <c r="P243" t="s">
        <v>15</v>
      </c>
    </row>
    <row r="244" spans="1:16" x14ac:dyDescent="0.25">
      <c r="A244">
        <v>243</v>
      </c>
      <c r="B244">
        <v>170</v>
      </c>
      <c r="C244" t="s">
        <v>45</v>
      </c>
      <c r="D244" t="s">
        <v>35</v>
      </c>
      <c r="E244" t="s">
        <v>49</v>
      </c>
      <c r="F244" t="s">
        <v>19</v>
      </c>
      <c r="G244" t="s">
        <v>20</v>
      </c>
      <c r="H244" t="s">
        <v>21</v>
      </c>
      <c r="I244" t="s">
        <v>82</v>
      </c>
      <c r="J244" t="s">
        <v>23</v>
      </c>
      <c r="K244">
        <v>7105</v>
      </c>
      <c r="L244" s="4">
        <v>55.890377600000001</v>
      </c>
      <c r="M244" s="4">
        <v>-751.82160053758969</v>
      </c>
      <c r="N244" s="4">
        <v>628.25553766181201</v>
      </c>
      <c r="O244" s="1" t="str">
        <f>HYPERLINK(".\sm_car_250420_1604\sm_car_250420_1604_243_Ca170TrN_MaCKY_ode23t_1.png","figure")</f>
        <v>figure</v>
      </c>
      <c r="P244" t="s">
        <v>15</v>
      </c>
    </row>
    <row r="245" spans="1:16" x14ac:dyDescent="0.25">
      <c r="A245">
        <v>244</v>
      </c>
      <c r="B245">
        <v>170</v>
      </c>
      <c r="C245" t="s">
        <v>45</v>
      </c>
      <c r="D245" t="s">
        <v>35</v>
      </c>
      <c r="E245" t="s">
        <v>49</v>
      </c>
      <c r="F245" t="s">
        <v>19</v>
      </c>
      <c r="G245" t="s">
        <v>20</v>
      </c>
      <c r="H245" t="s">
        <v>21</v>
      </c>
      <c r="I245" t="s">
        <v>83</v>
      </c>
      <c r="J245" t="s">
        <v>23</v>
      </c>
      <c r="K245">
        <v>2142</v>
      </c>
      <c r="L245" s="4">
        <v>26.5666832</v>
      </c>
      <c r="M245" s="4">
        <v>-758.45432131838015</v>
      </c>
      <c r="N245" s="4">
        <v>632.56310422790386</v>
      </c>
      <c r="O245" s="1" t="str">
        <f>HYPERLINK(".\sm_car_250420_1604\sm_car_250420_1604_244_Ca170TrN_MaCKF_ode23t_1.png","figure")</f>
        <v>figure</v>
      </c>
      <c r="P245" t="s">
        <v>15</v>
      </c>
    </row>
    <row r="246" spans="1:16" x14ac:dyDescent="0.25">
      <c r="A246">
        <v>245</v>
      </c>
      <c r="B246">
        <v>170</v>
      </c>
      <c r="C246" t="s">
        <v>45</v>
      </c>
      <c r="D246" t="s">
        <v>35</v>
      </c>
      <c r="E246" t="s">
        <v>49</v>
      </c>
      <c r="F246" t="s">
        <v>19</v>
      </c>
      <c r="G246" t="s">
        <v>20</v>
      </c>
      <c r="H246" t="s">
        <v>21</v>
      </c>
      <c r="I246" t="s">
        <v>84</v>
      </c>
      <c r="J246" t="s">
        <v>23</v>
      </c>
      <c r="K246">
        <v>2859</v>
      </c>
      <c r="L246" s="4">
        <v>30.582198900000002</v>
      </c>
      <c r="M246" s="4">
        <v>177.30631576111267</v>
      </c>
      <c r="N246" s="4">
        <v>288.17405361184166</v>
      </c>
      <c r="O246" s="1" t="str">
        <f>HYPERLINK(".\sm_car_250420_1604\sm_car_250420_1604_245_Ca170TrN_MaCNN_ode23t_1.png","figure")</f>
        <v>figure</v>
      </c>
      <c r="P246" t="s">
        <v>15</v>
      </c>
    </row>
    <row r="247" spans="1:16" x14ac:dyDescent="0.25">
      <c r="A247">
        <v>246</v>
      </c>
      <c r="B247">
        <v>170</v>
      </c>
      <c r="C247" t="s">
        <v>45</v>
      </c>
      <c r="D247" t="s">
        <v>35</v>
      </c>
      <c r="E247" t="s">
        <v>49</v>
      </c>
      <c r="F247" t="s">
        <v>19</v>
      </c>
      <c r="G247" t="s">
        <v>20</v>
      </c>
      <c r="H247" t="s">
        <v>21</v>
      </c>
      <c r="I247" t="s">
        <v>85</v>
      </c>
      <c r="J247" t="s">
        <v>23</v>
      </c>
      <c r="K247">
        <v>4305</v>
      </c>
      <c r="L247" s="4">
        <v>122.08501510000001</v>
      </c>
      <c r="M247" s="4">
        <v>2995.8532036150573</v>
      </c>
      <c r="N247" s="4">
        <v>-3063.9263607322541</v>
      </c>
      <c r="O247" s="1" t="str">
        <f>HYPERLINK(".\sm_car_250420_1604\sm_car_250420_1604_246_Ca170TrN_MaCNF_ode23t_1.png","figure")</f>
        <v>figure</v>
      </c>
      <c r="P247" t="s">
        <v>15</v>
      </c>
    </row>
    <row r="248" spans="1:16" x14ac:dyDescent="0.25">
      <c r="A248">
        <v>247</v>
      </c>
      <c r="B248">
        <v>170</v>
      </c>
      <c r="C248" t="s">
        <v>45</v>
      </c>
      <c r="D248" t="s">
        <v>35</v>
      </c>
      <c r="E248" t="s">
        <v>49</v>
      </c>
      <c r="F248" t="s">
        <v>19</v>
      </c>
      <c r="G248" t="s">
        <v>20</v>
      </c>
      <c r="H248" t="s">
        <v>21</v>
      </c>
      <c r="I248" t="s">
        <v>86</v>
      </c>
      <c r="J248" t="s">
        <v>23</v>
      </c>
      <c r="K248">
        <v>2919</v>
      </c>
      <c r="L248" s="4">
        <v>26.4097589</v>
      </c>
      <c r="M248" s="4">
        <v>522.30396009609979</v>
      </c>
      <c r="N248" s="4">
        <v>-164.27343685947548</v>
      </c>
      <c r="O248" s="1" t="str">
        <f>HYPERLINK(".\sm_car_250420_1604\sm_car_250420_1604_247_Ca170TrN_MaCSZ_ode23t_1.png","figure")</f>
        <v>figure</v>
      </c>
      <c r="P248" t="s">
        <v>15</v>
      </c>
    </row>
    <row r="249" spans="1:16" x14ac:dyDescent="0.25">
      <c r="A249">
        <v>248</v>
      </c>
      <c r="B249">
        <v>170</v>
      </c>
      <c r="C249" t="s">
        <v>45</v>
      </c>
      <c r="D249" t="s">
        <v>35</v>
      </c>
      <c r="E249" t="s">
        <v>49</v>
      </c>
      <c r="F249" t="s">
        <v>19</v>
      </c>
      <c r="G249" t="s">
        <v>20</v>
      </c>
      <c r="H249" t="s">
        <v>21</v>
      </c>
      <c r="I249" t="s">
        <v>87</v>
      </c>
      <c r="J249" t="s">
        <v>23</v>
      </c>
      <c r="K249">
        <v>5668</v>
      </c>
      <c r="L249" s="4">
        <v>158.1700706</v>
      </c>
      <c r="M249" s="4">
        <v>-8.9470526354580855</v>
      </c>
      <c r="N249" s="4">
        <v>9.8149346097809384E-3</v>
      </c>
      <c r="O249" s="1" t="str">
        <f>HYPERLINK(".\sm_car_250420_1604\sm_car_250420_1604_248_Ca170TrN_MaCSF_ode23t_1.png","figure")</f>
        <v>figure</v>
      </c>
      <c r="P249" t="s">
        <v>15</v>
      </c>
    </row>
    <row r="250" spans="1:16" x14ac:dyDescent="0.25">
      <c r="A250">
        <v>249</v>
      </c>
      <c r="B250">
        <v>170</v>
      </c>
      <c r="C250" t="s">
        <v>45</v>
      </c>
      <c r="D250" t="s">
        <v>35</v>
      </c>
      <c r="E250" t="s">
        <v>49</v>
      </c>
      <c r="F250" t="s">
        <v>19</v>
      </c>
      <c r="G250" t="s">
        <v>20</v>
      </c>
      <c r="H250" t="s">
        <v>21</v>
      </c>
      <c r="I250" t="s">
        <v>88</v>
      </c>
      <c r="J250" t="s">
        <v>23</v>
      </c>
      <c r="K250">
        <v>2233</v>
      </c>
      <c r="L250" s="4">
        <v>29.443416599999999</v>
      </c>
      <c r="M250" s="4">
        <v>208.95266883741877</v>
      </c>
      <c r="N250" s="4">
        <v>379.2073373702442</v>
      </c>
      <c r="O250" s="1" t="str">
        <f>HYPERLINK(".\sm_car_250420_1604\sm_car_250420_1604_249_Ca170TrN_MaCPU_ode23t_1.png","figure")</f>
        <v>figure</v>
      </c>
      <c r="P250" t="s">
        <v>15</v>
      </c>
    </row>
    <row r="251" spans="1:16" x14ac:dyDescent="0.25">
      <c r="A251">
        <v>250</v>
      </c>
      <c r="B251">
        <v>170</v>
      </c>
      <c r="C251" t="s">
        <v>45</v>
      </c>
      <c r="D251" t="s">
        <v>35</v>
      </c>
      <c r="E251" t="s">
        <v>49</v>
      </c>
      <c r="F251" t="s">
        <v>19</v>
      </c>
      <c r="G251" t="s">
        <v>20</v>
      </c>
      <c r="H251" t="s">
        <v>21</v>
      </c>
      <c r="I251" t="s">
        <v>89</v>
      </c>
      <c r="J251" t="s">
        <v>23</v>
      </c>
      <c r="K251">
        <v>2599</v>
      </c>
      <c r="L251" s="4">
        <v>32.682023299999997</v>
      </c>
      <c r="M251" s="4">
        <v>183.04727089513767</v>
      </c>
      <c r="N251" s="4">
        <v>-170.21970997256176</v>
      </c>
      <c r="O251" s="1" t="str">
        <f>HYPERLINK(".\sm_car_250420_1604\sm_car_250420_1604_250_Ca170TrN_MaCPD_ode23t_1.png","figure")</f>
        <v>figure</v>
      </c>
      <c r="P251" t="s">
        <v>15</v>
      </c>
    </row>
    <row r="252" spans="1:16" x14ac:dyDescent="0.25">
      <c r="A252">
        <v>251</v>
      </c>
      <c r="B252">
        <v>202</v>
      </c>
      <c r="C252" t="s">
        <v>45</v>
      </c>
      <c r="D252" t="s">
        <v>35</v>
      </c>
      <c r="E252" t="s">
        <v>108</v>
      </c>
      <c r="F252" t="s">
        <v>19</v>
      </c>
      <c r="G252" t="s">
        <v>20</v>
      </c>
      <c r="H252" t="s">
        <v>21</v>
      </c>
      <c r="I252" t="s">
        <v>79</v>
      </c>
      <c r="J252" t="s">
        <v>23</v>
      </c>
      <c r="K252">
        <v>1831</v>
      </c>
      <c r="L252" s="4">
        <v>8.4593851999999998</v>
      </c>
      <c r="M252" s="4">
        <v>-5.9989265300601984</v>
      </c>
      <c r="N252" s="4">
        <v>2.8288104373760006E-3</v>
      </c>
      <c r="O252" s="1" t="str">
        <f>HYPERLINK(".\sm_car_250420_1604\sm_car_250420_1604_251_Ca202TrN_MaCMF_ode23t_1.png","figure")</f>
        <v>figure</v>
      </c>
      <c r="P252" t="s">
        <v>15</v>
      </c>
    </row>
    <row r="253" spans="1:16" x14ac:dyDescent="0.25">
      <c r="A253">
        <v>252</v>
      </c>
      <c r="B253">
        <v>202</v>
      </c>
      <c r="C253" t="s">
        <v>45</v>
      </c>
      <c r="D253" t="s">
        <v>35</v>
      </c>
      <c r="E253" t="s">
        <v>108</v>
      </c>
      <c r="F253" t="s">
        <v>19</v>
      </c>
      <c r="G253" t="s">
        <v>20</v>
      </c>
      <c r="H253" t="s">
        <v>21</v>
      </c>
      <c r="I253" t="s">
        <v>80</v>
      </c>
      <c r="J253" t="s">
        <v>23</v>
      </c>
      <c r="K253">
        <v>4498</v>
      </c>
      <c r="L253" s="4">
        <v>42.032644699999999</v>
      </c>
      <c r="M253" s="4">
        <v>-329.50666288967545</v>
      </c>
      <c r="N253" s="4">
        <v>6.0551577758094757</v>
      </c>
      <c r="O253" s="1" t="str">
        <f>HYPERLINK(".\sm_car_250420_1604\sm_car_250420_1604_252_Ca202TrN_MaMPO_ode23t_1.png","figure")</f>
        <v>figure</v>
      </c>
      <c r="P253" t="s">
        <v>15</v>
      </c>
    </row>
    <row r="254" spans="1:16" x14ac:dyDescent="0.25">
      <c r="A254">
        <v>253</v>
      </c>
      <c r="B254">
        <v>202</v>
      </c>
      <c r="C254" t="s">
        <v>45</v>
      </c>
      <c r="D254" t="s">
        <v>35</v>
      </c>
      <c r="E254" t="s">
        <v>108</v>
      </c>
      <c r="F254" t="s">
        <v>19</v>
      </c>
      <c r="G254" t="s">
        <v>20</v>
      </c>
      <c r="H254" t="s">
        <v>21</v>
      </c>
      <c r="I254" t="s">
        <v>81</v>
      </c>
      <c r="J254" t="s">
        <v>23</v>
      </c>
      <c r="K254">
        <v>1193</v>
      </c>
      <c r="L254" s="4">
        <v>12.0641167</v>
      </c>
      <c r="M254" s="4">
        <v>-13.89809640396814</v>
      </c>
      <c r="N254" s="4">
        <v>0.20730579332405341</v>
      </c>
      <c r="O254" s="1" t="str">
        <f>HYPERLINK(".\sm_car_250420_1604\sm_car_250420_1604_253_Ca202TrN_MaMCI_ode23t_1.png","figure")</f>
        <v>figure</v>
      </c>
      <c r="P254" t="s">
        <v>15</v>
      </c>
    </row>
    <row r="255" spans="1:16" x14ac:dyDescent="0.25">
      <c r="A255">
        <v>254</v>
      </c>
      <c r="B255">
        <v>202</v>
      </c>
      <c r="C255" t="s">
        <v>45</v>
      </c>
      <c r="D255" t="s">
        <v>35</v>
      </c>
      <c r="E255" t="s">
        <v>108</v>
      </c>
      <c r="F255" t="s">
        <v>19</v>
      </c>
      <c r="G255" t="s">
        <v>20</v>
      </c>
      <c r="H255" t="s">
        <v>21</v>
      </c>
      <c r="I255" t="s">
        <v>83</v>
      </c>
      <c r="J255" t="s">
        <v>23</v>
      </c>
      <c r="K255">
        <v>3633</v>
      </c>
      <c r="L255" s="4">
        <v>18.445220899999999</v>
      </c>
      <c r="M255" s="4">
        <v>-5.9975861128505139</v>
      </c>
      <c r="N255" s="4">
        <v>-7.1874662090085639E-3</v>
      </c>
      <c r="O255" s="1" t="str">
        <f>HYPERLINK(".\sm_car_250420_1604\sm_car_250420_1604_254_Ca202TrN_MaCKF_ode23t_1.png","figure")</f>
        <v>figure</v>
      </c>
      <c r="P255" t="s">
        <v>15</v>
      </c>
    </row>
    <row r="256" spans="1:16" x14ac:dyDescent="0.25">
      <c r="A256">
        <v>255</v>
      </c>
      <c r="B256">
        <v>202</v>
      </c>
      <c r="C256" t="s">
        <v>45</v>
      </c>
      <c r="D256" t="s">
        <v>35</v>
      </c>
      <c r="E256" t="s">
        <v>108</v>
      </c>
      <c r="F256" t="s">
        <v>19</v>
      </c>
      <c r="G256" t="s">
        <v>20</v>
      </c>
      <c r="H256" t="s">
        <v>21</v>
      </c>
      <c r="I256" t="s">
        <v>85</v>
      </c>
      <c r="J256" t="s">
        <v>23</v>
      </c>
      <c r="K256">
        <v>10295</v>
      </c>
      <c r="L256" s="4">
        <v>198.21596450000001</v>
      </c>
      <c r="M256" s="4">
        <v>-8.9989822073632126</v>
      </c>
      <c r="N256" s="4">
        <v>4.7303891516918613E-2</v>
      </c>
      <c r="O256" s="1" t="str">
        <f>HYPERLINK(".\sm_car_250420_1604\sm_car_250420_1604_255_Ca202TrN_MaCNF_ode23t_1.png","figure")</f>
        <v>figure</v>
      </c>
      <c r="P256" t="s">
        <v>15</v>
      </c>
    </row>
    <row r="257" spans="1:16" x14ac:dyDescent="0.25">
      <c r="A257">
        <v>256</v>
      </c>
      <c r="B257">
        <v>202</v>
      </c>
      <c r="C257" t="s">
        <v>45</v>
      </c>
      <c r="D257" t="s">
        <v>35</v>
      </c>
      <c r="E257" t="s">
        <v>108</v>
      </c>
      <c r="F257" t="s">
        <v>19</v>
      </c>
      <c r="G257" t="s">
        <v>20</v>
      </c>
      <c r="H257" t="s">
        <v>21</v>
      </c>
      <c r="I257" t="s">
        <v>87</v>
      </c>
      <c r="J257" t="s">
        <v>23</v>
      </c>
      <c r="K257">
        <v>5695</v>
      </c>
      <c r="L257" s="4">
        <v>92.8292979</v>
      </c>
      <c r="M257" s="4">
        <v>-8.8871582625680556</v>
      </c>
      <c r="N257" s="4">
        <v>9.2839723874413929E-3</v>
      </c>
      <c r="O257" s="1" t="str">
        <f>HYPERLINK(".\sm_car_250420_1604\sm_car_250420_1604_256_Ca202TrN_MaCSF_ode23t_1.png","figure")</f>
        <v>figure</v>
      </c>
      <c r="P257" t="s">
        <v>15</v>
      </c>
    </row>
    <row r="258" spans="1:16" x14ac:dyDescent="0.25">
      <c r="A258">
        <v>257</v>
      </c>
      <c r="B258">
        <v>202</v>
      </c>
      <c r="C258" t="s">
        <v>45</v>
      </c>
      <c r="D258" t="s">
        <v>35</v>
      </c>
      <c r="E258" t="s">
        <v>108</v>
      </c>
      <c r="F258" t="s">
        <v>19</v>
      </c>
      <c r="G258" t="s">
        <v>20</v>
      </c>
      <c r="H258" t="s">
        <v>21</v>
      </c>
      <c r="I258" t="s">
        <v>78</v>
      </c>
      <c r="J258" t="s">
        <v>23</v>
      </c>
      <c r="K258">
        <v>5245</v>
      </c>
      <c r="L258" s="4">
        <v>36.555410500000001</v>
      </c>
      <c r="M258" s="4">
        <v>-5.9995725542407454</v>
      </c>
      <c r="N258" s="4">
        <v>2.8865060481442452E-3</v>
      </c>
      <c r="O258" s="1" t="str">
        <f>HYPERLINK(".\sm_car_250420_1604\sm_car_250420_1604_257_Ca202TrN_MaCMP_ode23t_1.png","figure")</f>
        <v>figure</v>
      </c>
      <c r="P258" t="s">
        <v>15</v>
      </c>
    </row>
    <row r="259" spans="1:16" x14ac:dyDescent="0.25">
      <c r="A259">
        <v>258</v>
      </c>
      <c r="B259">
        <v>202</v>
      </c>
      <c r="C259" t="s">
        <v>45</v>
      </c>
      <c r="D259" t="s">
        <v>35</v>
      </c>
      <c r="E259" t="s">
        <v>108</v>
      </c>
      <c r="F259" t="s">
        <v>19</v>
      </c>
      <c r="G259" t="s">
        <v>20</v>
      </c>
      <c r="H259" t="s">
        <v>21</v>
      </c>
      <c r="I259" t="s">
        <v>82</v>
      </c>
      <c r="J259" t="s">
        <v>23</v>
      </c>
      <c r="K259">
        <v>14993</v>
      </c>
      <c r="L259" s="4">
        <v>103.03451750000001</v>
      </c>
      <c r="M259" s="4">
        <v>-5.9980890580618267</v>
      </c>
      <c r="N259" s="4">
        <v>-8.8672552787672724E-3</v>
      </c>
      <c r="O259" s="1" t="str">
        <f>HYPERLINK(".\sm_car_250420_1604\sm_car_250420_1604_258_Ca202TrN_MaCKY_ode23t_1.png","figure")</f>
        <v>figure</v>
      </c>
      <c r="P259" t="s">
        <v>15</v>
      </c>
    </row>
    <row r="260" spans="1:16" x14ac:dyDescent="0.25">
      <c r="A260">
        <v>259</v>
      </c>
      <c r="B260">
        <v>202</v>
      </c>
      <c r="C260" t="s">
        <v>45</v>
      </c>
      <c r="D260" t="s">
        <v>35</v>
      </c>
      <c r="E260" t="s">
        <v>108</v>
      </c>
      <c r="F260" t="s">
        <v>19</v>
      </c>
      <c r="G260" t="s">
        <v>20</v>
      </c>
      <c r="H260" t="s">
        <v>21</v>
      </c>
      <c r="I260" t="s">
        <v>75</v>
      </c>
      <c r="J260" t="s">
        <v>23</v>
      </c>
      <c r="K260">
        <v>457</v>
      </c>
      <c r="L260" s="4">
        <v>4.5745687999999998</v>
      </c>
      <c r="M260" s="4">
        <v>381.37085002295544</v>
      </c>
      <c r="N260" s="4">
        <v>0.32874686412208876</v>
      </c>
      <c r="O260" s="1" t="str">
        <f>HYPERLINK(".\sm_car_250420_1604\sm_car_250420_1604_259_Ca202TrN_MaCPL_ode23t_1.png","figure")</f>
        <v>figure</v>
      </c>
      <c r="P260" t="s">
        <v>15</v>
      </c>
    </row>
    <row r="261" spans="1:16" x14ac:dyDescent="0.25">
      <c r="A261">
        <v>260</v>
      </c>
      <c r="B261">
        <v>140</v>
      </c>
      <c r="C261" t="s">
        <v>45</v>
      </c>
      <c r="D261" t="s">
        <v>17</v>
      </c>
      <c r="E261" t="s">
        <v>49</v>
      </c>
      <c r="F261" t="s">
        <v>19</v>
      </c>
      <c r="G261" t="s">
        <v>26</v>
      </c>
      <c r="H261" t="s">
        <v>21</v>
      </c>
      <c r="I261" t="s">
        <v>113</v>
      </c>
      <c r="J261" t="s">
        <v>23</v>
      </c>
      <c r="K261">
        <v>2732</v>
      </c>
      <c r="L261" s="4">
        <v>72.622194300000004</v>
      </c>
      <c r="M261" s="4">
        <v>176.28155875832888</v>
      </c>
      <c r="N261" s="4">
        <v>7.2208190920120408E-4</v>
      </c>
      <c r="O261" s="1" t="str">
        <f>HYPERLINK(".\sm_car_250420_1604\sm_car_250420_1604_260_Ca140TrN_MaCRR_ode23t_1.png","figure")</f>
        <v>figure</v>
      </c>
      <c r="P261" t="s">
        <v>15</v>
      </c>
    </row>
    <row r="262" spans="1:16" x14ac:dyDescent="0.25">
      <c r="A262">
        <v>261</v>
      </c>
      <c r="B262">
        <v>189</v>
      </c>
      <c r="C262" t="s">
        <v>45</v>
      </c>
      <c r="D262" t="s">
        <v>17</v>
      </c>
      <c r="E262" t="s">
        <v>108</v>
      </c>
      <c r="F262" t="s">
        <v>19</v>
      </c>
      <c r="G262" t="s">
        <v>26</v>
      </c>
      <c r="H262" t="s">
        <v>21</v>
      </c>
      <c r="I262" t="s">
        <v>113</v>
      </c>
      <c r="J262" t="s">
        <v>23</v>
      </c>
      <c r="K262">
        <v>3356</v>
      </c>
      <c r="L262" s="4">
        <v>74.107155000000006</v>
      </c>
      <c r="M262" s="4">
        <v>176.34103484237312</v>
      </c>
      <c r="N262" s="4">
        <v>7.5022087874927854E-4</v>
      </c>
      <c r="O262" s="1" t="str">
        <f>HYPERLINK(".\sm_car_250420_1604\sm_car_250420_1604_261_Ca189TrN_MaCRR_ode23t_1.png","figure")</f>
        <v>figure</v>
      </c>
      <c r="P262" t="s">
        <v>15</v>
      </c>
    </row>
    <row r="263" spans="1:16" x14ac:dyDescent="0.25">
      <c r="A263">
        <v>262</v>
      </c>
      <c r="B263">
        <v>173</v>
      </c>
      <c r="C263" t="s">
        <v>45</v>
      </c>
      <c r="D263" t="s">
        <v>35</v>
      </c>
      <c r="E263" t="s">
        <v>49</v>
      </c>
      <c r="F263" t="s">
        <v>19</v>
      </c>
      <c r="G263" t="s">
        <v>90</v>
      </c>
      <c r="H263" t="s">
        <v>21</v>
      </c>
      <c r="I263" t="s">
        <v>91</v>
      </c>
      <c r="J263" t="s">
        <v>92</v>
      </c>
      <c r="K263">
        <v>1599</v>
      </c>
      <c r="L263" s="4">
        <v>109.8346081</v>
      </c>
      <c r="M263" s="4">
        <v>51.29930070954434</v>
      </c>
      <c r="N263" s="4">
        <v>9.0082664328320072E-3</v>
      </c>
      <c r="O263" s="1" t="str">
        <f>HYPERLINK(".\sm_car_250420_1604\sm_car_250420_1604_262_Ca173TrN_MaDCA_daessc_1.png","figure")</f>
        <v>figure</v>
      </c>
      <c r="P263" t="s">
        <v>15</v>
      </c>
    </row>
    <row r="264" spans="1:16" x14ac:dyDescent="0.25">
      <c r="A264">
        <v>263</v>
      </c>
      <c r="B264">
        <v>173</v>
      </c>
      <c r="C264" t="s">
        <v>45</v>
      </c>
      <c r="D264" t="s">
        <v>35</v>
      </c>
      <c r="E264" t="s">
        <v>49</v>
      </c>
      <c r="F264" t="s">
        <v>19</v>
      </c>
      <c r="G264" t="s">
        <v>90</v>
      </c>
      <c r="H264" t="s">
        <v>21</v>
      </c>
      <c r="I264" t="s">
        <v>93</v>
      </c>
      <c r="J264" t="s">
        <v>92</v>
      </c>
      <c r="K264">
        <v>4040</v>
      </c>
      <c r="L264" s="4">
        <v>166.32299829999999</v>
      </c>
      <c r="M264" s="4">
        <v>980.46835231214538</v>
      </c>
      <c r="N264" s="4">
        <v>0.72248013746835849</v>
      </c>
      <c r="O264" s="1" t="str">
        <f>HYPERLINK(".\sm_car_250420_1604\sm_car_250420_1604_263_Ca173TrN_MaDC1_daessc_1.png","figure")</f>
        <v>figure</v>
      </c>
      <c r="P264" t="s">
        <v>15</v>
      </c>
    </row>
    <row r="265" spans="1:16" x14ac:dyDescent="0.25">
      <c r="A265">
        <v>264</v>
      </c>
      <c r="B265">
        <v>165</v>
      </c>
      <c r="C265" t="s">
        <v>45</v>
      </c>
      <c r="D265" t="s">
        <v>35</v>
      </c>
      <c r="E265" t="s">
        <v>49</v>
      </c>
      <c r="F265" t="s">
        <v>19</v>
      </c>
      <c r="G265" t="s">
        <v>26</v>
      </c>
      <c r="H265" t="s">
        <v>21</v>
      </c>
      <c r="I265" t="s">
        <v>91</v>
      </c>
      <c r="J265" t="s">
        <v>23</v>
      </c>
      <c r="K265">
        <v>323</v>
      </c>
      <c r="L265" s="4">
        <v>5.5252112999999996</v>
      </c>
      <c r="M265" s="4">
        <v>53.509370062741581</v>
      </c>
      <c r="N265" s="4">
        <v>9.8722574662738535E-3</v>
      </c>
      <c r="O265" s="1" t="str">
        <f>HYPERLINK(".\sm_car_250420_1604\sm_car_250420_1604_264_Ca165TrN_MaDCA_ode23t_1.png","figure")</f>
        <v>figure</v>
      </c>
      <c r="P265" t="s">
        <v>15</v>
      </c>
    </row>
    <row r="266" spans="1:16" x14ac:dyDescent="0.25">
      <c r="A266">
        <v>265</v>
      </c>
      <c r="B266">
        <v>165</v>
      </c>
      <c r="C266" t="s">
        <v>45</v>
      </c>
      <c r="D266" t="s">
        <v>35</v>
      </c>
      <c r="E266" t="s">
        <v>49</v>
      </c>
      <c r="F266" t="s">
        <v>19</v>
      </c>
      <c r="G266" t="s">
        <v>26</v>
      </c>
      <c r="H266" t="s">
        <v>21</v>
      </c>
      <c r="I266" t="s">
        <v>93</v>
      </c>
      <c r="J266" t="s">
        <v>23</v>
      </c>
      <c r="K266">
        <v>1194</v>
      </c>
      <c r="L266" s="4">
        <v>14.915140600000001</v>
      </c>
      <c r="M266" s="4">
        <v>992.65424839007846</v>
      </c>
      <c r="N266" s="4">
        <v>0.78838705234437167</v>
      </c>
      <c r="O266" s="1" t="str">
        <f>HYPERLINK(".\sm_car_250420_1604\sm_car_250420_1604_265_Ca165TrN_MaDC1_ode23t_1.png","figure")</f>
        <v>figure</v>
      </c>
      <c r="P266" t="s">
        <v>15</v>
      </c>
    </row>
    <row r="267" spans="1:16" x14ac:dyDescent="0.25">
      <c r="A267">
        <v>266</v>
      </c>
      <c r="B267">
        <v>196</v>
      </c>
      <c r="C267" t="s">
        <v>45</v>
      </c>
      <c r="D267" t="s">
        <v>35</v>
      </c>
      <c r="E267" t="s">
        <v>108</v>
      </c>
      <c r="F267" t="s">
        <v>19</v>
      </c>
      <c r="G267" t="s">
        <v>90</v>
      </c>
      <c r="H267" t="s">
        <v>21</v>
      </c>
      <c r="I267" t="s">
        <v>93</v>
      </c>
      <c r="J267" t="s">
        <v>92</v>
      </c>
      <c r="K267">
        <v>4236</v>
      </c>
      <c r="L267" s="4">
        <v>99.955064399999998</v>
      </c>
      <c r="M267" s="4">
        <v>980.4625848793753</v>
      </c>
      <c r="N267" s="4">
        <v>0.72247303155236331</v>
      </c>
      <c r="O267" s="1" t="str">
        <f>HYPERLINK(".\sm_car_250420_1604\sm_car_250420_1604_266_Ca196TrN_MaDC1_daessc_1.png","figure")</f>
        <v>figure</v>
      </c>
      <c r="P267" t="s">
        <v>15</v>
      </c>
    </row>
    <row r="268" spans="1:16" x14ac:dyDescent="0.25">
      <c r="A268">
        <v>267</v>
      </c>
      <c r="B268">
        <v>179</v>
      </c>
      <c r="C268" t="s">
        <v>45</v>
      </c>
      <c r="D268" t="s">
        <v>57</v>
      </c>
      <c r="E268" t="s">
        <v>18</v>
      </c>
      <c r="F268" t="s">
        <v>19</v>
      </c>
      <c r="G268" t="s">
        <v>26</v>
      </c>
      <c r="H268" t="s">
        <v>21</v>
      </c>
      <c r="I268" t="s">
        <v>22</v>
      </c>
      <c r="J268" t="s">
        <v>23</v>
      </c>
      <c r="K268">
        <v>472</v>
      </c>
      <c r="L268" s="4">
        <v>7.5109617000000002</v>
      </c>
      <c r="M268" s="4">
        <v>147.84565738972231</v>
      </c>
      <c r="N268" s="4">
        <v>9.4833420754766459E-2</v>
      </c>
      <c r="O268" s="1" t="str">
        <f>HYPERLINK(".\sm_car_250420_1604\sm_car_250420_1604_267_Ca179TrN_MaWOT_ode23t_1.png","figure")</f>
        <v>figure</v>
      </c>
      <c r="P268" t="s">
        <v>15</v>
      </c>
    </row>
    <row r="269" spans="1:16" x14ac:dyDescent="0.25">
      <c r="A269">
        <v>268</v>
      </c>
      <c r="B269">
        <v>180</v>
      </c>
      <c r="C269" t="s">
        <v>45</v>
      </c>
      <c r="D269" t="s">
        <v>57</v>
      </c>
      <c r="E269" t="s">
        <v>49</v>
      </c>
      <c r="F269" t="s">
        <v>19</v>
      </c>
      <c r="G269" t="s">
        <v>26</v>
      </c>
      <c r="H269" t="s">
        <v>21</v>
      </c>
      <c r="I269" t="s">
        <v>22</v>
      </c>
      <c r="J269" t="s">
        <v>23</v>
      </c>
      <c r="K269">
        <v>514</v>
      </c>
      <c r="L269" s="4">
        <v>10.983789700000001</v>
      </c>
      <c r="M269" s="4">
        <v>147.86643390954956</v>
      </c>
      <c r="N269" s="4">
        <v>9.4567081707294373E-2</v>
      </c>
      <c r="O269" s="1" t="str">
        <f>HYPERLINK(".\sm_car_250420_1604\sm_car_250420_1604_268_Ca180TrN_MaWOT_ode23t_1.png","figure")</f>
        <v>figure</v>
      </c>
      <c r="P269" t="s">
        <v>15</v>
      </c>
    </row>
    <row r="270" spans="1:16" x14ac:dyDescent="0.25">
      <c r="A270">
        <v>269</v>
      </c>
      <c r="B270">
        <v>197</v>
      </c>
      <c r="C270" t="s">
        <v>45</v>
      </c>
      <c r="D270" t="s">
        <v>57</v>
      </c>
      <c r="E270" t="s">
        <v>108</v>
      </c>
      <c r="F270" t="s">
        <v>19</v>
      </c>
      <c r="G270" t="s">
        <v>26</v>
      </c>
      <c r="H270" t="s">
        <v>21</v>
      </c>
      <c r="I270" t="s">
        <v>22</v>
      </c>
      <c r="J270" t="s">
        <v>23</v>
      </c>
      <c r="K270">
        <v>467</v>
      </c>
      <c r="L270" s="4">
        <v>3.0789768999999998</v>
      </c>
      <c r="M270" s="4">
        <v>147.86101029428315</v>
      </c>
      <c r="N270" s="4">
        <v>9.4521752788593025E-2</v>
      </c>
      <c r="O270" s="1" t="str">
        <f>HYPERLINK(".\sm_car_250420_1604\sm_car_250420_1604_269_Ca197TrN_MaWOT_ode23t_1.png","figure")</f>
        <v>figure</v>
      </c>
      <c r="P270" t="s">
        <v>15</v>
      </c>
    </row>
    <row r="271" spans="1:16" x14ac:dyDescent="0.25">
      <c r="A271">
        <v>270</v>
      </c>
      <c r="B271">
        <v>182</v>
      </c>
      <c r="C271" t="s">
        <v>45</v>
      </c>
      <c r="D271" t="s">
        <v>17</v>
      </c>
      <c r="E271" t="s">
        <v>49</v>
      </c>
      <c r="F271" t="s">
        <v>19</v>
      </c>
      <c r="G271" t="s">
        <v>26</v>
      </c>
      <c r="H271" t="s">
        <v>21</v>
      </c>
      <c r="I271" t="s">
        <v>64</v>
      </c>
      <c r="J271" t="s">
        <v>23</v>
      </c>
      <c r="K271">
        <v>420</v>
      </c>
      <c r="L271" s="4">
        <v>20.674203899999998</v>
      </c>
      <c r="M271" s="4">
        <v>62.247343367174878</v>
      </c>
      <c r="N271" s="4">
        <v>-24.541954766763507</v>
      </c>
      <c r="O271" s="1" t="str">
        <f>HYPERLINK(".\sm_car_250420_1604\sm_car_250420_1604_270_Ca182TrN_MaTUR_ode23t_1.png","figure")</f>
        <v>figure</v>
      </c>
      <c r="P271" t="s">
        <v>15</v>
      </c>
    </row>
    <row r="272" spans="1:16" x14ac:dyDescent="0.25">
      <c r="A272">
        <v>271</v>
      </c>
      <c r="B272">
        <v>203</v>
      </c>
      <c r="C272" t="s">
        <v>45</v>
      </c>
      <c r="D272" t="s">
        <v>17</v>
      </c>
      <c r="E272" t="s">
        <v>108</v>
      </c>
      <c r="F272" t="s">
        <v>19</v>
      </c>
      <c r="G272" t="s">
        <v>26</v>
      </c>
      <c r="H272" t="s">
        <v>21</v>
      </c>
      <c r="I272" t="s">
        <v>64</v>
      </c>
      <c r="J272" t="s">
        <v>23</v>
      </c>
      <c r="K272">
        <v>371</v>
      </c>
      <c r="L272" s="4">
        <v>7.4398201000000004</v>
      </c>
      <c r="M272" s="4">
        <v>62.260586909732069</v>
      </c>
      <c r="N272" s="4">
        <v>-24.563578735102226</v>
      </c>
      <c r="O272" s="1" t="str">
        <f>HYPERLINK(".\sm_car_250420_1604\sm_car_250420_1604_271_Ca203TrN_MaTUR_ode23t_1.png","figure")</f>
        <v>figure</v>
      </c>
      <c r="P272" t="s">
        <v>15</v>
      </c>
    </row>
    <row r="273" spans="1:16" x14ac:dyDescent="0.25">
      <c r="A273">
        <v>272</v>
      </c>
      <c r="B273">
        <v>185</v>
      </c>
      <c r="C273" t="s">
        <v>45</v>
      </c>
      <c r="D273" t="s">
        <v>17</v>
      </c>
      <c r="E273" t="s">
        <v>18</v>
      </c>
      <c r="F273" t="s">
        <v>19</v>
      </c>
      <c r="G273" t="s">
        <v>26</v>
      </c>
      <c r="H273" t="s">
        <v>21</v>
      </c>
      <c r="I273" t="s">
        <v>64</v>
      </c>
      <c r="J273" t="s">
        <v>23</v>
      </c>
      <c r="K273">
        <v>526</v>
      </c>
      <c r="L273" s="4">
        <v>31.784053700000001</v>
      </c>
      <c r="M273" s="4">
        <v>112.7133922313664</v>
      </c>
      <c r="N273" s="4">
        <v>-79.25098890967945</v>
      </c>
      <c r="O273" s="1" t="str">
        <f>HYPERLINK(".\sm_car_250420_1604\sm_car_250420_1604_272_Ca185TrN_MaTUR_ode23t_1.png","figure")</f>
        <v>figure</v>
      </c>
      <c r="P273" t="s">
        <v>15</v>
      </c>
    </row>
    <row r="274" spans="1:16" x14ac:dyDescent="0.25">
      <c r="A274">
        <v>273</v>
      </c>
      <c r="B274">
        <v>188</v>
      </c>
      <c r="C274" t="s">
        <v>45</v>
      </c>
      <c r="D274" t="s">
        <v>114</v>
      </c>
      <c r="E274" t="s">
        <v>49</v>
      </c>
      <c r="F274" t="s">
        <v>19</v>
      </c>
      <c r="G274" t="s">
        <v>26</v>
      </c>
      <c r="H274" t="s">
        <v>21</v>
      </c>
      <c r="I274" t="s">
        <v>64</v>
      </c>
      <c r="J274" t="s">
        <v>23</v>
      </c>
      <c r="K274">
        <v>541</v>
      </c>
      <c r="L274" s="4">
        <v>11.3585619</v>
      </c>
      <c r="M274" s="4">
        <v>140.64439917310008</v>
      </c>
      <c r="N274" s="4">
        <v>-71.767191894251368</v>
      </c>
      <c r="O274" s="1" t="str">
        <f>HYPERLINK(".\sm_car_250420_1604\sm_car_250420_1604_273_Ca188TrN_MaTUR_ode23t_1.png","figure")</f>
        <v>figure</v>
      </c>
      <c r="P274" t="s">
        <v>15</v>
      </c>
    </row>
    <row r="275" spans="1:16" x14ac:dyDescent="0.25">
      <c r="A275">
        <v>274</v>
      </c>
      <c r="B275" t="s">
        <v>94</v>
      </c>
      <c r="C275" t="s">
        <v>95</v>
      </c>
      <c r="D275" t="s">
        <v>35</v>
      </c>
      <c r="E275" t="s">
        <v>18</v>
      </c>
      <c r="F275" t="s">
        <v>19</v>
      </c>
      <c r="G275" t="s">
        <v>96</v>
      </c>
      <c r="H275" t="s">
        <v>21</v>
      </c>
      <c r="I275" t="s">
        <v>22</v>
      </c>
      <c r="J275" t="s">
        <v>23</v>
      </c>
      <c r="K275">
        <v>453</v>
      </c>
      <c r="L275" s="4">
        <v>22.9680325</v>
      </c>
      <c r="M275" s="4">
        <v>79.191403342521781</v>
      </c>
      <c r="N275" s="4">
        <v>-0.33364204715638829</v>
      </c>
      <c r="O275" s="1" t="str">
        <f>HYPERLINK(".\sm_car_250420_1604\sm_car_Axle3_250420_1604_274_CaAxle3_000TrN_MaWOT_ode23t_1.png","figure")</f>
        <v>figure</v>
      </c>
      <c r="P275" t="s">
        <v>15</v>
      </c>
    </row>
    <row r="276" spans="1:16" x14ac:dyDescent="0.25">
      <c r="A276">
        <v>275</v>
      </c>
      <c r="B276" t="s">
        <v>99</v>
      </c>
      <c r="C276" t="s">
        <v>100</v>
      </c>
      <c r="D276" t="s">
        <v>35</v>
      </c>
      <c r="E276" t="s">
        <v>18</v>
      </c>
      <c r="F276" t="s">
        <v>19</v>
      </c>
      <c r="G276" t="s">
        <v>96</v>
      </c>
      <c r="H276" t="s">
        <v>21</v>
      </c>
      <c r="I276" t="s">
        <v>22</v>
      </c>
      <c r="J276" t="s">
        <v>23</v>
      </c>
      <c r="K276">
        <v>490</v>
      </c>
      <c r="L276" s="4">
        <v>21.574595599999999</v>
      </c>
      <c r="M276" s="4">
        <v>69.13329697133797</v>
      </c>
      <c r="N276" s="4">
        <v>8.3863063097864898E-2</v>
      </c>
      <c r="O276" s="1" t="str">
        <f>HYPERLINK(".\sm_car_250420_1604\sm_car_Axle3_250420_1604_275_CaAxle3_008TrN_MaWOT_ode23t_1.png","figure")</f>
        <v>figure</v>
      </c>
      <c r="P276" t="s">
        <v>15</v>
      </c>
    </row>
    <row r="277" spans="1:16" x14ac:dyDescent="0.25">
      <c r="A277">
        <v>276</v>
      </c>
      <c r="B277" t="s">
        <v>97</v>
      </c>
      <c r="C277" t="s">
        <v>95</v>
      </c>
      <c r="D277" t="s">
        <v>35</v>
      </c>
      <c r="E277" t="s">
        <v>49</v>
      </c>
      <c r="F277" t="s">
        <v>19</v>
      </c>
      <c r="G277" t="s">
        <v>98</v>
      </c>
      <c r="H277" t="s">
        <v>21</v>
      </c>
      <c r="I277" t="s">
        <v>22</v>
      </c>
      <c r="J277" t="s">
        <v>23</v>
      </c>
      <c r="K277">
        <v>426</v>
      </c>
      <c r="L277" s="4">
        <v>19.437567399999999</v>
      </c>
      <c r="M277" s="4">
        <v>79.26753082601013</v>
      </c>
      <c r="N277" s="4">
        <v>-0.31346583892466412</v>
      </c>
      <c r="O277" s="1" t="str">
        <f>HYPERLINK(".\sm_car_250420_1604\sm_car_Axle3_250420_1604_276_CaAxle3_003TrN_MaWOT_ode23t_1.png","figure")</f>
        <v>figure</v>
      </c>
      <c r="P277" t="s">
        <v>15</v>
      </c>
    </row>
    <row r="278" spans="1:16" x14ac:dyDescent="0.25">
      <c r="A278">
        <v>277</v>
      </c>
      <c r="B278" t="s">
        <v>115</v>
      </c>
      <c r="C278" t="s">
        <v>95</v>
      </c>
      <c r="D278" t="s">
        <v>35</v>
      </c>
      <c r="E278" t="s">
        <v>108</v>
      </c>
      <c r="F278" t="s">
        <v>19</v>
      </c>
      <c r="G278" t="s">
        <v>98</v>
      </c>
      <c r="H278" t="s">
        <v>21</v>
      </c>
      <c r="I278" t="s">
        <v>22</v>
      </c>
      <c r="J278" t="s">
        <v>23</v>
      </c>
      <c r="K278">
        <v>438</v>
      </c>
      <c r="L278" s="4">
        <v>2.9706988999999999</v>
      </c>
      <c r="M278" s="4">
        <v>80.149536181477046</v>
      </c>
      <c r="N278" s="4">
        <v>-0.31965340500242301</v>
      </c>
      <c r="O278" s="1" t="str">
        <f>HYPERLINK(".\sm_car_250420_1604\sm_car_Axle3_250420_1604_277_CaAxle3_017TrN_MaWOT_ode23t_1.png","figure")</f>
        <v>figure</v>
      </c>
      <c r="P278" t="s">
        <v>15</v>
      </c>
    </row>
    <row r="279" spans="1:16" x14ac:dyDescent="0.25">
      <c r="A279">
        <v>278</v>
      </c>
      <c r="B279" t="s">
        <v>101</v>
      </c>
      <c r="C279" t="s">
        <v>100</v>
      </c>
      <c r="D279" t="s">
        <v>35</v>
      </c>
      <c r="E279" t="s">
        <v>49</v>
      </c>
      <c r="F279" t="s">
        <v>19</v>
      </c>
      <c r="G279" t="s">
        <v>96</v>
      </c>
      <c r="H279" t="s">
        <v>102</v>
      </c>
      <c r="I279" t="s">
        <v>22</v>
      </c>
      <c r="J279" t="s">
        <v>23</v>
      </c>
      <c r="K279">
        <v>380</v>
      </c>
      <c r="L279" s="4">
        <v>46.349350600000001</v>
      </c>
      <c r="M279" s="4">
        <v>23.326491618587372</v>
      </c>
      <c r="N279" s="4">
        <v>2.4826709087205634E-3</v>
      </c>
      <c r="O279" s="1" t="str">
        <f>HYPERLINK(".\sm_car_250420_1604\sm_car_Axle3_250420_1604_278_CaAxle3_010TrK_MaWOT_ode23t_1.png","figure")</f>
        <v>figure</v>
      </c>
      <c r="P279" t="s">
        <v>15</v>
      </c>
    </row>
    <row r="280" spans="1:16" x14ac:dyDescent="0.25">
      <c r="A280">
        <v>279</v>
      </c>
      <c r="B280" t="s">
        <v>101</v>
      </c>
      <c r="C280" t="s">
        <v>100</v>
      </c>
      <c r="D280" t="s">
        <v>35</v>
      </c>
      <c r="E280" t="s">
        <v>49</v>
      </c>
      <c r="F280" t="s">
        <v>19</v>
      </c>
      <c r="G280" t="s">
        <v>96</v>
      </c>
      <c r="H280" t="s">
        <v>102</v>
      </c>
      <c r="I280" t="s">
        <v>22</v>
      </c>
      <c r="J280" t="s">
        <v>23</v>
      </c>
      <c r="K280">
        <v>402</v>
      </c>
      <c r="L280" s="4">
        <v>47.6559794</v>
      </c>
      <c r="M280" s="4">
        <v>23.441148459771718</v>
      </c>
      <c r="N280" s="4">
        <v>2.5318340812336311E-3</v>
      </c>
      <c r="O280" s="1" t="str">
        <f>HYPERLINK(".\sm_car_250420_1604\sm_car_Axle3_250420_1604_279_CaAxle3_010TrK_MaWOT_ode23t_1.png","figure")</f>
        <v>figure</v>
      </c>
      <c r="P280" t="s">
        <v>15</v>
      </c>
    </row>
    <row r="281" spans="1:16" x14ac:dyDescent="0.25">
      <c r="A281">
        <v>280</v>
      </c>
      <c r="B281" t="s">
        <v>116</v>
      </c>
      <c r="C281" t="s">
        <v>100</v>
      </c>
      <c r="D281" t="s">
        <v>35</v>
      </c>
      <c r="E281" t="s">
        <v>108</v>
      </c>
      <c r="F281" t="s">
        <v>19</v>
      </c>
      <c r="G281" t="s">
        <v>96</v>
      </c>
      <c r="H281" t="s">
        <v>102</v>
      </c>
      <c r="I281" t="s">
        <v>22</v>
      </c>
      <c r="J281" t="s">
        <v>23</v>
      </c>
      <c r="K281">
        <v>395</v>
      </c>
      <c r="L281" s="4">
        <v>3.5252878000000001</v>
      </c>
      <c r="M281" s="4">
        <v>26.915019489578448</v>
      </c>
      <c r="N281" s="4">
        <v>3.6189029850846564E-3</v>
      </c>
      <c r="O281" s="1" t="str">
        <f>HYPERLINK(".\sm_car_250420_1604\sm_car_Axle3_250420_1604_280_CaAxle3_019TrK_MaWOT_ode23t_1.png","figure")</f>
        <v>figure</v>
      </c>
      <c r="P281" t="s">
        <v>15</v>
      </c>
    </row>
    <row r="282" spans="1:16" x14ac:dyDescent="0.25">
      <c r="A282">
        <v>281</v>
      </c>
      <c r="B282" t="s">
        <v>116</v>
      </c>
      <c r="C282" t="s">
        <v>100</v>
      </c>
      <c r="D282" t="s">
        <v>35</v>
      </c>
      <c r="E282" t="s">
        <v>108</v>
      </c>
      <c r="F282" t="s">
        <v>19</v>
      </c>
      <c r="G282" t="s">
        <v>96</v>
      </c>
      <c r="H282" t="s">
        <v>102</v>
      </c>
      <c r="I282" t="s">
        <v>22</v>
      </c>
      <c r="J282" t="s">
        <v>23</v>
      </c>
      <c r="K282">
        <v>396</v>
      </c>
      <c r="L282" s="4">
        <v>3.7118484</v>
      </c>
      <c r="M282" s="4">
        <v>26.904162930992729</v>
      </c>
      <c r="N282" s="4">
        <v>3.6114704161807551E-3</v>
      </c>
      <c r="O282" s="1" t="str">
        <f>HYPERLINK(".\sm_car_250420_1604\sm_car_Axle3_250420_1604_281_CaAxle3_019TrK_MaWOT_ode23t_1.png","figure")</f>
        <v>figure</v>
      </c>
      <c r="P282" t="s">
        <v>15</v>
      </c>
    </row>
    <row r="283" spans="1:16" x14ac:dyDescent="0.25">
      <c r="A283">
        <v>282</v>
      </c>
      <c r="B283" t="s">
        <v>103</v>
      </c>
      <c r="C283" t="s">
        <v>100</v>
      </c>
      <c r="D283" t="s">
        <v>35</v>
      </c>
      <c r="E283" t="s">
        <v>18</v>
      </c>
      <c r="F283" t="s">
        <v>19</v>
      </c>
      <c r="G283" t="s">
        <v>104</v>
      </c>
      <c r="H283" t="s">
        <v>102</v>
      </c>
      <c r="I283" t="s">
        <v>53</v>
      </c>
      <c r="J283" t="s">
        <v>23</v>
      </c>
      <c r="K283">
        <v>675</v>
      </c>
      <c r="L283" s="4">
        <v>28.374951899999999</v>
      </c>
      <c r="M283" s="4">
        <v>254.39054169083028</v>
      </c>
      <c r="N283" s="4">
        <v>-0.1016367500820925</v>
      </c>
      <c r="O283" s="1" t="str">
        <f>HYPERLINK(".\sm_car_250420_1604\sm_car_Axle3_250420_1604_282_CaAxle3_012TrK_MaDLC_ode23t_1.png","figure")</f>
        <v>figure</v>
      </c>
      <c r="P283" t="s">
        <v>15</v>
      </c>
    </row>
    <row r="284" spans="1:16" x14ac:dyDescent="0.25">
      <c r="A284">
        <v>283</v>
      </c>
      <c r="B284" t="s">
        <v>103</v>
      </c>
      <c r="C284" t="s">
        <v>100</v>
      </c>
      <c r="D284" t="s">
        <v>35</v>
      </c>
      <c r="E284" t="s">
        <v>18</v>
      </c>
      <c r="F284" t="s">
        <v>19</v>
      </c>
      <c r="G284" t="s">
        <v>104</v>
      </c>
      <c r="H284" t="s">
        <v>102</v>
      </c>
      <c r="I284" t="s">
        <v>53</v>
      </c>
      <c r="J284" t="s">
        <v>23</v>
      </c>
      <c r="K284">
        <v>755</v>
      </c>
      <c r="L284" s="4">
        <v>30.457762299999999</v>
      </c>
      <c r="M284" s="4">
        <v>253.19582329099524</v>
      </c>
      <c r="N284" s="4">
        <v>-9.558603264745269E-2</v>
      </c>
      <c r="O284" s="1" t="str">
        <f>HYPERLINK(".\sm_car_250420_1604\sm_car_Axle3_250420_1604_283_CaAxle3_012TrK_MaDLC_ode23t_1.png","figure")</f>
        <v>figure</v>
      </c>
      <c r="P284" t="s">
        <v>15</v>
      </c>
    </row>
    <row r="285" spans="1:16" x14ac:dyDescent="0.25">
      <c r="A285">
        <v>284</v>
      </c>
      <c r="B285" t="s">
        <v>103</v>
      </c>
      <c r="C285" t="s">
        <v>100</v>
      </c>
      <c r="D285" t="s">
        <v>35</v>
      </c>
      <c r="E285" t="s">
        <v>18</v>
      </c>
      <c r="F285" t="s">
        <v>19</v>
      </c>
      <c r="G285" t="s">
        <v>104</v>
      </c>
      <c r="H285" t="s">
        <v>102</v>
      </c>
      <c r="I285" t="s">
        <v>53</v>
      </c>
      <c r="J285" t="s">
        <v>23</v>
      </c>
      <c r="K285">
        <v>672</v>
      </c>
      <c r="L285" s="4">
        <v>26.765243399999999</v>
      </c>
      <c r="M285" s="4">
        <v>255.20939936574672</v>
      </c>
      <c r="N285" s="4">
        <v>-0.10317200155646589</v>
      </c>
      <c r="O285" s="1" t="str">
        <f>HYPERLINK(".\sm_car_250420_1604\sm_car_Axle3_250420_1604_284_CaAxle3_012TrK_MaDLC_ode23t_1.png","figure")</f>
        <v>figure</v>
      </c>
      <c r="P285" t="s">
        <v>15</v>
      </c>
    </row>
    <row r="286" spans="1:16" x14ac:dyDescent="0.25">
      <c r="A286">
        <v>285</v>
      </c>
      <c r="B286" t="s">
        <v>103</v>
      </c>
      <c r="C286" t="s">
        <v>100</v>
      </c>
      <c r="D286" t="s">
        <v>35</v>
      </c>
      <c r="E286" t="s">
        <v>18</v>
      </c>
      <c r="F286" t="s">
        <v>19</v>
      </c>
      <c r="G286" t="s">
        <v>104</v>
      </c>
      <c r="H286" t="s">
        <v>102</v>
      </c>
      <c r="I286" t="s">
        <v>53</v>
      </c>
      <c r="J286" t="s">
        <v>23</v>
      </c>
      <c r="K286">
        <v>944</v>
      </c>
      <c r="L286" s="4">
        <v>32.106557100000003</v>
      </c>
      <c r="M286" s="4">
        <v>253.19024712687548</v>
      </c>
      <c r="N286" s="4">
        <v>-8.8653056268422681E-2</v>
      </c>
      <c r="O286" s="1" t="str">
        <f>HYPERLINK(".\sm_car_250420_1604\sm_car_Axle3_250420_1604_285_CaAxle3_012TrK_MaDLC_ode23t_1.png","figure")</f>
        <v>figure</v>
      </c>
      <c r="P286" t="s">
        <v>15</v>
      </c>
    </row>
  </sheetData>
  <autoFilter ref="A1:P286" xr:uid="{02D7F3B2-75D9-43F6-A254-0996164301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2023a_240930_1119</vt:lpstr>
      <vt:lpstr>2023a_250420_1604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2025-04-20T19:59:17Z</dcterms:modified>
</cp:coreProperties>
</file>