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MYROS" sheetId="1" r:id="rId4"/>
    <sheet state="visible" name="R y C Tornillos" sheetId="2" r:id="rId5"/>
    <sheet state="visible" name="BECAM" sheetId="3" r:id="rId6"/>
    <sheet state="visible" name="HM RUBBER " sheetId="4" r:id="rId7"/>
    <sheet state="visible" name="CHALAR" sheetId="5" r:id="rId8"/>
    <sheet state="visible" name="ECOPANELS" sheetId="6" r:id="rId9"/>
    <sheet state="visible" name="MONTFRIO" sheetId="7" r:id="rId10"/>
    <sheet state="visible" name="SECO CENTER" sheetId="8" r:id="rId11"/>
    <sheet state="visible" name="Importaciones" sheetId="9" r:id="rId12"/>
    <sheet state="visible" name="ARMCO" sheetId="10" r:id="rId13"/>
    <sheet state="visible" name="POLIGLAS" sheetId="11" r:id="rId14"/>
    <sheet state="visible" name="Contenedores " sheetId="12" r:id="rId15"/>
    <sheet state="visible" name="HOMEKIT" sheetId="13" r:id="rId16"/>
    <sheet state="visible" name="ALAMBRESA" sheetId="14" r:id="rId17"/>
    <sheet state="visible" name="PRODECO" sheetId="15" r:id="rId18"/>
    <sheet state="visible" name="Barraca Parna" sheetId="16" r:id="rId19"/>
    <sheet state="visible" name="Obra Color y Roberto Tófalo " sheetId="17" r:id="rId20"/>
  </sheets>
  <definedNames/>
  <calcPr/>
  <extLst>
    <ext uri="GoogleSheetsCustomDataVersion2">
      <go:sheetsCustomData xmlns:go="http://customooxmlschemas.google.com/" r:id="rId21" roundtripDataChecksum="X9qd4DoHwi+16Qh9XbAAuZuhxx0273GMjc1GDq43xr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2">
      <text>
        <t xml:space="preserve">======
ID#AAABUDklKM4
Ramiro Amaral    (2024-10-29 12:08:55)
precio que nos pasó luís</t>
      </text>
    </comment>
  </commentList>
  <extLst>
    <ext uri="GoogleSheetsCustomDataVersion2">
      <go:sheetsCustomData xmlns:go="http://customooxmlschemas.google.com/" r:id="rId1" roundtripDataSignature="AMtx7miSq+qD1ngNEJp4TPHkRx+M7eZk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ID#AAAA3_bh1vY
Matías Portugau    (2023-08-27 14:46:00)
A Los rasantes los subi con el mismo precio que los laterales, revisar</t>
      </text>
    </comment>
    <comment authorId="0" ref="D51">
      <text>
        <t xml:space="preserve">======
ID#AAAAs1LcVDw
BMC Uruguay    (2023-03-13 16:58:11)
ACTUALIZADO</t>
      </text>
    </comment>
  </commentList>
  <extLst>
    <ext uri="GoogleSheetsCustomDataVersion2">
      <go:sheetsCustomData xmlns:go="http://customooxmlschemas.google.com/" r:id="rId1" roundtripDataSignature="AMtx7miVAnX95kiKwX1ZT9z0zETFr9yWRw=="/>
    </ext>
  </extLst>
</comments>
</file>

<file path=xl/sharedStrings.xml><?xml version="1.0" encoding="utf-8"?>
<sst xmlns="http://schemas.openxmlformats.org/spreadsheetml/2006/main" count="3756" uniqueCount="1750">
  <si>
    <t>SKU</t>
  </si>
  <si>
    <t xml:space="preserve">NAME </t>
  </si>
  <si>
    <t>Thikness_mm</t>
  </si>
  <si>
    <t>Length_m</t>
  </si>
  <si>
    <t>Tipo</t>
  </si>
  <si>
    <t xml:space="preserve">Familia </t>
  </si>
  <si>
    <t>Sub_Familia</t>
  </si>
  <si>
    <t>unit_base</t>
  </si>
  <si>
    <t>Largo_min_max</t>
  </si>
  <si>
    <t>cost_sin_iva</t>
  </si>
  <si>
    <t>sale_sin_iva</t>
  </si>
  <si>
    <t>sale_iva_inc</t>
  </si>
  <si>
    <t>web_sin_iva</t>
  </si>
  <si>
    <t>web_iva_inc</t>
  </si>
  <si>
    <t>ISOROOF  / ISOROOF FOIL / ISOROOF PLUS- 3,5 min</t>
  </si>
  <si>
    <t>IAGRO30</t>
  </si>
  <si>
    <t>Isoroof FOIL 30 mm - Color Gris-Rojo</t>
  </si>
  <si>
    <t xml:space="preserve">on demand </t>
  </si>
  <si>
    <t>Panel</t>
  </si>
  <si>
    <t>ISOROOF / FOIL</t>
  </si>
  <si>
    <t>PIR</t>
  </si>
  <si>
    <t>m2</t>
  </si>
  <si>
    <t>3.5 / 14</t>
  </si>
  <si>
    <t>IAGRO50</t>
  </si>
  <si>
    <t>Isoroof FOIL 50 mm - Color Rojo-Gris</t>
  </si>
  <si>
    <t>IROOF30</t>
  </si>
  <si>
    <t>Isoroof 30 mm Terracota o Gris</t>
  </si>
  <si>
    <t>ISOROOF</t>
  </si>
  <si>
    <t>IROOF40</t>
  </si>
  <si>
    <t xml:space="preserve">Isoroof 40 mm Terracota o Gris </t>
  </si>
  <si>
    <t>IROOF50</t>
  </si>
  <si>
    <t>Isoroof 50 mm Terracota o Gris</t>
  </si>
  <si>
    <t>IROOF80</t>
  </si>
  <si>
    <t>Isoroof 80 mm - Gris - Rojo</t>
  </si>
  <si>
    <t>IROOF100</t>
  </si>
  <si>
    <t>Isoroof 100 mm - Gris - Rojo</t>
  </si>
  <si>
    <t>IROOF50-PLS</t>
  </si>
  <si>
    <t>Isoroof Plus 50 mm - Gris - Rojo (MINIMO 800 M2)</t>
  </si>
  <si>
    <t>IROOF80-PLS</t>
  </si>
  <si>
    <t>Isoroof Plus 80 mm - Gris - Rojo</t>
  </si>
  <si>
    <t>ISOROOF COLONIAL (medidas: 7 m y 4,9 m)</t>
  </si>
  <si>
    <t>Isoroof COLONIAL 40 mm - Color simil teja</t>
  </si>
  <si>
    <t>4,9</t>
  </si>
  <si>
    <t>ISOROOF / Colonial</t>
  </si>
  <si>
    <t>ISOROOF COLONIAL</t>
  </si>
  <si>
    <t>C.But.</t>
  </si>
  <si>
    <t>Cinta Butilo 2mm x 15mm x 22.5m lineales</t>
  </si>
  <si>
    <t xml:space="preserve">Estandar </t>
  </si>
  <si>
    <t>22,5</t>
  </si>
  <si>
    <t>Accesorio</t>
  </si>
  <si>
    <t>Estandar</t>
  </si>
  <si>
    <t>Unit</t>
  </si>
  <si>
    <t>N/A</t>
  </si>
  <si>
    <t>Cab. Roj</t>
  </si>
  <si>
    <t>Caballete Rojo Teja, Gris y blanco- (Arandela Trapezoidal)</t>
  </si>
  <si>
    <t xml:space="preserve">N/A </t>
  </si>
  <si>
    <t xml:space="preserve">Anclajes / Fijaciones </t>
  </si>
  <si>
    <t>Bromplast</t>
  </si>
  <si>
    <t>Bromplast 8 - Silicona Neutra  X 600</t>
  </si>
  <si>
    <t xml:space="preserve">Pistola de Silicona </t>
  </si>
  <si>
    <t>GOTERO FRONTAL 3M PREPINTADO</t>
  </si>
  <si>
    <t>GFS30</t>
  </si>
  <si>
    <t>Gotero Frontal Simple 30mm Prep.</t>
  </si>
  <si>
    <t xml:space="preserve">Perfileria / Terminaciones </t>
  </si>
  <si>
    <t>GOTERO FRONTAL PREPINTADO</t>
  </si>
  <si>
    <t>GFS50</t>
  </si>
  <si>
    <t>Gotero Frontal Simple 50mm Prep.</t>
  </si>
  <si>
    <t>GFS80</t>
  </si>
  <si>
    <t>Gotero Frontal Simple 80mm Prep.</t>
  </si>
  <si>
    <t>GFSUP30</t>
  </si>
  <si>
    <t>Gotero Superior 30mm Prep.</t>
  </si>
  <si>
    <t>GFSUP40</t>
  </si>
  <si>
    <t>Gotero Superior 40mm Prep.</t>
  </si>
  <si>
    <t>GFSUP50</t>
  </si>
  <si>
    <t>Gotero Superior 50mm Prep.</t>
  </si>
  <si>
    <t>GFSUP80</t>
  </si>
  <si>
    <t>Gotero Superior 80mm Prep.</t>
  </si>
  <si>
    <t>GFCGR30</t>
  </si>
  <si>
    <t>Gotero frontal con greca  1 x panel  30 - 40 - 50 - 80 - 100 mm</t>
  </si>
  <si>
    <t>30 - 40 - 50 - 80 - 100</t>
  </si>
  <si>
    <t>GSDECAM50</t>
  </si>
  <si>
    <t>Gotero Superior  -  DE CAMARA  50mm</t>
  </si>
  <si>
    <t>ISODEC</t>
  </si>
  <si>
    <t>GSDECAM80</t>
  </si>
  <si>
    <t>Gotero Superior  -  DE CAMARA  80mm</t>
  </si>
  <si>
    <t>GOTERO LATERAL 3M PREPINTADO</t>
  </si>
  <si>
    <t>GL30</t>
  </si>
  <si>
    <t>Gotero Lateral 30mm  Prep.</t>
  </si>
  <si>
    <t>GOTERO LATERAL PREPINTADO</t>
  </si>
  <si>
    <t>GL40</t>
  </si>
  <si>
    <t>Gotero Lateral 40mm  Prep.</t>
  </si>
  <si>
    <t>GL50</t>
  </si>
  <si>
    <t>Gotero Lateral 50mm  Prep.</t>
  </si>
  <si>
    <t>GL80</t>
  </si>
  <si>
    <t>Gotero Lateral 80mm  Prep.</t>
  </si>
  <si>
    <t>GLDCAM50</t>
  </si>
  <si>
    <t>Gotero Lateral   CAMARA  50mm  Prep.</t>
  </si>
  <si>
    <t>GLDCAM80</t>
  </si>
  <si>
    <t>Gotero Lateral  CAMARA  80mm  Prep.</t>
  </si>
  <si>
    <t>BABETAS 3M PREPINTADO</t>
  </si>
  <si>
    <t>BBAS3G</t>
  </si>
  <si>
    <t>Babeta de Atornillar Superior 3G</t>
  </si>
  <si>
    <t>BABETAS PREPINTADOS</t>
  </si>
  <si>
    <t>BBESUP</t>
  </si>
  <si>
    <t>Babeta de Empotrar Superior 3G</t>
  </si>
  <si>
    <t>BBAL</t>
  </si>
  <si>
    <t>Babeta de Atornillar Lateral</t>
  </si>
  <si>
    <t>Babeta de Empotrar Lateral</t>
  </si>
  <si>
    <t>CANALÓN 3M PREPINTADO</t>
  </si>
  <si>
    <t>CD30</t>
  </si>
  <si>
    <t>Canalón Doble roof 30mm / base 150mm + tapas + agujero + bajada / 3,03 m</t>
  </si>
  <si>
    <t>CANALÓN PREPINTADO</t>
  </si>
  <si>
    <t>CD50</t>
  </si>
  <si>
    <t>Canalón Doble roof 50mm / base 150mm + tapas + agujero + bajada / 3,03 m</t>
  </si>
  <si>
    <t>CD80</t>
  </si>
  <si>
    <t>Canalón Doble roof 80mm / base 150mm + tapas + agujero + bajada / 3,03 m</t>
  </si>
  <si>
    <t>SOPCAN3M</t>
  </si>
  <si>
    <t>Soporte para Canalón Isoroof (3m)</t>
  </si>
  <si>
    <t>CUMBRERAS 3M PREPINTADO</t>
  </si>
  <si>
    <t>CUMROOF3M</t>
  </si>
  <si>
    <t>Cumbrera Roof 3G de 3 m</t>
  </si>
  <si>
    <t>CUMBRERAS PREPINTADO</t>
  </si>
  <si>
    <t>Cumbrera Roof COLONIAL - 2,2 m (2 piezas de 1,1m)</t>
  </si>
  <si>
    <t>ISOROOF Colonial</t>
  </si>
  <si>
    <t>ISOWALL</t>
  </si>
  <si>
    <t>IW50</t>
  </si>
  <si>
    <t>Isowall 50 mm PIR - GRIS / Blanco</t>
  </si>
  <si>
    <t xml:space="preserve">m2 </t>
  </si>
  <si>
    <t>2.6 / 14</t>
  </si>
  <si>
    <t>Isowall 80 mm PIR - GRIS / Blanco</t>
  </si>
  <si>
    <t>Isowall 50 mm</t>
  </si>
  <si>
    <t>IW80</t>
  </si>
  <si>
    <t>Isowall 80 mm</t>
  </si>
  <si>
    <t>IW100</t>
  </si>
  <si>
    <t>Isowall 100 mm</t>
  </si>
  <si>
    <t xml:space="preserve">ISOFRIG -2,3m(largo minimo de produ) </t>
  </si>
  <si>
    <t xml:space="preserve">IF40 </t>
  </si>
  <si>
    <t>IsoFrig 40 mm</t>
  </si>
  <si>
    <t>ISOFRIG</t>
  </si>
  <si>
    <t>2.3 / 14</t>
  </si>
  <si>
    <t>IF60 - IFSL60</t>
  </si>
  <si>
    <t>IsoFrig - Sala Limpia 60 mm</t>
  </si>
  <si>
    <t>IF80 - IFSL80</t>
  </si>
  <si>
    <t>IsoFrig - Sala Limpia 80 mm</t>
  </si>
  <si>
    <t>IF100 - IFSL100</t>
  </si>
  <si>
    <t>IsoFrig - Sala Limpia 100 mm</t>
  </si>
  <si>
    <t>IF150 - IFSL150</t>
  </si>
  <si>
    <t>IsoFrig - Sala Limpia 150 mm</t>
  </si>
  <si>
    <t>ISOPANEL EPS (Fachada)  2,3 min</t>
  </si>
  <si>
    <t>ISD50EPS</t>
  </si>
  <si>
    <t xml:space="preserve">ISOPANEL EPS 50 mm </t>
  </si>
  <si>
    <t>ISOPANEL</t>
  </si>
  <si>
    <t>EPS</t>
  </si>
  <si>
    <t>ISD100EPS</t>
  </si>
  <si>
    <t>ISOPANEL EPS 100 mm</t>
  </si>
  <si>
    <t>ISD150EPS</t>
  </si>
  <si>
    <t>ISOPANEL EPS 150 mm</t>
  </si>
  <si>
    <t>ISD200EPS</t>
  </si>
  <si>
    <t>ISOPANEL EPS 200 mm</t>
  </si>
  <si>
    <t>ISD250EPS</t>
  </si>
  <si>
    <t>ISOPANEL EPS 250mm</t>
  </si>
  <si>
    <t xml:space="preserve">Perfil U </t>
  </si>
  <si>
    <t>PU50MM</t>
  </si>
  <si>
    <r>
      <rPr>
        <rFont val="Calibri"/>
        <color theme="1"/>
        <sz val="11.0"/>
      </rPr>
      <t xml:space="preserve">Perfil Ch. Blanco </t>
    </r>
    <r>
      <rPr>
        <rFont val="Calibri"/>
        <color theme="1"/>
        <sz val="11.0"/>
      </rPr>
      <t>U 40 mm</t>
    </r>
    <r>
      <rPr>
        <rFont val="Calibri"/>
        <color theme="1"/>
        <sz val="11.0"/>
      </rPr>
      <t xml:space="preserve"> x 35 mm </t>
    </r>
    <r>
      <rPr>
        <rFont val="Calibri"/>
        <color theme="1"/>
        <sz val="11.0"/>
      </rPr>
      <t>ISOFRIG</t>
    </r>
    <r>
      <rPr>
        <rFont val="Calibri"/>
        <color theme="1"/>
        <sz val="11.0"/>
      </rPr>
      <t xml:space="preserve"> / 3 m </t>
    </r>
  </si>
  <si>
    <t>unit</t>
  </si>
  <si>
    <r>
      <rPr>
        <rFont val="Calibri"/>
        <color theme="1"/>
        <sz val="11.0"/>
      </rPr>
      <t xml:space="preserve">Perfil Ch. Blanco </t>
    </r>
    <r>
      <rPr>
        <rFont val="Calibri"/>
        <color theme="1"/>
        <sz val="11.0"/>
      </rPr>
      <t>U 50 mm</t>
    </r>
    <r>
      <rPr>
        <rFont val="Calibri"/>
        <color theme="1"/>
        <sz val="11.0"/>
      </rPr>
      <t xml:space="preserve"> x 35 mm / 3 m (</t>
    </r>
    <r>
      <rPr>
        <rFont val="Calibri"/>
        <color theme="1"/>
        <sz val="11.0"/>
      </rPr>
      <t>ISOWALL - ISOPANEL)</t>
    </r>
  </si>
  <si>
    <t>ISOWALL-ISOPANEL</t>
  </si>
  <si>
    <t xml:space="preserve"> PIR / EPS </t>
  </si>
  <si>
    <r>
      <rPr>
        <rFont val="Calibri"/>
        <color theme="1"/>
        <sz val="11.0"/>
      </rPr>
      <t xml:space="preserve">Perfil Ch. Blanco </t>
    </r>
    <r>
      <rPr>
        <rFont val="Calibri"/>
        <color theme="1"/>
        <sz val="11.0"/>
      </rPr>
      <t>U 60 mm</t>
    </r>
    <r>
      <rPr>
        <rFont val="Calibri"/>
        <color theme="1"/>
        <sz val="11.0"/>
      </rPr>
      <t xml:space="preserve"> x 35 mm </t>
    </r>
    <r>
      <rPr>
        <rFont val="Calibri"/>
        <color theme="1"/>
        <sz val="11.0"/>
      </rPr>
      <t>ISOFRIG</t>
    </r>
    <r>
      <rPr>
        <rFont val="Calibri"/>
        <color theme="1"/>
        <sz val="11.0"/>
      </rPr>
      <t xml:space="preserve"> / 3 m</t>
    </r>
  </si>
  <si>
    <r>
      <rPr>
        <rFont val="Calibri"/>
        <color theme="1"/>
        <sz val="11.0"/>
      </rPr>
      <t xml:space="preserve">Perfil Ch. Blanco </t>
    </r>
    <r>
      <rPr>
        <rFont val="Calibri"/>
        <color theme="1"/>
        <sz val="11.0"/>
      </rPr>
      <t>U 80 mm</t>
    </r>
    <r>
      <rPr>
        <rFont val="Calibri"/>
        <color theme="1"/>
        <sz val="11.0"/>
      </rPr>
      <t xml:space="preserve"> x 35 mm </t>
    </r>
    <r>
      <rPr>
        <rFont val="Calibri"/>
        <color theme="1"/>
        <sz val="11.0"/>
      </rPr>
      <t>ISOWALL</t>
    </r>
    <r>
      <rPr>
        <rFont val="Calibri"/>
        <color theme="1"/>
        <sz val="11.0"/>
      </rPr>
      <t xml:space="preserve"> / 3 m</t>
    </r>
  </si>
  <si>
    <t>PU100MM</t>
  </si>
  <si>
    <r>
      <rPr>
        <rFont val="Calibri"/>
        <color theme="1"/>
        <sz val="11.0"/>
      </rPr>
      <t xml:space="preserve">Perfil Ch. Blanco </t>
    </r>
    <r>
      <rPr>
        <rFont val="Calibri"/>
        <color theme="1"/>
        <sz val="11.0"/>
      </rPr>
      <t>U 100 mm</t>
    </r>
    <r>
      <rPr>
        <rFont val="Calibri"/>
        <color theme="1"/>
        <sz val="11.0"/>
      </rPr>
      <t xml:space="preserve"> x 35 mm / 3 m</t>
    </r>
  </si>
  <si>
    <t xml:space="preserve">ISOPANEL EPS &amp; PIR / ISOFRIG / ISOWALL </t>
  </si>
  <si>
    <t xml:space="preserve">EPS </t>
  </si>
  <si>
    <t>PU150MM</t>
  </si>
  <si>
    <r>
      <rPr>
        <rFont val="Calibri"/>
        <color theme="1"/>
        <sz val="11.0"/>
      </rPr>
      <t xml:space="preserve">Perfil Ch. Blanco </t>
    </r>
    <r>
      <rPr>
        <rFont val="Calibri"/>
        <color theme="1"/>
        <sz val="11.0"/>
      </rPr>
      <t>U 150 mm</t>
    </r>
    <r>
      <rPr>
        <rFont val="Calibri"/>
        <color theme="1"/>
        <sz val="11.0"/>
      </rPr>
      <t xml:space="preserve"> x 35 mm / 3 m</t>
    </r>
  </si>
  <si>
    <t xml:space="preserve">ISOPANEL </t>
  </si>
  <si>
    <t>PU200MM</t>
  </si>
  <si>
    <r>
      <rPr>
        <rFont val="Calibri"/>
        <color theme="1"/>
        <sz val="11.0"/>
      </rPr>
      <t>Perfil Ch. Blanco</t>
    </r>
    <r>
      <rPr>
        <rFont val="Calibri"/>
        <color theme="1"/>
        <sz val="11.0"/>
      </rPr>
      <t xml:space="preserve"> U 200 mm</t>
    </r>
    <r>
      <rPr>
        <rFont val="Calibri"/>
        <color theme="1"/>
        <sz val="11.0"/>
      </rPr>
      <t xml:space="preserve"> x 35 mm / 3 m</t>
    </r>
  </si>
  <si>
    <t>PU250MM</t>
  </si>
  <si>
    <r>
      <rPr>
        <rFont val="Calibri"/>
        <color theme="1"/>
        <sz val="11.0"/>
      </rPr>
      <t xml:space="preserve">Perfil Ch. Blanco </t>
    </r>
    <r>
      <rPr>
        <rFont val="Calibri"/>
        <color theme="1"/>
        <sz val="11.0"/>
      </rPr>
      <t>U 250 mm</t>
    </r>
    <r>
      <rPr>
        <rFont val="Calibri"/>
        <color theme="1"/>
        <sz val="11.0"/>
      </rPr>
      <t xml:space="preserve"> x 35 mm / 3 m</t>
    </r>
  </si>
  <si>
    <t>Accesorios Varios</t>
  </si>
  <si>
    <t>Perfil Chapa Blanco G2 100 / 3 m</t>
  </si>
  <si>
    <t>ISOPANEL / ISODEC</t>
  </si>
  <si>
    <t>Perfil Chapa Blanco G2 150 / 3 m</t>
  </si>
  <si>
    <t>Perfil Chapa Blanco G2 200 / 3 m</t>
  </si>
  <si>
    <t>Perfil Chapa Blanco G2 250 / 3 m</t>
  </si>
  <si>
    <t>Plegado G4 40 mm x 40 mm (Exterior)</t>
  </si>
  <si>
    <t>Perfil K2 sin repliegue para Siliconar (Ángulo interior)</t>
  </si>
  <si>
    <t>ISOPANEL / ISODEC / ISOROOF</t>
  </si>
  <si>
    <t>Perfil Chapa Blanca K2</t>
  </si>
  <si>
    <t>Perfil Alu 5852 Anodizado de 6,8 m de largo</t>
  </si>
  <si>
    <t>PLEGU148</t>
  </si>
  <si>
    <t>Plegado Galv. Tipo U 148 mm / 2 m de largo</t>
  </si>
  <si>
    <t>PLECHU98</t>
  </si>
  <si>
    <t>Plegado Galv. Tipo U 98 mm / 2 m de largo</t>
  </si>
  <si>
    <t xml:space="preserve">ISOPANEL / ISODEC </t>
  </si>
  <si>
    <t>PERFIL ALU 2195 U 100 / 6,8m</t>
  </si>
  <si>
    <t>ISODEC (EPS) - 2,3m min.</t>
  </si>
  <si>
    <t>22-09 sube con 5% de suba</t>
  </si>
  <si>
    <t>ISODEC EPS 100 mm</t>
  </si>
  <si>
    <t xml:space="preserve">PANEL EPS </t>
  </si>
  <si>
    <t>ISODEC EPS 150 mm</t>
  </si>
  <si>
    <t>ISODEC EPS 200 mm</t>
  </si>
  <si>
    <t>ISODEC EPS 250mm</t>
  </si>
  <si>
    <t>ISODEC (PIR) - 3,5m min.</t>
  </si>
  <si>
    <t>ISD50PIR</t>
  </si>
  <si>
    <t>ISODEC 50mm PIR (EVITAR ESTE ESPESOR)</t>
  </si>
  <si>
    <t xml:space="preserve">PANEL PIR </t>
  </si>
  <si>
    <t>ISD80PIR</t>
  </si>
  <si>
    <t>ISODEC 80mm PIR</t>
  </si>
  <si>
    <t>ISODEC 120mm PIR</t>
  </si>
  <si>
    <t>GOTERO FRONTAL ISODEC (EPS &amp; PIR)</t>
  </si>
  <si>
    <t>GF80DC</t>
  </si>
  <si>
    <r>
      <rPr>
        <rFont val="Calibri"/>
        <color theme="1"/>
        <sz val="11.0"/>
      </rPr>
      <t xml:space="preserve">Perf. Ch. Gotero Frontal 50mm - </t>
    </r>
    <r>
      <rPr>
        <rFont val="Calibri"/>
        <color theme="1"/>
        <sz val="11.0"/>
      </rPr>
      <t xml:space="preserve">ISODEC PIR </t>
    </r>
    <r>
      <rPr>
        <rFont val="Calibri"/>
        <color theme="1"/>
        <sz val="11.0"/>
      </rPr>
      <t xml:space="preserve"> - (3,03m)</t>
    </r>
  </si>
  <si>
    <t>Perfileria / Gotero Frontal</t>
  </si>
  <si>
    <t xml:space="preserve">PIR </t>
  </si>
  <si>
    <t>GF120DC</t>
  </si>
  <si>
    <r>
      <rPr>
        <rFont val="Calibri"/>
        <color theme="1"/>
        <sz val="11.0"/>
      </rPr>
      <t xml:space="preserve">Perf. Ch. Gotero Frontal 80mm - </t>
    </r>
    <r>
      <rPr>
        <rFont val="Calibri"/>
        <color theme="1"/>
        <sz val="11.0"/>
      </rPr>
      <t xml:space="preserve">ISODEC PIR </t>
    </r>
    <r>
      <rPr>
        <rFont val="Calibri"/>
        <color theme="1"/>
        <sz val="11.0"/>
      </rPr>
      <t xml:space="preserve"> - (3,03m)</t>
    </r>
  </si>
  <si>
    <t>Perf. Ch. Gotero Frontal 100mm - (3,03m)</t>
  </si>
  <si>
    <r>
      <rPr>
        <rFont val="Calibri"/>
        <color theme="1"/>
        <sz val="11.0"/>
      </rPr>
      <t xml:space="preserve">Perf. Ch. Gotero Frontal 120mm - </t>
    </r>
    <r>
      <rPr>
        <rFont val="Calibri"/>
        <color theme="1"/>
        <sz val="11.0"/>
      </rPr>
      <t xml:space="preserve">ISODEC PIR </t>
    </r>
    <r>
      <rPr>
        <rFont val="Calibri"/>
        <color theme="1"/>
        <sz val="11.0"/>
      </rPr>
      <t xml:space="preserve"> - (3,03m)</t>
    </r>
  </si>
  <si>
    <t>Perf. Ch. Gotero Frontal 150mm - (3,03m)</t>
  </si>
  <si>
    <t>Perf. Ch. Gotero Frontal 200mm - (3,03m)</t>
  </si>
  <si>
    <t>Perf. Ch. Gotero Frontal 250mm - (3,03m)</t>
  </si>
  <si>
    <t>GOTERO LATERAL ISODEC (EPS &amp; PIR)</t>
  </si>
  <si>
    <t>GL80DC</t>
  </si>
  <si>
    <r>
      <rPr>
        <rFont val="Calibri"/>
        <color theme="1"/>
        <sz val="11.0"/>
      </rPr>
      <t xml:space="preserve">Perf. Ch. Gotero Lateral 50mm - </t>
    </r>
    <r>
      <rPr>
        <rFont val="Calibri"/>
        <color theme="1"/>
        <sz val="11.0"/>
      </rPr>
      <t xml:space="preserve">ISODEC PIR </t>
    </r>
    <r>
      <rPr>
        <rFont val="Calibri"/>
        <color theme="1"/>
        <sz val="11.0"/>
      </rPr>
      <t xml:space="preserve"> - (3m)</t>
    </r>
  </si>
  <si>
    <t xml:space="preserve">ISODEC </t>
  </si>
  <si>
    <r>
      <rPr>
        <rFont val="Calibri"/>
        <color theme="1"/>
        <sz val="11.0"/>
      </rPr>
      <t xml:space="preserve">Perf. Ch. Gotero Lateral 80mm - </t>
    </r>
    <r>
      <rPr>
        <rFont val="Calibri"/>
        <color theme="1"/>
        <sz val="11.0"/>
      </rPr>
      <t xml:space="preserve">ISODEC PIR </t>
    </r>
    <r>
      <rPr>
        <rFont val="Calibri"/>
        <color theme="1"/>
        <sz val="11.0"/>
      </rPr>
      <t xml:space="preserve"> - (3m)</t>
    </r>
  </si>
  <si>
    <t>Perf. Ch. Gotero Lateral 100mm - (3m)</t>
  </si>
  <si>
    <t>GL120DC</t>
  </si>
  <si>
    <r>
      <rPr>
        <rFont val="Calibri"/>
        <color theme="1"/>
        <sz val="11.0"/>
      </rPr>
      <t xml:space="preserve">Perf. Ch. Gotero Lateral 120mm - </t>
    </r>
    <r>
      <rPr>
        <rFont val="Calibri"/>
        <color theme="1"/>
        <sz val="11.0"/>
      </rPr>
      <t xml:space="preserve">ISODEC PIR </t>
    </r>
    <r>
      <rPr>
        <rFont val="Calibri"/>
        <color theme="1"/>
        <sz val="11.0"/>
      </rPr>
      <t xml:space="preserve"> - (3m)</t>
    </r>
  </si>
  <si>
    <t>Perf. Ch. Gotero Lateral 150mm - (3m)</t>
  </si>
  <si>
    <t>Perf. Ch. Gotero Lateral 200mm - (3m)</t>
  </si>
  <si>
    <t>Perf. Ch. Gotero Lateral 250mm - (3m)</t>
  </si>
  <si>
    <t>Perfil Ch. Gotero Lateral Cámara 100 mm - (3m)</t>
  </si>
  <si>
    <t>Perfil Ch. Gotero Lateral Cámara 150 mm - (3m)</t>
  </si>
  <si>
    <t>Perfil Ch. Gotero Lateral Cámara 200 mm - (3m)</t>
  </si>
  <si>
    <t>Perfil Ch. Gotero Lateral Cámara 250 mm - (3m)</t>
  </si>
  <si>
    <t>OTROS ACCESORIOS Y PERFILES ISODEC (EPS &amp; PIR)</t>
  </si>
  <si>
    <t>Perfil Cumbrera</t>
  </si>
  <si>
    <t xml:space="preserve">PIR / EPS </t>
  </si>
  <si>
    <t xml:space="preserve">Babeta ISODEC de Adosar </t>
  </si>
  <si>
    <t>Babeta ISODEC de empotrar</t>
  </si>
  <si>
    <t>Vaina ISODEC Sist 2000</t>
  </si>
  <si>
    <t>CAN.ISDC120</t>
  </si>
  <si>
    <r>
      <rPr>
        <rFont val="Calibri"/>
        <color theme="1"/>
        <sz val="11.0"/>
      </rPr>
      <t xml:space="preserve">Canalón Isodec 50mm </t>
    </r>
    <r>
      <rPr>
        <rFont val="Calibri"/>
        <color theme="1"/>
        <sz val="11.0"/>
      </rPr>
      <t>ISODEC PIR</t>
    </r>
  </si>
  <si>
    <r>
      <rPr>
        <rFont val="Calibri"/>
        <color theme="1"/>
        <sz val="11.0"/>
      </rPr>
      <t xml:space="preserve">Canalón Isodec 80mm </t>
    </r>
    <r>
      <rPr>
        <rFont val="Calibri"/>
        <color theme="1"/>
        <sz val="11.0"/>
      </rPr>
      <t>ISODEC PIR</t>
    </r>
  </si>
  <si>
    <t>Canalón Estandar 100 mm</t>
  </si>
  <si>
    <r>
      <rPr>
        <rFont val="Calibri"/>
        <color theme="1"/>
        <sz val="11.0"/>
      </rPr>
      <t xml:space="preserve">Canalón Isodec 120mm </t>
    </r>
    <r>
      <rPr>
        <rFont val="Calibri"/>
        <color theme="1"/>
        <sz val="11.0"/>
      </rPr>
      <t>ISODEC PIR</t>
    </r>
  </si>
  <si>
    <t>Canalón Estandar 150 mm</t>
  </si>
  <si>
    <t>Canalón Estandar 200 mm</t>
  </si>
  <si>
    <t>Canalón Estandar 250 mm</t>
  </si>
  <si>
    <t>Soporte de Canalón de 3 m</t>
  </si>
  <si>
    <t xml:space="preserve">Embudo </t>
  </si>
  <si>
    <t>ANCLAJES varios</t>
  </si>
  <si>
    <t>Varilla Roscada BSW 3/8 de 1 m</t>
  </si>
  <si>
    <t xml:space="preserve">ESTANDAR </t>
  </si>
  <si>
    <t>Tuerca BSW 3/8 Galv.</t>
  </si>
  <si>
    <t>Arandela Carrocero 3/8 Galv.</t>
  </si>
  <si>
    <t>Arandela Bca. de Polipropileno (Totuga Blanca)</t>
  </si>
  <si>
    <t>Arandela Bca. de Polipropileno GRIS (Totuga GRIS)</t>
  </si>
  <si>
    <t>Taco Expansivo Sorex 3/8</t>
  </si>
  <si>
    <t>Arandela Plana Hierro Galv. 3/8</t>
  </si>
  <si>
    <t>Rollo Membrana Autoadhesiva (30 cm x 10 m) DENVERFITA</t>
  </si>
  <si>
    <t xml:space="preserve">Faltan Tornillos autoperfoantes para cotizar cuando retiren de BROMYROS </t>
  </si>
  <si>
    <t>Soportes para canalones ISOROOF cual utilizan?</t>
  </si>
  <si>
    <t xml:space="preserve"> EPS, Cat. II</t>
  </si>
  <si>
    <t>C. Unit UY$</t>
  </si>
  <si>
    <t>1mx1mx1cm (Paquetes de 60 uds)</t>
  </si>
  <si>
    <t>1mx1mx2cm  (Paquetes de 30 uds)</t>
  </si>
  <si>
    <t>1mx1mx3cm (Paquetes de 20 uds)</t>
  </si>
  <si>
    <t>1mx1mx5cm (Paquetes de 12 uds)</t>
  </si>
  <si>
    <t>3x1x5cm (Paquetes de 12 uds)</t>
  </si>
  <si>
    <t>autotrabante  (Paquetes de 12 uds)</t>
  </si>
  <si>
    <t xml:space="preserve">Tornillos </t>
  </si>
  <si>
    <t>v</t>
  </si>
  <si>
    <t xml:space="preserve">Shopify </t>
  </si>
  <si>
    <t>Notas</t>
  </si>
  <si>
    <t>Shopify  IVA inc.</t>
  </si>
  <si>
    <t xml:space="preserve"> v  </t>
  </si>
  <si>
    <t>Código RyC</t>
  </si>
  <si>
    <t>PENDIENTE</t>
  </si>
  <si>
    <t>Producto</t>
  </si>
  <si>
    <t>Costo unit $ + IVA</t>
  </si>
  <si>
    <t>Margen %</t>
  </si>
  <si>
    <t>Ganancia</t>
  </si>
  <si>
    <t>Venta + IVA</t>
  </si>
  <si>
    <t>Consumidor Final</t>
  </si>
  <si>
    <t>Broca 6mm aprox. - Taco expansivo para amurar en Hormigon</t>
  </si>
  <si>
    <t>IVA inc.</t>
  </si>
  <si>
    <t xml:space="preserve"> </t>
  </si>
  <si>
    <t>Punta Mecha 14x4"</t>
  </si>
  <si>
    <t>Punta Aguja 14x5"</t>
  </si>
  <si>
    <t>PRECIOS ACTUALIZADOS  RyC</t>
  </si>
  <si>
    <t>CALCULADOR DE COSTOS</t>
  </si>
  <si>
    <t>A CONSIDERAR COSTO A MALDOANDO MÁS 10 %</t>
  </si>
  <si>
    <t>p/AMIGOS</t>
  </si>
  <si>
    <t>UNITARIO</t>
  </si>
  <si>
    <t>Calculos de costos</t>
  </si>
  <si>
    <t>Mercado Libre 14%</t>
  </si>
  <si>
    <t>con 30 %</t>
  </si>
  <si>
    <t>UNIDADES</t>
  </si>
  <si>
    <t>SubTOTAL</t>
  </si>
  <si>
    <t>Tornelo CHAPATEJA</t>
  </si>
  <si>
    <t>Tornllo Cabeza Hexagonal - Punta Mecha 12 x 1"</t>
  </si>
  <si>
    <t>Arandela Vulcanizada</t>
  </si>
  <si>
    <t>Subido con Éxito</t>
  </si>
  <si>
    <t>Varilla Roscada 5/16</t>
  </si>
  <si>
    <t>Tuerca Hexagonal Galv. 5/16</t>
  </si>
  <si>
    <t>Arandela Carrocero</t>
  </si>
  <si>
    <t>MVDEO INDUSTRUAL</t>
  </si>
  <si>
    <r>
      <rPr>
        <rFont val="Calibri"/>
        <b/>
        <color rgb="FF0000FF"/>
        <sz val="11.0"/>
      </rPr>
      <t xml:space="preserve">Arandela Carrocero - </t>
    </r>
    <r>
      <rPr>
        <rFont val="Calibri"/>
        <b/>
        <color rgb="FFFF0000"/>
        <sz val="11.0"/>
      </rPr>
      <t>Mvdeo Industrial</t>
    </r>
  </si>
  <si>
    <t>x</t>
  </si>
  <si>
    <t>0760-113</t>
  </si>
  <si>
    <t>Tortuga Plastica PVC - Blanca</t>
  </si>
  <si>
    <t>0901-812</t>
  </si>
  <si>
    <t>Tornllo T1 - Punta Mecha 8x1/2</t>
  </si>
  <si>
    <t>nuevo</t>
  </si>
  <si>
    <t>Taco Expansivo Metalico Galv. 5/16</t>
  </si>
  <si>
    <t>Tornillo T2 p/aguja 3,5x25</t>
  </si>
  <si>
    <t>Torninllo T3 p/aguja 3,5x38</t>
  </si>
  <si>
    <t>aca</t>
  </si>
  <si>
    <t>Rollo Membrana Autoadhesiva (20 cm x 10 m)</t>
  </si>
  <si>
    <t>Rollo Membrana Autoadhesiva (30 cm x 10 m)</t>
  </si>
  <si>
    <t>VIAPOL</t>
  </si>
  <si>
    <r>
      <rPr>
        <rFont val="Calibri"/>
        <b/>
        <color rgb="FF0000FF"/>
        <sz val="11.0"/>
      </rPr>
      <t xml:space="preserve">Rollo Membrana Autoadhesiva (30 cm x 10 m) </t>
    </r>
    <r>
      <rPr>
        <rFont val="Calibri"/>
        <b/>
        <color rgb="FF0000FF"/>
        <sz val="11.0"/>
      </rPr>
      <t>VIAPOL</t>
    </r>
  </si>
  <si>
    <t>RyC</t>
  </si>
  <si>
    <t>actual</t>
  </si>
  <si>
    <t>Silicona Neutra - RyC - 400 gr. BLANCA</t>
  </si>
  <si>
    <t>Espuma de Pliuretano Expansiva - Silva Selantes - 750 ml</t>
  </si>
  <si>
    <t>Faltan Imagenes</t>
  </si>
  <si>
    <t>Silicona Neutra -  Adhera - 300 ml. BLANCA</t>
  </si>
  <si>
    <t>Silicona Neutra - RyC - 280 gr. BLANCA</t>
  </si>
  <si>
    <t>Silicona Neutra - UNIPEGA - 280 gr. BLANCA</t>
  </si>
  <si>
    <t>Silicona Neutra - UNIPEGA - 280 gr. INCOLOR</t>
  </si>
  <si>
    <t>Selladore PU 40 - 280 ml - UNIPEGA</t>
  </si>
  <si>
    <t>Gancho Gal. P. TEcho con Tuerca -  1/4 x 15cm</t>
  </si>
  <si>
    <t>PU 40 Multiusos - Blanco - 360 gr.</t>
  </si>
  <si>
    <t>Tortuga Plastica PVC - Gris R y C</t>
  </si>
  <si>
    <t>Remache Pop Blanco para Isopanel</t>
  </si>
  <si>
    <t>Remache Pop Blanco para Isopanel (CAJA 1000 UNIDADES)</t>
  </si>
  <si>
    <t>Tornillo Hexagonal Galv. de 2 cm</t>
  </si>
  <si>
    <r>
      <rPr>
        <rFont val="Calibri"/>
        <color theme="1"/>
        <sz val="11.0"/>
      </rPr>
      <t xml:space="preserve">Pomo Espuma de PoliUretano 750cc     </t>
    </r>
    <r>
      <rPr>
        <rFont val="Calibri"/>
        <i/>
        <color theme="1"/>
        <sz val="11.0"/>
      </rPr>
      <t>Mínimo caja de 12 U.</t>
    </r>
  </si>
  <si>
    <r>
      <rPr>
        <rFont val="Calibri"/>
        <b/>
        <color theme="1"/>
        <sz val="11.0"/>
      </rPr>
      <t xml:space="preserve">Kit U-Platea </t>
    </r>
    <r>
      <rPr>
        <rFont val="Calibri"/>
        <color theme="1"/>
        <sz val="11.0"/>
      </rPr>
      <t xml:space="preserve">(T. Exp. 6mm+Arandela+tuerca hexa.+1/8 Varilla6mm) </t>
    </r>
  </si>
  <si>
    <t xml:space="preserve">Kit U-Platea (Taco plastico. tornillo Binding 8mm + Arandela) </t>
  </si>
  <si>
    <t xml:space="preserve">Kit U-Platea Nuevo (Taco plastico. Tira fondo 10mm + Arandela) </t>
  </si>
  <si>
    <t>Varilla Roscada 3/8</t>
  </si>
  <si>
    <r>
      <rPr>
        <rFont val="Calibri"/>
        <b/>
        <color rgb="FF0000FF"/>
        <sz val="11.0"/>
      </rPr>
      <t xml:space="preserve">Varilla Roscada 3/8 - </t>
    </r>
    <r>
      <rPr>
        <rFont val="Calibri"/>
        <b/>
        <color rgb="FFFF0000"/>
        <sz val="11.0"/>
      </rPr>
      <t>Mvdeo Industrial</t>
    </r>
  </si>
  <si>
    <t>Tuerca Hexagonal Galv. 3/8</t>
  </si>
  <si>
    <t>Taco Expansivo Metalico Galv. 3/8</t>
  </si>
  <si>
    <t>Gancho p/techo Completo 1/4 150 mm</t>
  </si>
  <si>
    <r>
      <rPr>
        <rFont val="Calibri"/>
        <b/>
        <color theme="1"/>
        <sz val="11.0"/>
      </rPr>
      <t>Kit ROOF Mecha</t>
    </r>
    <r>
      <rPr>
        <rFont val="Calibri"/>
        <color theme="1"/>
        <sz val="11.0"/>
      </rPr>
      <t xml:space="preserve"> - Tornillo Hexagonal Galv. 4" + Arandela Trap. 30 mm</t>
    </r>
  </si>
  <si>
    <r>
      <rPr>
        <rFont val="Calibri"/>
        <b/>
        <color theme="1"/>
        <sz val="11.0"/>
      </rPr>
      <t>Kit ROOF Aguja</t>
    </r>
    <r>
      <rPr>
        <rFont val="Calibri"/>
        <color theme="1"/>
        <sz val="11.0"/>
      </rPr>
      <t xml:space="preserve"> - Tornillo Hexagonal Galv. 5· + Arandela Trap. 30 mm</t>
    </r>
  </si>
  <si>
    <t>Bulon 1/4 x 1 " - Chapa BC-120</t>
  </si>
  <si>
    <t>Gancho J p. Cerchas COMPLETO - 1/4 x 110 mm</t>
  </si>
  <si>
    <t>Gancho J p. Cerchas COMPLETO - 1/4 x 150 mm</t>
  </si>
  <si>
    <t>Silicona Neutra - Silva Selantes - 380 gr. BLNCA</t>
  </si>
  <si>
    <t>Silicona Neutra - Silva Selantes - 270 gr. BLNCA</t>
  </si>
  <si>
    <t xml:space="preserve">Tornillo Hexagonal Galv. de 6" pta. mecha </t>
  </si>
  <si>
    <t>Tornillo Hexagonal Galv. de 3" pta. mecha</t>
  </si>
  <si>
    <t>Tornillo Hexagonal Galv. de 4" pta. mecha</t>
  </si>
  <si>
    <t>PLATA</t>
  </si>
  <si>
    <t>Tornillo Hexagonal Galv. de 4" pta. mecha (100 u.)</t>
  </si>
  <si>
    <t>Tornillo Hexagonal Galv. de 6" pta. mecha (100 u.)</t>
  </si>
  <si>
    <t>Tornillo Hexagonal Galv. de 7" pta. aguja (100 u.)</t>
  </si>
  <si>
    <t>MNTF</t>
  </si>
  <si>
    <t>Anclaje Z</t>
  </si>
  <si>
    <t xml:space="preserve">La Casa del Tornillo </t>
  </si>
  <si>
    <t>Tuerca union Hexagonal - Extencion de Varilla</t>
  </si>
  <si>
    <t>Caballete Roof</t>
  </si>
  <si>
    <t>Bromplast 8</t>
  </si>
  <si>
    <t>Tortuga Plastica PVC - Gris - BROMYROS</t>
  </si>
  <si>
    <t>DXMAX</t>
  </si>
  <si>
    <r>
      <rPr>
        <rFont val="Calibri"/>
        <b/>
        <color rgb="FF351C75"/>
        <sz val="11.0"/>
      </rPr>
      <t>DX900</t>
    </r>
    <r>
      <rPr>
        <rFont val="Calibri"/>
        <color rgb="FF351C75"/>
        <sz val="11.0"/>
      </rPr>
      <t xml:space="preserve"> - Sellador Estructural de Silicona</t>
    </r>
  </si>
  <si>
    <r>
      <rPr>
        <rFont val="Calibri"/>
        <b/>
        <color rgb="FF351C75"/>
        <sz val="11.0"/>
      </rPr>
      <t>DX700</t>
    </r>
    <r>
      <rPr>
        <rFont val="Calibri"/>
        <color rgb="FF351C75"/>
        <sz val="11.0"/>
      </rPr>
      <t xml:space="preserve"> - Sellador – Silicona Neutra - 420 gr.</t>
    </r>
  </si>
  <si>
    <r>
      <rPr>
        <rFont val="Calibri"/>
        <b/>
        <color rgb="FF351C75"/>
        <sz val="11.0"/>
      </rPr>
      <t>DX 1000</t>
    </r>
    <r>
      <rPr>
        <rFont val="Calibri"/>
        <color rgb="FF351C75"/>
        <sz val="11.0"/>
      </rPr>
      <t xml:space="preserve"> - Sellador Estructural de Silicona (Fachada Vidriada)</t>
    </r>
  </si>
  <si>
    <r>
      <rPr>
        <rFont val="Calibri"/>
        <b/>
        <color rgb="FF351C75"/>
        <sz val="11.0"/>
      </rPr>
      <t>DX1000</t>
    </r>
    <r>
      <rPr>
        <rFont val="Calibri"/>
        <color rgb="FF351C75"/>
        <sz val="11.0"/>
      </rPr>
      <t xml:space="preserve">  (A+B) Balde A y B 19L.</t>
    </r>
  </si>
  <si>
    <t>A consultar</t>
  </si>
  <si>
    <r>
      <rPr>
        <rFont val="Calibri"/>
        <b/>
        <color rgb="FF351C75"/>
        <sz val="11.0"/>
      </rPr>
      <t>DX930</t>
    </r>
    <r>
      <rPr>
        <rFont val="Calibri"/>
        <color rgb="FF351C75"/>
        <sz val="11.0"/>
      </rPr>
      <t xml:space="preserve"> - Espuma Poliuretano – Espuma Expansiva - 750 ml</t>
    </r>
  </si>
  <si>
    <r>
      <rPr>
        <rFont val="Calibri"/>
        <b/>
        <color rgb="FF351C75"/>
        <sz val="11.0"/>
      </rPr>
      <t>DX940</t>
    </r>
    <r>
      <rPr>
        <rFont val="Calibri"/>
        <color rgb="FF351C75"/>
        <sz val="11.0"/>
      </rPr>
      <t xml:space="preserve"> - Espuma Poliuretano – Espuma Adhesiva</t>
    </r>
  </si>
  <si>
    <r>
      <rPr>
        <rFont val="Calibri"/>
        <b/>
        <color rgb="FF351C75"/>
        <sz val="11.0"/>
      </rPr>
      <t>DX950</t>
    </r>
    <r>
      <rPr>
        <rFont val="Calibri"/>
        <color rgb="FF351C75"/>
        <sz val="11.0"/>
      </rPr>
      <t xml:space="preserve"> - Adhesivo anclaje Bicomponente (con boquilla mezcladora)</t>
    </r>
  </si>
  <si>
    <r>
      <rPr>
        <rFont val="Calibri"/>
        <b/>
        <color rgb="FF351C75"/>
        <sz val="11.0"/>
      </rPr>
      <t>DX600</t>
    </r>
    <r>
      <rPr>
        <rFont val="Calibri"/>
        <color rgb="FF351C75"/>
        <sz val="11.0"/>
      </rPr>
      <t xml:space="preserve"> - Sellador Acrílico Superior</t>
    </r>
  </si>
  <si>
    <r>
      <rPr>
        <rFont val="Calibri"/>
        <b/>
        <color rgb="FF351C75"/>
        <sz val="11.0"/>
      </rPr>
      <t>DX1000</t>
    </r>
    <r>
      <rPr>
        <rFont val="Calibri"/>
        <color rgb="FF351C75"/>
        <sz val="11.0"/>
      </rPr>
      <t xml:space="preserve"> (A+B) Tambor A 190 L.   +   Balde B 19 L.</t>
    </r>
  </si>
  <si>
    <r>
      <rPr>
        <rFont val="Calibri"/>
        <b/>
        <color rgb="FF351C75"/>
        <sz val="11.0"/>
      </rPr>
      <t>APL-DX01</t>
    </r>
    <r>
      <rPr>
        <rFont val="Calibri"/>
        <color rgb="FF351C75"/>
        <sz val="11.0"/>
      </rPr>
      <t xml:space="preserve"> Pistola Aplicadora (Adhesivo, anclaje y Sellador)</t>
    </r>
  </si>
  <si>
    <r>
      <rPr>
        <rFont val="Calibri"/>
        <b/>
        <color rgb="FF351C75"/>
        <sz val="11.0"/>
      </rPr>
      <t>APL-DX03</t>
    </r>
    <r>
      <rPr>
        <rFont val="Calibri"/>
        <color rgb="FF351C75"/>
        <sz val="11.0"/>
      </rPr>
      <t xml:space="preserve"> Pistola Aplicadora (Espuma Expansiva)</t>
    </r>
  </si>
  <si>
    <t>TOTAL</t>
  </si>
  <si>
    <t>Remache POP 5/32 x 1/2</t>
  </si>
  <si>
    <t>Remache POP 3/16 x 1/2</t>
  </si>
  <si>
    <t>Tornillo Exagonal 12 x 3/4 "</t>
  </si>
  <si>
    <t>Tornillo Exagonal 12 x 1 " P. Mecha</t>
  </si>
  <si>
    <t>Tornillo Exagonal 12 x 2 1/2"  P. Mecha</t>
  </si>
  <si>
    <t xml:space="preserve">Tornillo Exagonal p. aguja de 12 x 2" </t>
  </si>
  <si>
    <t xml:space="preserve">Tornillo Exagonal p. aguja de 12 x 3" </t>
  </si>
  <si>
    <r>
      <rPr>
        <rFont val="Calibri"/>
        <color theme="1"/>
        <sz val="11.0"/>
      </rPr>
      <t xml:space="preserve">Tornillo Hexagonal p. aguja </t>
    </r>
    <r>
      <rPr>
        <rFont val="Calibri"/>
        <color rgb="FFFF0000"/>
        <sz val="11.0"/>
      </rPr>
      <t>para PU 20mm</t>
    </r>
    <r>
      <rPr>
        <rFont val="Calibri"/>
        <color theme="1"/>
        <sz val="11.0"/>
      </rPr>
      <t xml:space="preserve"> de 4"  largo</t>
    </r>
  </si>
  <si>
    <t>SEPTIEMBRE 2022 - A CONSIDERAR COSTO A MALDOANDO MÁS 10 %</t>
  </si>
  <si>
    <t>Varilla Roscada 1/2</t>
  </si>
  <si>
    <t>Varilla Roscada 12 mm</t>
  </si>
  <si>
    <t>Tuerca Hexagonal 1/2</t>
  </si>
  <si>
    <t>Tuerca Hexagonal 12 mm</t>
  </si>
  <si>
    <t>Arandela Carrocero 12 mm</t>
  </si>
  <si>
    <t>Arandela Plana 12 mm</t>
  </si>
  <si>
    <t>Peso de Productos anclajes (g)</t>
  </si>
  <si>
    <t>Individual</t>
  </si>
  <si>
    <t>x 10</t>
  </si>
  <si>
    <t>x 50</t>
  </si>
  <si>
    <t>x 100</t>
  </si>
  <si>
    <t>Tornillos T1</t>
  </si>
  <si>
    <t>Arandelas Trapezoidales Bromyros</t>
  </si>
  <si>
    <t>Arandelas Trapezoidales Becam Hiansapanel</t>
  </si>
  <si>
    <t>Arandelas Trapezoidales Importación</t>
  </si>
  <si>
    <t>Arandela Plana 6-8mm</t>
  </si>
  <si>
    <t>tuerca hexagonal 8mm</t>
  </si>
  <si>
    <t>tuerca hexagonal 6mm</t>
  </si>
  <si>
    <t>1 Anclaje de 100 mm =</t>
  </si>
  <si>
    <t>1/4 varilla. 2 tuercas. 1 tuerca. 1 ara plana. ara. carrocero</t>
  </si>
  <si>
    <t>1 Anclaje de Isoroof TERRACOTAS =</t>
  </si>
  <si>
    <t>1 tornillo punta mecha + arandela trap.</t>
  </si>
  <si>
    <t>1 Anclaje de Isoroof GRISES =</t>
  </si>
  <si>
    <t>Pac Anclajes de Chapas BC-18 =</t>
  </si>
  <si>
    <t>1 tornillo punta mecha + arandela Vulca + Caballete.</t>
  </si>
  <si>
    <t>Pac Anclajes de Chapas BC-35 =</t>
  </si>
  <si>
    <t>Kin Anclaje U-Platea =</t>
  </si>
  <si>
    <t>1 Taco Expansivo + arandela + tuerca exagonal + 1/8 Varilla 6mm</t>
  </si>
  <si>
    <t>Costos 8 Unidades 1 Varilla</t>
  </si>
  <si>
    <t>Basado en costos para 8mm</t>
  </si>
  <si>
    <r>
      <rPr>
        <rFont val="Calibri"/>
        <color theme="1"/>
        <sz val="11.0"/>
      </rPr>
      <t xml:space="preserve">Marzo 2022 - </t>
    </r>
    <r>
      <rPr>
        <rFont val="Calibri"/>
        <b/>
        <color theme="1"/>
        <sz val="11.0"/>
      </rPr>
      <t>MARIA GABRIELA FLEURQUIN</t>
    </r>
  </si>
  <si>
    <t>Mercado Libre</t>
  </si>
  <si>
    <t>Tornillo Punta Aguja Type 14x5</t>
  </si>
  <si>
    <t>Tornillo T1</t>
  </si>
  <si>
    <t>Silicona Neutra Premium Silva Selantes</t>
  </si>
  <si>
    <t>Rollo Membrana Autoadeshica</t>
  </si>
  <si>
    <t>PU Gris</t>
  </si>
  <si>
    <t>WIX</t>
  </si>
  <si>
    <t>Foto</t>
  </si>
  <si>
    <t>Codigo</t>
  </si>
  <si>
    <t>Costo m2 U$S + IVA</t>
  </si>
  <si>
    <t>WEB Venta + IVA</t>
  </si>
  <si>
    <t xml:space="preserve">WEB Venta IVA inc. </t>
  </si>
  <si>
    <t>PANELES</t>
  </si>
  <si>
    <t>Consumidor Final M2</t>
  </si>
  <si>
    <t xml:space="preserve">URL </t>
  </si>
  <si>
    <t>PHB30</t>
  </si>
  <si>
    <r>
      <rPr>
        <rFont val="Calibri"/>
        <color rgb="FFCC0000"/>
        <sz val="11.0"/>
      </rPr>
      <t xml:space="preserve">PUR HiansaPanel 30mm 5G : </t>
    </r>
    <r>
      <rPr>
        <rFont val="Calibri"/>
        <b/>
        <color rgb="FFCC0000"/>
        <sz val="11.0"/>
      </rPr>
      <t>2,95 - 3,95 - 4,95 - 5,95 - 6,95 - 7,95  - 11,90  m</t>
    </r>
    <r>
      <rPr>
        <rFont val="Calibri"/>
        <color rgb="FFCC0000"/>
        <sz val="11.0"/>
      </rPr>
      <t xml:space="preserve"> / </t>
    </r>
    <r>
      <rPr>
        <rFont val="Calibri"/>
        <color rgb="FF000000"/>
        <sz val="11.0"/>
      </rPr>
      <t>Gris Pizarra / Rojo Teja</t>
    </r>
  </si>
  <si>
    <t>Costo unit U$S + IVA</t>
  </si>
  <si>
    <t>ENTREGA INMEDIATA</t>
  </si>
  <si>
    <t>PHIANB295</t>
  </si>
  <si>
    <t>Hianza Panel de Becam 30 mm 5G - de 2,95 m de largo</t>
  </si>
  <si>
    <t>PHIANB395</t>
  </si>
  <si>
    <t>Hianza Panel de Becam 30 mm 5G - de 3,95 m de largo</t>
  </si>
  <si>
    <t>PHIANB495</t>
  </si>
  <si>
    <t>Hianza Panel de Becam 30 mm 5G - de 4,95 m de largo</t>
  </si>
  <si>
    <t>PHIANB595</t>
  </si>
  <si>
    <t>Hianza Panel de Becam 30 mm 5G - de 5,95 m de largo</t>
  </si>
  <si>
    <t>PHIANB695</t>
  </si>
  <si>
    <t>Hianza Panel de Becam 30 mm 5G - de 6,95 m de largo</t>
  </si>
  <si>
    <t>PHIANB795</t>
  </si>
  <si>
    <t>Hianza Panel de Becam 30 mm 5G - de 7,95 m de largo</t>
  </si>
  <si>
    <t>PHIANB1190</t>
  </si>
  <si>
    <t>Hianza Panel de Becam 30 mm 5G - de 11,90 m de largo</t>
  </si>
  <si>
    <t>FR30P</t>
  </si>
  <si>
    <t>Frontalín Prep. Gris Pizarra / Rojo Teja</t>
  </si>
  <si>
    <t>LD30P</t>
  </si>
  <si>
    <t>Perfil Lateral Derecho Prep. Gris Pizarra / Rojo Teja</t>
  </si>
  <si>
    <t>LI30P</t>
  </si>
  <si>
    <t>Perfil Lateral Izquierdo Prep. Gris Pizarra / Rojo Teja</t>
  </si>
  <si>
    <t>CLCP5G</t>
  </si>
  <si>
    <t>Cumbrera Lisa c. Cresta Prep. 5G   *Gris Pizarra / Rojo Teja</t>
  </si>
  <si>
    <r>
      <rPr>
        <rFont val="Calibri"/>
        <b/>
        <color rgb="FFFF0000"/>
        <sz val="11.0"/>
      </rPr>
      <t xml:space="preserve">BECAM flete a Colonia y Rocha /// </t>
    </r>
    <r>
      <rPr>
        <rFont val="Calibri"/>
        <b/>
        <color rgb="FF000000"/>
        <sz val="11.0"/>
      </rPr>
      <t>Sumar 6% de costo extra</t>
    </r>
    <r>
      <rPr>
        <rFont val="Calibri"/>
        <b/>
        <color rgb="FFFF0000"/>
        <sz val="11.0"/>
      </rPr>
      <t xml:space="preserve"> //</t>
    </r>
  </si>
  <si>
    <t>ARATRAP</t>
  </si>
  <si>
    <t xml:space="preserve">Arandela Trapezoidal - Todos los paneles - Unidad -  Gris. Terracota   </t>
  </si>
  <si>
    <t>Actualizado</t>
  </si>
  <si>
    <t>CHAPAS CONVENCIONALES</t>
  </si>
  <si>
    <t>Precio MLib (Iva inc)</t>
  </si>
  <si>
    <t>Precio m lineal</t>
  </si>
  <si>
    <t>falta</t>
  </si>
  <si>
    <t>Costo ml U$S + IVA</t>
  </si>
  <si>
    <t>Venta ml + IVA</t>
  </si>
  <si>
    <t>Metros de chapas disponibles para cortar</t>
  </si>
  <si>
    <t>0,5</t>
  </si>
  <si>
    <t>BC30</t>
  </si>
  <si>
    <t>CHALC33</t>
  </si>
  <si>
    <t>Chapas Aluzinc Cal. 33 - BC18 - BC30 - BC35 / Esp. 0.23 mm</t>
  </si>
  <si>
    <t>5% - 5%</t>
  </si>
  <si>
    <t>CHALC31</t>
  </si>
  <si>
    <t>Chapas Aluzinc Cal. 31 - BC18 - BC30 - BC35 / Esp. 0.31 mm</t>
  </si>
  <si>
    <t>CHALC26</t>
  </si>
  <si>
    <t>Chapas Aluzinc Cal. 26 - BC18 - BC30 - BC35 / Esp. 0.41 mm</t>
  </si>
  <si>
    <t>CHALC24</t>
  </si>
  <si>
    <t>Chapas Aluzinc Cal. 24 - BC18 - BC30 - BC35 / Esp. 0.50 mm</t>
  </si>
  <si>
    <t>CHALC22</t>
  </si>
  <si>
    <t>Chapas Aluzinc Cal. 22 - BC18 - BC30 - BC35 / Esp. 0.70 mm</t>
  </si>
  <si>
    <t>CHPPC26</t>
  </si>
  <si>
    <r>
      <rPr>
        <rFont val="Calibri"/>
        <color theme="1"/>
        <sz val="11.0"/>
      </rPr>
      <t xml:space="preserve">Chapas Prepintada Cal. 26 - BC18 - BC30 - BC35 / Esp. 0.41 mm </t>
    </r>
    <r>
      <rPr>
        <rFont val="Calibri"/>
        <b/>
        <color theme="1"/>
        <sz val="11.0"/>
      </rPr>
      <t xml:space="preserve">/ </t>
    </r>
    <r>
      <rPr>
        <rFont val="Calibri"/>
        <b/>
        <color rgb="FF0000FF"/>
        <sz val="11.0"/>
      </rPr>
      <t xml:space="preserve">Azul </t>
    </r>
    <r>
      <rPr>
        <rFont val="Calibri"/>
        <b/>
        <color theme="1"/>
        <sz val="11.0"/>
      </rPr>
      <t xml:space="preserve">/ </t>
    </r>
    <r>
      <rPr>
        <rFont val="Calibri"/>
        <b/>
        <color rgb="FF434343"/>
        <sz val="11.0"/>
      </rPr>
      <t>Gris Piz.</t>
    </r>
    <r>
      <rPr>
        <rFont val="Calibri"/>
        <b/>
        <color theme="1"/>
        <sz val="11.0"/>
      </rPr>
      <t xml:space="preserve"> /</t>
    </r>
    <r>
      <rPr>
        <rFont val="Calibri"/>
        <b/>
        <color rgb="FF85200C"/>
        <sz val="11.0"/>
      </rPr>
      <t xml:space="preserve"> </t>
    </r>
    <r>
      <rPr>
        <rFont val="Calibri"/>
        <b/>
        <color rgb="FFA61C00"/>
        <sz val="11.0"/>
      </rPr>
      <t>Terracota</t>
    </r>
    <r>
      <rPr>
        <rFont val="Calibri"/>
        <b/>
        <color theme="1"/>
        <sz val="11.0"/>
      </rPr>
      <t xml:space="preserve"> / </t>
    </r>
    <r>
      <rPr>
        <rFont val="Calibri"/>
        <b/>
        <color rgb="FF38761D"/>
        <sz val="11.0"/>
      </rPr>
      <t>Verde</t>
    </r>
  </si>
  <si>
    <t>CHPPC24</t>
  </si>
  <si>
    <r>
      <rPr>
        <rFont val="Calibri"/>
        <color theme="1"/>
        <sz val="11.0"/>
      </rPr>
      <t>Chapas Prepintada Cal. 24 - BC18 - BC30 - BC35 / Esp. 0.50 mm</t>
    </r>
    <r>
      <rPr>
        <rFont val="Calibri"/>
        <b/>
        <color theme="1"/>
        <sz val="11.0"/>
      </rPr>
      <t xml:space="preserve"> /</t>
    </r>
    <r>
      <rPr>
        <rFont val="Calibri"/>
        <b/>
        <color rgb="FFEFEFEF"/>
        <sz val="11.0"/>
      </rPr>
      <t xml:space="preserve"> </t>
    </r>
    <r>
      <rPr>
        <rFont val="Calibri"/>
        <b/>
        <color rgb="FFCCCCCC"/>
        <sz val="11.0"/>
      </rPr>
      <t>Blanco</t>
    </r>
    <r>
      <rPr>
        <rFont val="Calibri"/>
        <b/>
        <color theme="1"/>
        <sz val="11.0"/>
      </rPr>
      <t xml:space="preserve"> / </t>
    </r>
    <r>
      <rPr>
        <rFont val="Calibri"/>
        <b/>
        <color rgb="FF434343"/>
        <sz val="11.0"/>
      </rPr>
      <t>Gris Piz.</t>
    </r>
    <r>
      <rPr>
        <rFont val="Calibri"/>
        <b/>
        <color theme="1"/>
        <sz val="11.0"/>
      </rPr>
      <t xml:space="preserve"> / </t>
    </r>
    <r>
      <rPr>
        <rFont val="Calibri"/>
        <b/>
        <color rgb="FFA61C00"/>
        <sz val="11.0"/>
      </rPr>
      <t>Terracota</t>
    </r>
    <r>
      <rPr>
        <rFont val="Calibri"/>
        <b/>
        <color theme="1"/>
        <sz val="11.0"/>
      </rPr>
      <t xml:space="preserve"> / Negro</t>
    </r>
  </si>
  <si>
    <t>CHTJPPC26</t>
  </si>
  <si>
    <t>Chapateja Prepintada Cal. 26  / Esp. 0.41 mm</t>
  </si>
  <si>
    <t>CHTJPPC27</t>
  </si>
  <si>
    <t>Chapateja Prepintada Cal. 27  / Esp. 0.41 mm</t>
  </si>
  <si>
    <t>CHTJPPC24</t>
  </si>
  <si>
    <t>Chapateja Prepintada Cal. 24 / Esp. 0.50 mm</t>
  </si>
  <si>
    <t>CHAPALC26</t>
  </si>
  <si>
    <t>Autoportante Aluzinc BC-120 Cal. 26  / Esp. 0.41 mm</t>
  </si>
  <si>
    <t>CHAPALC24</t>
  </si>
  <si>
    <t>Autoportante Aluzinc BC-120 Cal. 24 / Esp. 0.50 mm</t>
  </si>
  <si>
    <t>CHAPALC22</t>
  </si>
  <si>
    <t>Autoportante Aluzinc BC-120 Cal. 22 / Esp. 0.70 mm</t>
  </si>
  <si>
    <t>CHAPGLC20</t>
  </si>
  <si>
    <t>Autoportante Galvanizado BC-120 Cal. 20 / Esp. 0.89 mm</t>
  </si>
  <si>
    <t>CHAPGLC19</t>
  </si>
  <si>
    <t>Autoportante Galvanizado BC-120 Cal. 19 / Esp. 1.11 mm</t>
  </si>
  <si>
    <t>CHAPPC26</t>
  </si>
  <si>
    <t>Autoportante Prepintada Cal. 26  / Esp. 0.41 mm</t>
  </si>
  <si>
    <t>CHAPPC24</t>
  </si>
  <si>
    <t>Autoportante Prepintada Cal. 24 / Esp. 0.50 mm</t>
  </si>
  <si>
    <t>CHLIC33</t>
  </si>
  <si>
    <t>Chapa Lisa Aluzinc Cal. 33 / Esp. 0.23mm</t>
  </si>
  <si>
    <t>CHLIC31</t>
  </si>
  <si>
    <t>Chapa Lisa Aluzinc Cal. 31 / Esp. 0.31 mm</t>
  </si>
  <si>
    <t>CHLIC26</t>
  </si>
  <si>
    <t>Chapa Lisa Aluzinc Cal. 26 / Esp. 0.41 mm</t>
  </si>
  <si>
    <t>CHLIC24</t>
  </si>
  <si>
    <t>Chapa Lisa Aluzinc Cal. 24 / Esp. 0.50 mm</t>
  </si>
  <si>
    <t>CHLIC22</t>
  </si>
  <si>
    <t>Chapa Lisa Aluzinc Cal. 22 / Esp. 0.70 mm</t>
  </si>
  <si>
    <t>CHLIGC20</t>
  </si>
  <si>
    <t>Chapa Lisa Galvanizada Cal. 20 / Esp. 0.89 mm / Ancho útil 1.22 m</t>
  </si>
  <si>
    <t>CHLIGC19</t>
  </si>
  <si>
    <t>Chapa Lisa Galvanizada Cal. 19 / Esp. 1.11 mm / Ancho útil 1.20 m</t>
  </si>
  <si>
    <t>Chapa Lisa Galvanizada Cal. 18 / Esp. 1.25 mm / Ancho útil 1.20 m</t>
  </si>
  <si>
    <t>Chapa Lisa Galvanizada Cal. 16 / Esp. 1.55 mm / Ancho útil 1.20 m</t>
  </si>
  <si>
    <t>Chapa Lisa Galvanizada Cal. 14 / Esp. 2.00 mm / Ancho útil 1.20 m  - chapa de 3 metros</t>
  </si>
  <si>
    <t>Chapa Lisa Galvanizada Cal. 12 / Esp. 2.70 mm / Ancho útil 1 m solo chapa de 3 metros</t>
  </si>
  <si>
    <t>CHLIGC11</t>
  </si>
  <si>
    <t>Chapa Lisa Galvanizada Cal. 11 / Esp. 3.00 mm (chapas 1x4 m)  solo chapa de 1 x 4m</t>
  </si>
  <si>
    <t>CHLIPPC26</t>
  </si>
  <si>
    <t>Chapa Lisa Prepintada Cal. 26 / Esp. 0.41 mm</t>
  </si>
  <si>
    <t>CHLIPPC24</t>
  </si>
  <si>
    <t>Chapa Lisa Prepintada Cal. 24 / Esp. 0.50 mm</t>
  </si>
  <si>
    <t>Chapa BC-700  ALUZINC Cal. 22  esp. 0,7mm // 0,7m ancho</t>
  </si>
  <si>
    <t>CHLIC21</t>
  </si>
  <si>
    <t>Chapa BC-700  GALVANIZADA Cal. 21  esp. 0,89mm // 0,7m ancho</t>
  </si>
  <si>
    <t>CHLIC19</t>
  </si>
  <si>
    <t>Chapa BC-800  Aluzinc Cal. 19 esp. 0,7mm // 0,8m ancho</t>
  </si>
  <si>
    <t>CHLIC18</t>
  </si>
  <si>
    <t>Chapa BC-800  Aluzinc Cal. 18  esp. 0,7mm // 0,8m ancho</t>
  </si>
  <si>
    <t>CHLIC16</t>
  </si>
  <si>
    <t>Chapa BC-800  Aluzinc Cal. 16 esp. 0,7mm // 0,8m ancho</t>
  </si>
  <si>
    <t>llegué hasta acá 06-10-2022</t>
  </si>
  <si>
    <t>ACCESORIOS</t>
  </si>
  <si>
    <t>CUMBRERAS</t>
  </si>
  <si>
    <t>CUMLAMA</t>
  </si>
  <si>
    <t>Cumbreras Lisa a Medida Aluzinc BC-18/30/35-Teja/Panel</t>
  </si>
  <si>
    <t>CUMLAMPP</t>
  </si>
  <si>
    <t>Cumbreras Lisa a Medida Prepintada BC-18/30/35-Teja/Panel</t>
  </si>
  <si>
    <t>CUMLSA</t>
  </si>
  <si>
    <t>Cumbreras Lisa De Stock Aluzinc BC-18/30/35-Teja/Panel     3m</t>
  </si>
  <si>
    <t>Cumbreras Lisa De Stock Prepintada BC-18/30/35-Teja/Panel     3m</t>
  </si>
  <si>
    <t>CUPAL1835</t>
  </si>
  <si>
    <t>Cumbrera Perfilada Aluzinc BC18/BC35 *</t>
  </si>
  <si>
    <t>CUPP1835</t>
  </si>
  <si>
    <t>Cumbrera Perfilada Prepintada BC18/BC35 *</t>
  </si>
  <si>
    <t>CULICAL</t>
  </si>
  <si>
    <t>Cumbrera Lisa con Cresta Aluzinc BC-18/30/35-Teja/Panel *</t>
  </si>
  <si>
    <t>CULICPP</t>
  </si>
  <si>
    <t>Cumbrera Lisa con Cresta Prepintada BC-18/30/35-Teja/Panel *</t>
  </si>
  <si>
    <t>CULICAL120</t>
  </si>
  <si>
    <t>Cumbrera Lisa con Cresta Aluzinc BC-120 *</t>
  </si>
  <si>
    <t>CULICPP120</t>
  </si>
  <si>
    <t>Cumbrera Lisa con Cresta Prepintada BC-120 *</t>
  </si>
  <si>
    <t>BABETA</t>
  </si>
  <si>
    <t>BBLM31AL</t>
  </si>
  <si>
    <t>Babeta Lisa a Medida 0.31 mm BC-18/30/35-Teja/Panel - Aluzinc</t>
  </si>
  <si>
    <t>BBLM26AL</t>
  </si>
  <si>
    <t>Babeta Lisa a Medida 0.41 mm BC-18/30/35/120 -Teja/Panel - Aluzinc</t>
  </si>
  <si>
    <t>BBLM41PP</t>
  </si>
  <si>
    <t>Babeta Lisa a Medida 0.41 mm BC-18/30/35/120 -Teja/Panel - Prepintada</t>
  </si>
  <si>
    <t xml:space="preserve">  </t>
  </si>
  <si>
    <t>BBLDSAL</t>
  </si>
  <si>
    <t>Babeta Lisa de Stock BC-18/30/35-Teja/Panel - Aluzinc</t>
  </si>
  <si>
    <t>BBLDSPP</t>
  </si>
  <si>
    <t>Babeta Lisa de Stock BC-18/30/35-Teja/Panel - Prepintada</t>
  </si>
  <si>
    <t>BBLCCAL</t>
  </si>
  <si>
    <t>Babeta Lisa con Cresta BC-18/30/35/120 -Teja/Panel - Aluzinc *</t>
  </si>
  <si>
    <t>BBLCCPP</t>
  </si>
  <si>
    <t>Babeta Lisa con Cresta BC-18/30/35/120 -Teja/Panel - Prepintada *</t>
  </si>
  <si>
    <t>BBP700AL</t>
  </si>
  <si>
    <t>Perfilada (apoyo superior) BC-700 Unidad - Aluzinc</t>
  </si>
  <si>
    <t>BBP800AL</t>
  </si>
  <si>
    <t>Perfilada (apoyo superior) BC-800 Unidad - Aluzinc</t>
  </si>
  <si>
    <t>CANALON</t>
  </si>
  <si>
    <t>CANAM31AL</t>
  </si>
  <si>
    <t>Canalon a medida 0.31 mm BC-18/30/35-Teja/Panel - Aluzinc</t>
  </si>
  <si>
    <t>CANAM26AL</t>
  </si>
  <si>
    <t>Canalon a medida 0.41 mm BC-18/30/35-Teja/Panel - Aluzinc</t>
  </si>
  <si>
    <t>CANAM26PP</t>
  </si>
  <si>
    <t>Canalon a medida 0.41 mm BC-18/30/35-Teja/Panel - Prepintado / ml</t>
  </si>
  <si>
    <t>TACANAL</t>
  </si>
  <si>
    <t>Tapa de Canalon - Todas las chapas - Aluzinc</t>
  </si>
  <si>
    <t>TACANPP</t>
  </si>
  <si>
    <t>Tapa de Canalon - Todas las chapas - Prepintado</t>
  </si>
  <si>
    <t>CONBPVC</t>
  </si>
  <si>
    <t>Conexión de Bajada PVC - Todas las chapas</t>
  </si>
  <si>
    <t>SCANAL</t>
  </si>
  <si>
    <t>Soporte de Canalón - Todas las chapas - Aluzinc</t>
  </si>
  <si>
    <t>SCANPP</t>
  </si>
  <si>
    <t>Soporte de Canalón - Todas las chapas - Prepintado</t>
  </si>
  <si>
    <t>REJCAN1M</t>
  </si>
  <si>
    <t>Rejilla de Canalón - 1 m de largo</t>
  </si>
  <si>
    <t>CABALLETES</t>
  </si>
  <si>
    <t>CABC18</t>
  </si>
  <si>
    <t>Caballete BC-18 - Unidad</t>
  </si>
  <si>
    <t>CABC35</t>
  </si>
  <si>
    <t>Caballete BC-35 - Unidad</t>
  </si>
  <si>
    <t>CABDBC700</t>
  </si>
  <si>
    <t>Caballete Art. Doble BC-700 - Unidad</t>
  </si>
  <si>
    <t>CABDBC800</t>
  </si>
  <si>
    <t>Caballete Art. Doble BC-800 - Unidad</t>
  </si>
  <si>
    <t>CABTBC801</t>
  </si>
  <si>
    <t>Caballete Art. Triple BC-800 - Unidad</t>
  </si>
  <si>
    <t>CABSCU</t>
  </si>
  <si>
    <t>Caballete sin cargo - Unidad</t>
  </si>
  <si>
    <t>COMAY700</t>
  </si>
  <si>
    <t>Cerramiento de onda mayor BC-700 - Unidad</t>
  </si>
  <si>
    <t>COMEN700</t>
  </si>
  <si>
    <t>Cerramiento de onda menor BC-700 - Unidad</t>
  </si>
  <si>
    <t>COMAY800</t>
  </si>
  <si>
    <t>Cerramiento de onda mayor BC-800 - Unidad</t>
  </si>
  <si>
    <t>COMEN800</t>
  </si>
  <si>
    <t>Cerramiento de onda menor BC-800 - Unidad</t>
  </si>
  <si>
    <t>CESC120U</t>
  </si>
  <si>
    <t>Cerramiento sin cargo BC-120 - Unidad</t>
  </si>
  <si>
    <t>VINBORBC120</t>
  </si>
  <si>
    <t>Vinculador de Borde BC-120 - Unidad</t>
  </si>
  <si>
    <t>VINFDVBC120</t>
  </si>
  <si>
    <t>Vinculador de Fibra de Vidrio  BC-120 - Unidad</t>
  </si>
  <si>
    <t>VINRIGBC120</t>
  </si>
  <si>
    <t>Vinculador de Rigides  BC-120 - Unidad</t>
  </si>
  <si>
    <t>COMP1MBC18</t>
  </si>
  <si>
    <t>Compriban - L= 1.00 mt. BC-18</t>
  </si>
  <si>
    <t>COMP1MBC35</t>
  </si>
  <si>
    <t>Compriban - L= 1.00 mt. BC-35</t>
  </si>
  <si>
    <t>COMP1MBC30</t>
  </si>
  <si>
    <t>Compriban - L= 1.00 mt. BC-30 y Chapateja</t>
  </si>
  <si>
    <t>Compriban - L= 1.00 mt. Panel Cubierta</t>
  </si>
  <si>
    <t>FRONTALIN</t>
  </si>
  <si>
    <t>FROROOF</t>
  </si>
  <si>
    <t>Frontalin - Panel Cubierta y Agro - Des. 0.15 cm - 2.15 m L /  Gris Pizarra -  Rojo Teja</t>
  </si>
  <si>
    <t>LATERAL</t>
  </si>
  <si>
    <t>LADERROOF</t>
  </si>
  <si>
    <t>Lateral Derecha - Panel Cubierta y Agro - Des. 0.24 cm - 3 m L / Blanco. Gris. Terracota</t>
  </si>
  <si>
    <t>LAIZQROOF</t>
  </si>
  <si>
    <t>Lateral Izquierdo - Panel Cubierta y Agro - Des. 0.24 cm - 3 m L / Blanco. Gris. Terracota</t>
  </si>
  <si>
    <t>FIJACIONES</t>
  </si>
  <si>
    <t>Arandela Trapezoidal - Todos los paneles - Unidad - Blanco. Gris. Terracota</t>
  </si>
  <si>
    <t>TMOME</t>
  </si>
  <si>
    <t>Tornillo para madera o metal  - Todos los paneles - Unidad - Blanco. Gris. Terracota</t>
  </si>
  <si>
    <t>CAG100U</t>
  </si>
  <si>
    <t>Clavos de Acero Galv c/ capuchón - 100 u.  - Color</t>
  </si>
  <si>
    <t>CAG800U</t>
  </si>
  <si>
    <t>Clavos de Acero Galv c/ capuchón - 800 u. (caja cerrada)  -  Color</t>
  </si>
  <si>
    <t>TFJ65100U</t>
  </si>
  <si>
    <t>Tirafondo "J" 65 - 100 u.</t>
  </si>
  <si>
    <t>TC100U</t>
  </si>
  <si>
    <t>Tornillo de Costura - 100 u.</t>
  </si>
  <si>
    <t>APERG1"100U</t>
  </si>
  <si>
    <t>Autoperforantes 1/4" x 1" con goma -100 u.</t>
  </si>
  <si>
    <t>APERG3"100U</t>
  </si>
  <si>
    <t>Autoperforantes 1/4" x 3" con goma -100 u.</t>
  </si>
  <si>
    <t>TFJ150100U</t>
  </si>
  <si>
    <t>Tirafondo "J" 150 - 100 u.</t>
  </si>
  <si>
    <t>VR20CM</t>
  </si>
  <si>
    <t>Varilla Roscada 20 cm completa</t>
  </si>
  <si>
    <t>VR30CM</t>
  </si>
  <si>
    <t>Varilla Roscada 30 cm completa</t>
  </si>
  <si>
    <t>VR40CM</t>
  </si>
  <si>
    <t>Varilla Roscada 40 cm completa</t>
  </si>
  <si>
    <t>CORTE</t>
  </si>
  <si>
    <t>CPAMU</t>
  </si>
  <si>
    <t>Corte de Paneles - Todos los paneles - Unidad</t>
  </si>
  <si>
    <t>OTROS ACCESORIOS</t>
  </si>
  <si>
    <t>LITE3MAL</t>
  </si>
  <si>
    <t>Limatesa - 3m de Largo - BC-18/30/35-Teja - Aluzinc</t>
  </si>
  <si>
    <t>LITE3MPP</t>
  </si>
  <si>
    <t>Limatesa - 3m de Largo - BC-18/30/35-Teja - Prepintado</t>
  </si>
  <si>
    <t>LIHO3MAL</t>
  </si>
  <si>
    <t>Limahoya - 3m de Largo - BC-18/30/35-Teja - Aluzinc</t>
  </si>
  <si>
    <t>LIHO3MPP</t>
  </si>
  <si>
    <t>Limahoya - 3m de Largo - BC-18/30/35-Teja - Prepintado</t>
  </si>
  <si>
    <t>CURVCH35U</t>
  </si>
  <si>
    <t>Curvado de Chapa - BC-35 Unidad</t>
  </si>
  <si>
    <t>LA REFERENCIA DEL ASTERISCO (*) SIGNIFICA QUE LA PIEZA CUBRE EL ANCHO ÚTIL DE LA CHAPA EN CUESTIÓN</t>
  </si>
  <si>
    <t>TRASLUCIDAS</t>
  </si>
  <si>
    <t>FIBRA DE VIDRIO</t>
  </si>
  <si>
    <t>FDVBC18AM</t>
  </si>
  <si>
    <t>BC-18 / 1 m ancho útil / A medida por mt</t>
  </si>
  <si>
    <t>FDVBC30AM</t>
  </si>
  <si>
    <t>BC-30 / 0.90 m ancho útil / A medida por mt</t>
  </si>
  <si>
    <t>FDVBC35AM</t>
  </si>
  <si>
    <t>BC-35 / 0.97 m ancho útil / A medida por mt</t>
  </si>
  <si>
    <t>FDVBC120AM</t>
  </si>
  <si>
    <t>BC-120 / 0.80 m ancho útil / A medida por mt</t>
  </si>
  <si>
    <t>FDVBC700AM</t>
  </si>
  <si>
    <t>BC-700 / 0.70 m ancho útil / A medida por mt</t>
  </si>
  <si>
    <t>FDVBC800AM</t>
  </si>
  <si>
    <t>BC-800 / 0.80 m ancho útil / A medida por mt</t>
  </si>
  <si>
    <t>POLICARBONATO</t>
  </si>
  <si>
    <t>POLBC18244</t>
  </si>
  <si>
    <t>BC-18 / 1 m ancho útil / de 2.44 mt de largo</t>
  </si>
  <si>
    <t>POLBC18366</t>
  </si>
  <si>
    <t>BC-18 / 1 m ancho útil / de 3.66 mt de largo</t>
  </si>
  <si>
    <t>POLBC18457</t>
  </si>
  <si>
    <t>BC-18 / 1 m ancho útil / de 4.57 mt de largo</t>
  </si>
  <si>
    <t>POLBC18600</t>
  </si>
  <si>
    <t>BC-18 / 1 m ancho útil / de 6 mt de largo</t>
  </si>
  <si>
    <t>POLBC30250</t>
  </si>
  <si>
    <t>BC-35 / 1 m ancho útil / de 2.5 mt de largo</t>
  </si>
  <si>
    <t>POLBC30366</t>
  </si>
  <si>
    <t>BC-35 / 1 m ancho útil / de 3.66 mt de largo</t>
  </si>
  <si>
    <t>POLBC30457</t>
  </si>
  <si>
    <t>BC-35 / 1 m ancho útil / de 4.57 mt de largo</t>
  </si>
  <si>
    <t>OBRA SECA PERFILERÍA PARA YESO</t>
  </si>
  <si>
    <t>MONTANTES</t>
  </si>
  <si>
    <t>MON3543260</t>
  </si>
  <si>
    <t>Montante 35 / 0.43 mm / unidad / 2.6 mt de largo</t>
  </si>
  <si>
    <t>MON3543300</t>
  </si>
  <si>
    <t>Montante 35 / 0.43 mm / unidad / 3 mt de largo</t>
  </si>
  <si>
    <t>MON7043260</t>
  </si>
  <si>
    <t>Montante 70 / 0.43 mm / unidad / 2.6 mt de largo</t>
  </si>
  <si>
    <t>MON7043300</t>
  </si>
  <si>
    <t>Montante 70 / 0.43 mm / unidad / 3 mt de largo</t>
  </si>
  <si>
    <t>MON7050260</t>
  </si>
  <si>
    <t>Montante 35 / 0.50 mm / unidad / 2.6 mt de largo</t>
  </si>
  <si>
    <t>MON7050300</t>
  </si>
  <si>
    <t>Montante 35 / 0.50 mm / unidad / 3 mt de largo</t>
  </si>
  <si>
    <t>Montante 70 / 0.50 mm / unidad / 2.6 mt de largo</t>
  </si>
  <si>
    <t>Montante 70 / 0.50 mm / unidad / 3 mt de largo</t>
  </si>
  <si>
    <t>Montante 100 / 0.50 mm / unidad / 3 mt de largo</t>
  </si>
  <si>
    <t>SOLERAS</t>
  </si>
  <si>
    <t>SOL3543300</t>
  </si>
  <si>
    <t>Soleras 70 / 0.43 mm / unidad / 3 mt de largo</t>
  </si>
  <si>
    <t>SOL7043300</t>
  </si>
  <si>
    <t>SOL3550260</t>
  </si>
  <si>
    <t>Soleras 35 / 0.50 mm / unidad / 2.6 mt de largo</t>
  </si>
  <si>
    <t>SOL3550300</t>
  </si>
  <si>
    <t>Soleras 35 / 0.50 mm / unidad / 3 mt de largo</t>
  </si>
  <si>
    <t>SOL7050260</t>
  </si>
  <si>
    <t>Soleras 70 / 0.50 mm / unidad / 2.6 mt de largo</t>
  </si>
  <si>
    <t>SOL7050300</t>
  </si>
  <si>
    <t>Soleras 70 / 0.50 mm / unidad / 3 mt de largo</t>
  </si>
  <si>
    <t>SOL10050260</t>
  </si>
  <si>
    <t>Soleras 100 / 0.50 mm / unidad / 2.6 mt de largo</t>
  </si>
  <si>
    <t>SOL10050300</t>
  </si>
  <si>
    <t>Soleras 100 / 0.50 mm / unidad / 3 mt de largo</t>
  </si>
  <si>
    <t>OMEGA</t>
  </si>
  <si>
    <t>OMG43260</t>
  </si>
  <si>
    <t>Omega 10 / 0.43 mm / unidad / 2.6 mt de largo</t>
  </si>
  <si>
    <t>OMG43300</t>
  </si>
  <si>
    <t>Omega 10 / 0.43 mm / unidad / 3 mt de largo</t>
  </si>
  <si>
    <t>OMG50260</t>
  </si>
  <si>
    <t>Omega 10 / 0.50 mm / unidad / 2.6 mt de largo</t>
  </si>
  <si>
    <t>OMG50300</t>
  </si>
  <si>
    <t>Omega 10/ 0.50 mm / unidad / 3 mt de largo</t>
  </si>
  <si>
    <t>Omega 20 / 0.43 mm / unidad / 3 mt de largo</t>
  </si>
  <si>
    <t>Omega 20 / 0.50 mm / unidad / 2.6 mt de largo</t>
  </si>
  <si>
    <t>OMG5030020</t>
  </si>
  <si>
    <t>Omega 20 / 0.50 mm / unidad / 3 mt de largo</t>
  </si>
  <si>
    <t>PERFIL "C" PARA CORREAS</t>
  </si>
  <si>
    <t>PERFIL "C" de 6 m de LARGO</t>
  </si>
  <si>
    <t>costo x metro</t>
  </si>
  <si>
    <t>x metro</t>
  </si>
  <si>
    <t>MONC3543260</t>
  </si>
  <si>
    <t>Correa Alma 80 / 2mm/ Unidad / 6m Largo</t>
  </si>
  <si>
    <t>Correa Alma 100 / 2mm/ Unidad / 6m Largo</t>
  </si>
  <si>
    <t>MONC3543300</t>
  </si>
  <si>
    <t>Correa Alma 120 / 2mm/ Unidad / 6m Largo</t>
  </si>
  <si>
    <t>Correa Alma 120 / 1.55 mm/ Unidad / Largo A Medida</t>
  </si>
  <si>
    <t>MONC7043260</t>
  </si>
  <si>
    <t>Correa Alma 140 / 2mm/ Unidad / 6m Largo</t>
  </si>
  <si>
    <t>MONC7043300</t>
  </si>
  <si>
    <t>Correa Alma 160 / 2mm/ Unidad / 6m Largo</t>
  </si>
  <si>
    <t>MONC3550260</t>
  </si>
  <si>
    <t>Correa Alma 180 / 2mm/ Unidad / 6m Largo</t>
  </si>
  <si>
    <t>MONC3550300</t>
  </si>
  <si>
    <t>Correa Alma 200 / 2mm/ Unidad / 6m Largo</t>
  </si>
  <si>
    <t>UN-PGC2mm</t>
  </si>
  <si>
    <t>Unión Perfiles C para Correas 80mm</t>
  </si>
  <si>
    <t>Unión Perfiles C para Correas 100mm</t>
  </si>
  <si>
    <t>Unión Perfiles C para Correas 120mm</t>
  </si>
  <si>
    <t>Unión Perfiles C para Correas 140mm</t>
  </si>
  <si>
    <t>Unión Perfiles C para Correas 160mm</t>
  </si>
  <si>
    <t>Unión Perfiles C para Correas 180mm</t>
  </si>
  <si>
    <t>Unión Perfiles C para Correas 200mm</t>
  </si>
  <si>
    <t>CAÑOS - LAMINADOS EN CALIENTE</t>
  </si>
  <si>
    <t>Geometría</t>
  </si>
  <si>
    <t>CARE5816MM</t>
  </si>
  <si>
    <r>
      <rPr>
        <rFont val="Calibri"/>
        <color theme="1"/>
        <sz val="11.0"/>
      </rPr>
      <t xml:space="preserve">Redondo / 5/8" / 6 mts / </t>
    </r>
    <r>
      <rPr>
        <rFont val="Calibri"/>
        <b/>
        <color theme="1"/>
        <sz val="11.0"/>
      </rPr>
      <t>1.6 mm</t>
    </r>
  </si>
  <si>
    <t>CARE3416MM</t>
  </si>
  <si>
    <r>
      <rPr>
        <rFont val="Calibri"/>
        <color theme="1"/>
        <sz val="11.0"/>
      </rPr>
      <t xml:space="preserve">Redondo / 3/4" / 6 mts / </t>
    </r>
    <r>
      <rPr>
        <rFont val="Calibri"/>
        <b/>
        <color theme="1"/>
        <sz val="11.0"/>
      </rPr>
      <t>1.6 mm</t>
    </r>
  </si>
  <si>
    <t>CARE116MM</t>
  </si>
  <si>
    <r>
      <rPr>
        <rFont val="Calibri"/>
        <color theme="1"/>
        <sz val="11.0"/>
      </rPr>
      <t xml:space="preserve">Redondo / 1" / 6 mts / </t>
    </r>
    <r>
      <rPr>
        <rFont val="Calibri"/>
        <b/>
        <color theme="1"/>
        <sz val="11.0"/>
      </rPr>
      <t>1.6 mm</t>
    </r>
  </si>
  <si>
    <t>CARE11416MM</t>
  </si>
  <si>
    <r>
      <rPr>
        <rFont val="Calibri"/>
        <color theme="1"/>
        <sz val="11.0"/>
      </rPr>
      <t xml:space="preserve">Redondo / 1 1/4" / 6 mts / </t>
    </r>
    <r>
      <rPr>
        <rFont val="Calibri"/>
        <b/>
        <color theme="1"/>
        <sz val="11.0"/>
      </rPr>
      <t>1.6 mm</t>
    </r>
  </si>
  <si>
    <t>CARE11216MM</t>
  </si>
  <si>
    <r>
      <rPr>
        <rFont val="Calibri"/>
        <color theme="1"/>
        <sz val="11.0"/>
      </rPr>
      <t xml:space="preserve">Redondo / 1 1/2" / 6 mts / </t>
    </r>
    <r>
      <rPr>
        <rFont val="Calibri"/>
        <b/>
        <color theme="1"/>
        <sz val="11.0"/>
      </rPr>
      <t>1.6 mm</t>
    </r>
  </si>
  <si>
    <t>CARE216MM</t>
  </si>
  <si>
    <r>
      <rPr>
        <rFont val="Calibri"/>
        <color theme="1"/>
        <sz val="11.0"/>
      </rPr>
      <t xml:space="preserve">Redondo / 2" / 6 mts / </t>
    </r>
    <r>
      <rPr>
        <rFont val="Calibri"/>
        <b/>
        <color theme="1"/>
        <sz val="11.0"/>
      </rPr>
      <t>1.6 mm</t>
    </r>
  </si>
  <si>
    <t>CARE2516MM</t>
  </si>
  <si>
    <r>
      <rPr>
        <rFont val="Calibri"/>
        <color theme="1"/>
        <sz val="11.0"/>
      </rPr>
      <t xml:space="preserve">Redondo / 2,5 / 6 mts / </t>
    </r>
    <r>
      <rPr>
        <rFont val="Calibri"/>
        <b/>
        <color theme="1"/>
        <sz val="11.0"/>
      </rPr>
      <t>1.6 mm</t>
    </r>
  </si>
  <si>
    <t>CARE342MM</t>
  </si>
  <si>
    <r>
      <rPr>
        <rFont val="Calibri"/>
        <color theme="1"/>
        <sz val="11.0"/>
      </rPr>
      <t xml:space="preserve">Redondo / 3/4" / 6 mts / </t>
    </r>
    <r>
      <rPr>
        <rFont val="Calibri"/>
        <b/>
        <color theme="1"/>
        <sz val="11.0"/>
      </rPr>
      <t>2 mm</t>
    </r>
  </si>
  <si>
    <t>CARE12MM</t>
  </si>
  <si>
    <r>
      <rPr>
        <rFont val="Calibri"/>
        <color theme="1"/>
        <sz val="11.0"/>
      </rPr>
      <t xml:space="preserve">Redondo / 1" / 6 mts / </t>
    </r>
    <r>
      <rPr>
        <rFont val="Calibri"/>
        <b/>
        <color theme="1"/>
        <sz val="11.0"/>
      </rPr>
      <t>2 mm</t>
    </r>
  </si>
  <si>
    <t>CARE11452MM</t>
  </si>
  <si>
    <r>
      <rPr>
        <rFont val="Calibri"/>
        <color theme="1"/>
        <sz val="11.0"/>
      </rPr>
      <t xml:space="preserve">Redondo / 1 1/4" / 6 mts / </t>
    </r>
    <r>
      <rPr>
        <rFont val="Calibri"/>
        <b/>
        <color theme="1"/>
        <sz val="11.0"/>
      </rPr>
      <t>2 mm</t>
    </r>
  </si>
  <si>
    <t>CARE1122MM</t>
  </si>
  <si>
    <r>
      <rPr>
        <rFont val="Calibri"/>
        <color theme="1"/>
        <sz val="11.0"/>
      </rPr>
      <t xml:space="preserve">Redondo / 1 1/2" / 6 mts / </t>
    </r>
    <r>
      <rPr>
        <rFont val="Calibri"/>
        <b/>
        <color theme="1"/>
        <sz val="11.0"/>
      </rPr>
      <t>2 mm</t>
    </r>
  </si>
  <si>
    <t>CARE22MM</t>
  </si>
  <si>
    <r>
      <rPr>
        <rFont val="Calibri"/>
        <color theme="1"/>
        <sz val="11.0"/>
      </rPr>
      <t xml:space="preserve">Redondo / 2" / 6 mts / </t>
    </r>
    <r>
      <rPr>
        <rFont val="Calibri"/>
        <b/>
        <color theme="1"/>
        <sz val="11.0"/>
      </rPr>
      <t>2 mm</t>
    </r>
  </si>
  <si>
    <t>CARE252MM</t>
  </si>
  <si>
    <r>
      <rPr>
        <rFont val="Calibri"/>
        <color theme="1"/>
        <sz val="11.0"/>
      </rPr>
      <t xml:space="preserve">Redondo / 2,5 / 6 mts / </t>
    </r>
    <r>
      <rPr>
        <rFont val="Calibri"/>
        <b/>
        <color theme="1"/>
        <sz val="11.0"/>
      </rPr>
      <t>2 mm</t>
    </r>
  </si>
  <si>
    <t>CARE13MM</t>
  </si>
  <si>
    <r>
      <rPr>
        <rFont val="Calibri"/>
        <color theme="1"/>
        <sz val="11.0"/>
      </rPr>
      <t xml:space="preserve">Redondo / 1" / 6 mts / </t>
    </r>
    <r>
      <rPr>
        <rFont val="Calibri"/>
        <b/>
        <color theme="1"/>
        <sz val="11.0"/>
      </rPr>
      <t>3 mm</t>
    </r>
  </si>
  <si>
    <t>CARE1143MM</t>
  </si>
  <si>
    <r>
      <rPr>
        <rFont val="Calibri"/>
        <color theme="1"/>
        <sz val="11.0"/>
      </rPr>
      <t xml:space="preserve">Redondo / 1 1/4" / 6 mts / </t>
    </r>
    <r>
      <rPr>
        <rFont val="Calibri"/>
        <b/>
        <color theme="1"/>
        <sz val="11.0"/>
      </rPr>
      <t>3 mm</t>
    </r>
  </si>
  <si>
    <t>CARE23MM</t>
  </si>
  <si>
    <r>
      <rPr>
        <rFont val="Calibri"/>
        <color theme="1"/>
        <sz val="11.0"/>
      </rPr>
      <t xml:space="preserve">Redondo / 2" / 6 mts / </t>
    </r>
    <r>
      <rPr>
        <rFont val="Calibri"/>
        <b/>
        <color theme="1"/>
        <sz val="11.0"/>
      </rPr>
      <t>3 mm</t>
    </r>
  </si>
  <si>
    <t>CACU202016MM</t>
  </si>
  <si>
    <t>Cuadrado / 20 x 20 / 6 mts / 1.6 mm</t>
  </si>
  <si>
    <t>CACU252516MM</t>
  </si>
  <si>
    <t>Cuadrado / 25 x 25 / 6 mts / 1.6 mm</t>
  </si>
  <si>
    <t>CACU303016MM</t>
  </si>
  <si>
    <t>Cuadrado / 30 x 30 / 6 mts / 1.6 mm</t>
  </si>
  <si>
    <t>CACU353516MM</t>
  </si>
  <si>
    <t>Cuadrado / 35 x 35 / 6 mts / 1.6 mm</t>
  </si>
  <si>
    <t>CACU404016MM</t>
  </si>
  <si>
    <t>Cuadrado / 40 x 40 / 6 mts / 1.6 mm</t>
  </si>
  <si>
    <t>CACU505016MM</t>
  </si>
  <si>
    <t>Cuadrado / 50 x 50 / 6 mts / 1.6 mm</t>
  </si>
  <si>
    <t>CACU606016MM</t>
  </si>
  <si>
    <t>Cuadrado / 60 x 60 / 6 mts / 1.6 mm</t>
  </si>
  <si>
    <t>CACU808016MM</t>
  </si>
  <si>
    <t>Cuadrado / 80 x 80 / 6 mts / 1.6 mm</t>
  </si>
  <si>
    <t>CACU10010016MM</t>
  </si>
  <si>
    <t>Cuadrado / 100 x 100 / 6 mts / 1.6 mm</t>
  </si>
  <si>
    <t>CACU20202MM</t>
  </si>
  <si>
    <t>Cuadrado / 20 x 20 / 6 mts / 2 mm</t>
  </si>
  <si>
    <t>CACU25252MM</t>
  </si>
  <si>
    <t>Cuadrado / 25 x 25 / 6 mts / 2 mm</t>
  </si>
  <si>
    <t>CACU30302MM</t>
  </si>
  <si>
    <t>Cuadrado / 30 x 30 / 6 mts / 2 mm</t>
  </si>
  <si>
    <t>CACU40402MM</t>
  </si>
  <si>
    <t>Cuadrado / 40 x 40 / 6 mts / 2 mm</t>
  </si>
  <si>
    <t>CACU50502MM</t>
  </si>
  <si>
    <t>Cuadrado / 50 x 50 / 6 mts / 2 mm</t>
  </si>
  <si>
    <t>CACU60602MM</t>
  </si>
  <si>
    <t>Cuadrado / 60 x 60 / 6 mts / 2 mm</t>
  </si>
  <si>
    <t>CACU80802MM</t>
  </si>
  <si>
    <t>Cuadrado / 80 x 80 / 6 mts / 2 mm</t>
  </si>
  <si>
    <t>CACU1001002MM</t>
  </si>
  <si>
    <t>Cuadrado / 100 x 100 / 6 mts / 2 mm</t>
  </si>
  <si>
    <t>CACU40403MM</t>
  </si>
  <si>
    <t>Cuadrado / 40 x 40 / 6 mts / 3 mm</t>
  </si>
  <si>
    <t>CACU50503MM</t>
  </si>
  <si>
    <t>Cuadrado / 50 x 50 / 6 mts / 3 mm</t>
  </si>
  <si>
    <t>CACU60603MM</t>
  </si>
  <si>
    <t>Cuadrado / 60 x 60 / 6 mts / 3 mm</t>
  </si>
  <si>
    <t>CACU80803MM</t>
  </si>
  <si>
    <t>Cuadrado / 80 x 80 / 6 mts / 3 mm</t>
  </si>
  <si>
    <t>CACU1001003MM</t>
  </si>
  <si>
    <t>Cuadrado / 100 x 100 / 6 mts / 3 mm</t>
  </si>
  <si>
    <t>CAREC402016MM</t>
  </si>
  <si>
    <t>Rectangular / 40 x 20 / 6 mts / 1.6 mm</t>
  </si>
  <si>
    <t>CAREC503016MM</t>
  </si>
  <si>
    <t>Rectangular / 50 x 30 / 6 mts / 1.6 mm</t>
  </si>
  <si>
    <t>CAREC603016MM</t>
  </si>
  <si>
    <t>Rectangular / 60 x 30 / 6 mts / 1.6 mm</t>
  </si>
  <si>
    <t>CAREC604016MM</t>
  </si>
  <si>
    <t>Rectangular / 60 x 40 / 6 mts / 1.6 mm</t>
  </si>
  <si>
    <t>CAREC804016MM</t>
  </si>
  <si>
    <t>Rectangular / 80 x 40 / 6 mts / 1.6 mm</t>
  </si>
  <si>
    <t>CAREC1004016MM</t>
  </si>
  <si>
    <t>Rectangular / 100 x 40 / 6 mts / 1.6 mm</t>
  </si>
  <si>
    <t>CAREC1006016MM</t>
  </si>
  <si>
    <t>Rectangular / 100 x 60 / 6 mts / 1.6 mm</t>
  </si>
  <si>
    <t>CAREC40202MM</t>
  </si>
  <si>
    <t>Rectangular / 40 x 20 / 6 mts / 2 mm</t>
  </si>
  <si>
    <t>CAREC50302MM</t>
  </si>
  <si>
    <t>Rectangular / 50 x 30 / 6 mts / 2 mm</t>
  </si>
  <si>
    <t>CAREC60302MM</t>
  </si>
  <si>
    <t>Rectangular / 60 x 30 / 6 mts / 2 mm</t>
  </si>
  <si>
    <t>CAREC60402MM</t>
  </si>
  <si>
    <t>Rectangular / 60 x 40 / 6 mts / 2 mm</t>
  </si>
  <si>
    <t>CAREC80402MM</t>
  </si>
  <si>
    <t>Rectangular / 80 x 40 / 6 mts / 2 mm</t>
  </si>
  <si>
    <t>CAREC100402MM</t>
  </si>
  <si>
    <t>Rectangular / 100 x 40 / 6 mts / 2 mm</t>
  </si>
  <si>
    <t>CAREC100602MM</t>
  </si>
  <si>
    <t>Rectangular / 100 x 60 / 6 mts / 2 mm</t>
  </si>
  <si>
    <t>CAREC50303MM</t>
  </si>
  <si>
    <t>Rectangular / 50 x 30 / 6 mts / 3 mm</t>
  </si>
  <si>
    <t>CAREC80403MM</t>
  </si>
  <si>
    <t>Rectangular / 80 x 40 / 6 mts / 3 mm</t>
  </si>
  <si>
    <t>CAREC100403MM</t>
  </si>
  <si>
    <t>Rectangular / 100 x 40 / 6 mts / 3 mm</t>
  </si>
  <si>
    <t>CAREC100603MM</t>
  </si>
  <si>
    <t>Rectangular / 100 x 60 / 6 mts / 3 mm</t>
  </si>
  <si>
    <t xml:space="preserve">AISLANTES </t>
  </si>
  <si>
    <t>Consumidor Final &gt; 50 unidades</t>
  </si>
  <si>
    <t>Rollo Lana de Vidrio 50mm - 18m x 1,2m</t>
  </si>
  <si>
    <t>costo x Rollo</t>
  </si>
  <si>
    <t xml:space="preserve"> Unit</t>
  </si>
  <si>
    <t>Lana de Vidrio Con Aluminio   /  Densidad 18kg/m3</t>
  </si>
  <si>
    <t>Lana de Vidrio SIN Aluminio  /  Densidad 12kg/m3</t>
  </si>
  <si>
    <t xml:space="preserve">Rollo Espuma de POLIETILENO  -  20m x 1m </t>
  </si>
  <si>
    <t>Espuma Polietileno 10mm   ALUMINIZADA</t>
  </si>
  <si>
    <t>Espuma Polietileno 10mm   COMUN</t>
  </si>
  <si>
    <t>Espuma Polietileno 5mm   COMUN</t>
  </si>
  <si>
    <t>STEEL FRAMING</t>
  </si>
  <si>
    <t>PGC MONTANTES - 6m largo</t>
  </si>
  <si>
    <r>
      <rPr>
        <rFont val="Calibri"/>
        <color theme="1"/>
        <sz val="11.0"/>
      </rPr>
      <t xml:space="preserve">PGC Montante / 70x40x15 / </t>
    </r>
    <r>
      <rPr>
        <rFont val="Calibri"/>
        <b/>
        <color theme="1"/>
        <sz val="11.0"/>
      </rPr>
      <t>0,89mm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</si>
  <si>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100x40x15 / </t>
    </r>
    <r>
      <rPr>
        <rFont val="Calibri"/>
        <b/>
        <color theme="1"/>
        <sz val="11.0"/>
      </rPr>
      <t>0,89mm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</si>
  <si>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100x40x15 / </t>
    </r>
    <r>
      <rPr>
        <rFont val="Calibri"/>
        <b/>
        <color theme="1"/>
        <sz val="11.0"/>
      </rPr>
      <t>1,25mm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</si>
  <si>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150x40x15 / </t>
    </r>
    <r>
      <rPr>
        <rFont val="Calibri"/>
        <b/>
        <color theme="1"/>
        <sz val="11.0"/>
      </rPr>
      <t>0,89mm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</si>
  <si>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150x40x15 / </t>
    </r>
    <r>
      <rPr>
        <rFont val="Calibri"/>
        <b/>
        <color theme="1"/>
        <sz val="11.0"/>
      </rPr>
      <t>1,25mm</t>
    </r>
    <r>
      <rPr>
        <rFont val="Calibri"/>
        <color theme="1"/>
        <sz val="11.0"/>
      </rPr>
      <t xml:space="preserve"> / 6m</t>
    </r>
  </si>
  <si>
    <r>
      <rPr>
        <rFont val="Calibri"/>
        <color theme="1"/>
        <sz val="11.0"/>
      </rPr>
      <t xml:space="preserve">PGC Montante / 200x40x15 / </t>
    </r>
    <r>
      <rPr>
        <rFont val="Calibri"/>
        <b/>
        <color theme="1"/>
        <sz val="11.0"/>
      </rPr>
      <t>1,25mm</t>
    </r>
    <r>
      <rPr>
        <rFont val="Calibri"/>
        <color theme="1"/>
        <sz val="11.0"/>
      </rPr>
      <t xml:space="preserve"> / 6m</t>
    </r>
  </si>
  <si>
    <t>PGU SOLERAS - 6m largo</t>
  </si>
  <si>
    <r>
      <rPr>
        <rFont val="Calibri"/>
        <color theme="1"/>
        <sz val="11.0"/>
      </rPr>
      <t xml:space="preserve">PGU Soleras / 70x35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</si>
  <si>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100x35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</si>
  <si>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100x35 / </t>
    </r>
    <r>
      <rPr>
        <rFont val="Calibri"/>
        <b/>
        <color theme="1"/>
        <sz val="11.0"/>
      </rPr>
      <t>1.25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</si>
  <si>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150x35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</si>
  <si>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150x35 / </t>
    </r>
    <r>
      <rPr>
        <rFont val="Calibri"/>
        <b/>
        <color theme="1"/>
        <sz val="11.0"/>
      </rPr>
      <t>1.25 mm</t>
    </r>
    <r>
      <rPr>
        <rFont val="Calibri"/>
        <color theme="1"/>
        <sz val="11.0"/>
      </rPr>
      <t xml:space="preserve"> / unidad / 6m</t>
    </r>
  </si>
  <si>
    <r>
      <rPr>
        <rFont val="Calibri"/>
        <color theme="1"/>
        <sz val="11.0"/>
      </rPr>
      <t xml:space="preserve">PGU Soleras / 200x35 / </t>
    </r>
    <r>
      <rPr>
        <rFont val="Calibri"/>
        <b/>
        <color theme="1"/>
        <sz val="11.0"/>
      </rPr>
      <t>1.25 mm</t>
    </r>
    <r>
      <rPr>
        <rFont val="Calibri"/>
        <color theme="1"/>
        <sz val="11.0"/>
      </rPr>
      <t xml:space="preserve"> / unidad / 6m</t>
    </r>
  </si>
  <si>
    <t>PGO OMEGA - 3m largo</t>
  </si>
  <si>
    <r>
      <rPr>
        <rFont val="Calibri"/>
        <color theme="1"/>
        <sz val="11.0"/>
      </rPr>
      <t xml:space="preserve">PGO Omega / 20x25x13 / </t>
    </r>
    <r>
      <rPr>
        <rFont val="Calibri"/>
        <b/>
        <color theme="1"/>
        <sz val="11.0"/>
      </rPr>
      <t>0.89 mm</t>
    </r>
    <r>
      <rPr>
        <rFont val="Calibri"/>
        <color theme="1"/>
        <sz val="11.0"/>
      </rPr>
      <t xml:space="preserve"> / unidad / 3m</t>
    </r>
  </si>
  <si>
    <t>ACCESORIOS - Unitarios</t>
  </si>
  <si>
    <t>Fijación Para Hormigón / 300x70x60 mm / 3mm / Unit.</t>
  </si>
  <si>
    <t>Ángulo Tensor / 38x38 mm / 3mm / Unit.</t>
  </si>
  <si>
    <t>Cartela / 150x150 mm / 0.89mm / Unit.</t>
  </si>
  <si>
    <t>Conector Ángulo L Chico / 40x50x70 mm / 0.89mm / Unit.</t>
  </si>
  <si>
    <t>Conector Ángulo L Grande / 80x50x70 mm / 0.89mm / Unit.</t>
  </si>
  <si>
    <t>Conector Z Derecha / 40x40x135 mm / 0.89mm / Unit.</t>
  </si>
  <si>
    <t>Conector Z Izquierda / 40x40x135 mm / 0.89mm / Unit.</t>
  </si>
  <si>
    <t>Fleteje / 33mm x 25m. / 0.89mm / Unit.</t>
  </si>
  <si>
    <t>Linea Retail (Minorista)</t>
  </si>
  <si>
    <t>Xilol costo</t>
  </si>
  <si>
    <t>CÓDIGOS DE PRODUCTOS LÍNEA RETAIL</t>
  </si>
  <si>
    <t>subido a ML</t>
  </si>
  <si>
    <t>Aplicación</t>
  </si>
  <si>
    <t>Producto - Ficha Técnica</t>
  </si>
  <si>
    <t>Costos + IVA</t>
  </si>
  <si>
    <t>Precio + IVA</t>
  </si>
  <si>
    <t>Precio IVA Inc.</t>
  </si>
  <si>
    <t>Rendimiento</t>
  </si>
  <si>
    <t>Referencia de Precio aplicación x M2 + IVA</t>
  </si>
  <si>
    <t>Precio aplicación x M2 IVA Inc.</t>
  </si>
  <si>
    <t>Obs.</t>
  </si>
  <si>
    <t>Venta U$S</t>
  </si>
  <si>
    <t>$</t>
  </si>
  <si>
    <t>Venta U$S ML</t>
  </si>
  <si>
    <t>Venta ML $</t>
  </si>
  <si>
    <t>Xilol</t>
  </si>
  <si>
    <t>HM solvente - Xilol 1 L</t>
  </si>
  <si>
    <t>si</t>
  </si>
  <si>
    <t>HM solvente - Xilol 10 L</t>
  </si>
  <si>
    <t>Pintura + Protección anticorrosiva (Aerosol)</t>
  </si>
  <si>
    <t>CAUCHO LIQUIDO 7 EN 1 AEROSOL</t>
  </si>
  <si>
    <t>por m2</t>
  </si>
  <si>
    <t>Pintura + Protección anticorrosiva</t>
  </si>
  <si>
    <t>Caucho Líquido 7 en 1. 900 ml</t>
  </si>
  <si>
    <t>Valores para esp. de película seca de 100 μm</t>
  </si>
  <si>
    <t>Caucho Líquido 7 en 1. 3.6 kg</t>
  </si>
  <si>
    <t>Sellado</t>
  </si>
  <si>
    <t>SELLADOR FLEX PRO 900G</t>
  </si>
  <si>
    <t>Considerando consumo de 2kg/m2</t>
  </si>
  <si>
    <t>Sellado de chapas</t>
  </si>
  <si>
    <t>m</t>
  </si>
  <si>
    <t>por m</t>
  </si>
  <si>
    <t>Considerando consumo de 140 grs/m</t>
  </si>
  <si>
    <t>idem</t>
  </si>
  <si>
    <t>Sellado de tornillos</t>
  </si>
  <si>
    <t>tornillos</t>
  </si>
  <si>
    <t>por tornillo</t>
  </si>
  <si>
    <t>Considerando consumo de 16 grs/tornillo</t>
  </si>
  <si>
    <t>Impermeabilización Paredes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</si>
  <si>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AGUA) </t>
    </r>
  </si>
  <si>
    <t>con envio (usd 3,5)</t>
  </si>
  <si>
    <t>COLORES - Base con pigmentación - Catalogo INCA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</si>
  <si>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A) Colores Pastel</t>
    </r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</si>
  <si>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B) Colores Medios</t>
    </r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</si>
  <si>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C) Colores Fuertes</t>
    </r>
  </si>
  <si>
    <t>Impermeabilización Techo Chapas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</si>
  <si>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AGUA)</t>
    </r>
  </si>
  <si>
    <t>Impermeabilización + Resistencia Granizo Techo Chapas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</si>
  <si>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(BASE AGUA) </t>
    </r>
  </si>
  <si>
    <t>Impermeabilización Losas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</si>
  <si>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- (BASE AGUA) </t>
    </r>
  </si>
  <si>
    <t>Impermeabilización + Estructuración Losas</t>
  </si>
  <si>
    <r>
      <rPr>
        <rFont val="Arial"/>
        <color rgb="FF1155CC"/>
        <u/>
      </rPr>
      <t>IMPERTECH 3 en 1. 14kg</t>
    </r>
    <r>
      <rPr>
        <rFont val="Arial"/>
        <color rgb="FF000000"/>
        <u/>
      </rPr>
      <t xml:space="preserve"> - - (BASE AGUA) </t>
    </r>
  </si>
  <si>
    <t>Malla de Geotextil. 50 grs/m2. 10cmx50m</t>
  </si>
  <si>
    <t>Total 3 productos anteriores</t>
  </si>
  <si>
    <t xml:space="preserve">Linea Industrial </t>
  </si>
  <si>
    <t>PRECIO PARA INSTALADORES</t>
  </si>
  <si>
    <t>Descuentos Aplicados</t>
  </si>
  <si>
    <t>Precio aplicación + IVA</t>
  </si>
  <si>
    <t>Impermeabilización de Losas</t>
  </si>
  <si>
    <t>HM BM CAUCHO LÍQUIDO. 18 KG</t>
  </si>
  <si>
    <t>m2 por balde</t>
  </si>
  <si>
    <t>Son 2kg/m2. 1mm de película seca</t>
  </si>
  <si>
    <t>HM BM DOBLE FUNCION PREMIUM BLANCO 18KG</t>
  </si>
  <si>
    <t>Son 0.5kg/m2. 0,25mm de película seca</t>
  </si>
  <si>
    <t>Malla de Geotextil. 50 grs/m2. 10cm x 50m</t>
  </si>
  <si>
    <t>Cubiertas Metálica*</t>
  </si>
  <si>
    <t>HM BM SELLADOR GRAFENO GRIS 18KG</t>
  </si>
  <si>
    <t>Se consideran 14 grs. por tornillo y 120 grs por metro de sellado de chapas. 5 tornillos por m2 y 1 metro de sellado por m2</t>
  </si>
  <si>
    <t>*Se consideran superficies ya planificadas</t>
  </si>
  <si>
    <t>º</t>
  </si>
  <si>
    <t>Productos Linea Indrustrial</t>
  </si>
  <si>
    <t>Precios no incluyen IVA</t>
  </si>
  <si>
    <t xml:space="preserve">Solvente </t>
  </si>
  <si>
    <t xml:space="preserve">Cetol </t>
  </si>
  <si>
    <t xml:space="preserve">Venta y Alquiler de Maquinaria recomendado por el proveedor </t>
  </si>
  <si>
    <t>Virax (Matias Longo) - 096 445 719</t>
  </si>
  <si>
    <t>Utilizacion de los distintos componentes</t>
  </si>
  <si>
    <t>PRODUCTO</t>
  </si>
  <si>
    <t>Costo</t>
  </si>
  <si>
    <t>Lista</t>
  </si>
  <si>
    <t>Sellados de tornillos y solapes con T400</t>
  </si>
  <si>
    <t>HM BM - IND250. 18kg. Blanco</t>
  </si>
  <si>
    <t xml:space="preserve">Una vez sellado, se aplica el Ind250 en toda la superficie </t>
  </si>
  <si>
    <t xml:space="preserve">Rendimientos </t>
  </si>
  <si>
    <t>Ind250</t>
  </si>
  <si>
    <t>kg/m2</t>
  </si>
  <si>
    <t>HM BM T200</t>
  </si>
  <si>
    <t>T400</t>
  </si>
  <si>
    <t>gr/m lineal</t>
  </si>
  <si>
    <t>Solapes Simples sin refuerzo de geotextil</t>
  </si>
  <si>
    <t xml:space="preserve">Solapes con irregularidades y aperturas mayores a 5mm ( Se refuerza con geotextil) </t>
  </si>
  <si>
    <t xml:space="preserve">HM TM T400 18Kg. </t>
  </si>
  <si>
    <t xml:space="preserve"> n</t>
  </si>
  <si>
    <t>5 a 14</t>
  </si>
  <si>
    <t>gr/unidad</t>
  </si>
  <si>
    <t xml:space="preserve">Tornillos / dependiendo del tornillo </t>
  </si>
  <si>
    <t xml:space="preserve">cuando se utiliza con geotextil entre pretil y panel </t>
  </si>
  <si>
    <t>HM Impertech 3en1</t>
  </si>
  <si>
    <t xml:space="preserve">CALCULADORA DE RENDIMIENTOS </t>
  </si>
  <si>
    <t xml:space="preserve">% de desperdicio </t>
  </si>
  <si>
    <t>Redondeo</t>
  </si>
  <si>
    <t>rend hasta 250mm /mano</t>
  </si>
  <si>
    <t>T200</t>
  </si>
  <si>
    <t>T200 / 250 (kg)</t>
  </si>
  <si>
    <t>Baldes (18kg)</t>
  </si>
  <si>
    <t>Superficie a Cubrir</t>
  </si>
  <si>
    <t>ml</t>
  </si>
  <si>
    <t>gr</t>
  </si>
  <si>
    <t>Balde (18kg)</t>
  </si>
  <si>
    <t>Solape Simple</t>
  </si>
  <si>
    <t>Solape c/ irregularidades</t>
  </si>
  <si>
    <t xml:space="preserve">uds </t>
  </si>
  <si>
    <t xml:space="preserve">Torniillos </t>
  </si>
  <si>
    <t>kg</t>
  </si>
  <si>
    <t>Baldes (14kg)</t>
  </si>
  <si>
    <t>total</t>
  </si>
  <si>
    <t xml:space="preserve">MAS IVA </t>
  </si>
  <si>
    <t>Alquiler De maquina proyectadora AIRLESS para IND 250</t>
  </si>
  <si>
    <t>Titan Power Coat</t>
  </si>
  <si>
    <t>/dia</t>
  </si>
  <si>
    <t>https://www.titantool.com/powrcoat-940.html</t>
  </si>
  <si>
    <t>/semana</t>
  </si>
  <si>
    <t xml:space="preserve">Compresor 150L 2 pistones </t>
  </si>
  <si>
    <t xml:space="preserve">/dia </t>
  </si>
  <si>
    <t>Malla geostesztil 60grs/m2 - 1 x 60m</t>
  </si>
  <si>
    <t>USD 114.96</t>
  </si>
  <si>
    <t xml:space="preserve">/semana </t>
  </si>
  <si>
    <t>T 400</t>
  </si>
  <si>
    <t>Productos Seccion Ferretero</t>
  </si>
  <si>
    <r>
      <rPr>
        <rFont val="Calibri"/>
        <b/>
        <color theme="1"/>
      </rPr>
      <t xml:space="preserve">CAUCHO LÍQUIDO 7EN1 </t>
    </r>
    <r>
      <rPr>
        <rFont val="Calibri"/>
        <color theme="1"/>
      </rPr>
      <t>Producto MULTIUSO a base de caucho líquido modificado con una fórmula innovadora que permite su aplicación directamente sobre el óxido, sin necesidad de imprimación. USOS RECOMENDADOS: Superficies metálicas, acero galvanizado. Restauración de portones, rejas, techos metálicos, chasis, llantas de autos etc.</t>
    </r>
    <r>
      <rPr>
        <rFont val="Calibri"/>
        <b/>
        <color theme="1"/>
      </rPr>
      <t xml:space="preserve"> PRESENTACIÓN</t>
    </r>
    <r>
      <rPr>
        <rFont val="Calibri"/>
        <color theme="1"/>
      </rPr>
      <t>: Aerosol 400ml, Lata 900ml y Lata 3,6kg *</t>
    </r>
    <r>
      <rPr>
        <rFont val="Calibri"/>
        <b/>
        <color theme="1"/>
      </rPr>
      <t>COLORES AEROSOL</t>
    </r>
    <r>
      <rPr>
        <rFont val="Calibri"/>
        <color theme="1"/>
      </rPr>
      <t>: NEGRO-BLANCO-GRIS Y ALUMINIO / COLORES LATA: NEGRO-BLANCO-GRIS</t>
    </r>
  </si>
  <si>
    <r>
      <rPr>
        <rFont val="Calibri"/>
        <b/>
        <color theme="1"/>
      </rPr>
      <t>SELANTE PRO</t>
    </r>
    <r>
      <rPr>
        <rFont val="Calibri"/>
        <color theme="1"/>
      </rPr>
      <t xml:space="preserve"> Sellador de caucho líquido modificado, con componentes elastoméricos que acompañan movimientos y dilataciones estructurales, ideal para sellar diferentes superficies. </t>
    </r>
    <r>
      <rPr>
        <rFont val="Calibri"/>
        <b/>
        <color theme="1"/>
      </rPr>
      <t>APLICACIONES:</t>
    </r>
    <r>
      <rPr>
        <rFont val="Calibri"/>
        <color theme="1"/>
      </rPr>
      <t xml:space="preserve"> Ranuras, fisuras, juntas, tornillos, entre otras aplicaciones.</t>
    </r>
    <r>
      <rPr>
        <rFont val="Calibri"/>
        <b/>
        <color theme="1"/>
      </rPr>
      <t xml:space="preserve"> PRESENTACIÓN: </t>
    </r>
    <r>
      <rPr>
        <rFont val="Calibri"/>
        <color theme="1"/>
      </rPr>
      <t xml:space="preserve">Cartucho 300grs </t>
    </r>
    <r>
      <rPr>
        <rFont val="Calibri"/>
        <b/>
        <color theme="1"/>
      </rPr>
      <t>*COLORES</t>
    </r>
    <r>
      <rPr>
        <rFont val="Calibri"/>
        <color theme="1"/>
      </rPr>
      <t>: NEGRO-BLANCO-GRIS</t>
    </r>
  </si>
  <si>
    <r>
      <rPr>
        <rFont val="Calibri"/>
        <b/>
        <color theme="1"/>
      </rPr>
      <t xml:space="preserve">SELANTE FLEX PRO </t>
    </r>
    <r>
      <rPr>
        <rFont val="Calibri"/>
        <color theme="1"/>
      </rPr>
      <t xml:space="preserve">Nueva tecnología de caucho líquido sintético
modificado de fácil aplicación que actúa como sellador, sellando e
impermeabilizando rápidamente diferentes sustratos, proporcionando
una protección duradera, resistente e impermeable.
</t>
    </r>
    <r>
      <rPr>
        <rFont val="Calibri"/>
        <b/>
        <color theme="1"/>
      </rPr>
      <t>APLICACIONES</t>
    </r>
    <r>
      <rPr>
        <rFont val="Calibri"/>
        <color theme="1"/>
      </rPr>
      <t xml:space="preserve">: Calafateo y sellado de grietas, fisuras, uniones,
superposiciones de chapas, fibrocemento, canalones, respiraderos,
tornillos y encuentro entre distintos materiales.
</t>
    </r>
    <r>
      <rPr>
        <rFont val="Calibri"/>
        <b/>
        <color theme="1"/>
      </rPr>
      <t>PRESENTACIÓN</t>
    </r>
    <r>
      <rPr>
        <rFont val="Calibri"/>
        <color theme="1"/>
      </rPr>
      <t>: Lata 900ml</t>
    </r>
  </si>
  <si>
    <r>
      <rPr>
        <rFont val="Calibri"/>
        <b/>
        <color theme="1"/>
      </rPr>
      <t xml:space="preserve">HM IMPERTECH 3en1 </t>
    </r>
    <r>
      <rPr>
        <rFont val="Calibri"/>
        <color theme="1"/>
      </rPr>
      <t xml:space="preserve">Revestimiento protector multiusos, formulado a base
de caucho líquido modificado que impermeabiliza e incluso da un acabado,
proporcionando una impermeabilización flexible y resistente.
Aplicaciones: Techos, losas y muros de mampostería, superficies de
cemento o concreto, fibrocemento, tejas sin esmaltar y METAL (acero al
carbono y galvanizado). </t>
    </r>
    <r>
      <rPr>
        <rFont val="Calibri"/>
        <b/>
        <color theme="1"/>
      </rPr>
      <t xml:space="preserve"> PRESENTACIÓN</t>
    </r>
    <r>
      <rPr>
        <rFont val="Calibri"/>
        <color theme="1"/>
      </rPr>
      <t>: Balde 3,6kg y 14kg *COLOR BLANCO - Acepta pigmentación</t>
    </r>
  </si>
  <si>
    <t>Rendimientos</t>
  </si>
  <si>
    <t xml:space="preserve">HM Impertech 3en1 </t>
  </si>
  <si>
    <t>En general recomendamos 1kg/m2. Eso cubre también el desperdicio</t>
  </si>
  <si>
    <t>CONTACTO</t>
  </si>
  <si>
    <t>098 98 33 50 - Carlos, Sebastián o Richard</t>
  </si>
  <si>
    <r>
      <rPr>
        <rFont val="Calibri"/>
        <color theme="1"/>
        <sz val="11.0"/>
      </rPr>
      <t xml:space="preserve">Feb.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8 %</t>
    </r>
  </si>
  <si>
    <t>Ganancias</t>
  </si>
  <si>
    <t>Consumidor Final (Iva inc)</t>
  </si>
  <si>
    <t>Precio ML (Iva inc)</t>
  </si>
  <si>
    <t>URL 1</t>
  </si>
  <si>
    <t>URL 2</t>
  </si>
  <si>
    <t>PRECIO AMIGOS 15%</t>
  </si>
  <si>
    <t>CAMARAS DE FRÍO</t>
  </si>
  <si>
    <t>bisagra cámara de Frio</t>
  </si>
  <si>
    <t>Burlete camara de frío (METRO LINEAL)</t>
  </si>
  <si>
    <t>Torre y enganche para puerta de cámara de frío</t>
  </si>
  <si>
    <t>Manija de puerta</t>
  </si>
  <si>
    <t>PTAFRIBAT</t>
  </si>
  <si>
    <t>Puerta Frigorifica Batiente (0.8mx2,1mx0.1m PIR)</t>
  </si>
  <si>
    <t>Precio desactualizado</t>
  </si>
  <si>
    <t>ECOPANELS</t>
  </si>
  <si>
    <t>[4:46 p. m., 29/5/2025] Eco Panels: El panel de 10cm por ejemplo te lo puedo hacer 40.5 dólares</t>
  </si>
  <si>
    <t>[4:46 p. m., 29/5/2025] Matias: IVA incluido?</t>
  </si>
  <si>
    <t>[4:46 p. m., 29/5/2025] Eco Panels: El de 15cm te lo puedo hacer 45.3 dólares</t>
  </si>
  <si>
    <t>[4:47 p. m., 29/5/2025] Eco Panels: Iva incluido</t>
  </si>
  <si>
    <t>Historial de ajuste</t>
  </si>
  <si>
    <r>
      <rPr>
        <rFont val="Calibri"/>
        <color theme="1"/>
        <sz val="11.0"/>
      </rPr>
      <t xml:space="preserve">Feb.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8 %´/ Ago. (baja importante)</t>
    </r>
  </si>
  <si>
    <r>
      <rPr>
        <rFont val="Calibri"/>
        <color theme="1"/>
        <sz val="11.0"/>
      </rPr>
      <t xml:space="preserve">Ago. 24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4,85 %</t>
    </r>
  </si>
  <si>
    <t>Actualizados a Mayo 2024</t>
  </si>
  <si>
    <t xml:space="preserve">REVENTA </t>
  </si>
  <si>
    <r>
      <rPr>
        <rFont val="Calibri"/>
        <color theme="1"/>
        <sz val="11.0"/>
      </rPr>
      <t xml:space="preserve">Dic. </t>
    </r>
    <r>
      <rPr>
        <rFont val="Calibri"/>
        <color rgb="FFFF0000"/>
        <sz val="11.0"/>
      </rPr>
      <t>^</t>
    </r>
    <r>
      <rPr>
        <rFont val="Calibri"/>
        <color theme="1"/>
        <sz val="11.0"/>
      </rPr>
      <t xml:space="preserve"> 3,5 %</t>
    </r>
  </si>
  <si>
    <t xml:space="preserve">wix store </t>
  </si>
  <si>
    <t xml:space="preserve"> + 10 % ENTREGA INMEDIATA</t>
  </si>
  <si>
    <t xml:space="preserve">Precio Público Final </t>
  </si>
  <si>
    <t>ACTUALIZADO 20-04-2023</t>
  </si>
  <si>
    <t>FALTA SUBIR a ML</t>
  </si>
  <si>
    <t>ISOP50F</t>
  </si>
  <si>
    <t>Isopanel 50 mm Fachada</t>
  </si>
  <si>
    <t>https://ibb.co/SJmhCp0</t>
  </si>
  <si>
    <t>https://ibb.co/6YsM1f6</t>
  </si>
  <si>
    <t>ISOP100C</t>
  </si>
  <si>
    <t>Isopanel 100 mm Fachada</t>
  </si>
  <si>
    <t>https://ibb.co/cYvmTWV</t>
  </si>
  <si>
    <t>https://ibb.co/gWmX62y</t>
  </si>
  <si>
    <t>ISOPT50C</t>
  </si>
  <si>
    <t xml:space="preserve">Isopanel Trapezoidal EPS 50 mm Cubierta </t>
  </si>
  <si>
    <t>ISOP100F</t>
  </si>
  <si>
    <r>
      <rPr>
        <rFont val="Calibri"/>
        <color theme="1"/>
        <sz val="11.0"/>
      </rPr>
      <t xml:space="preserve">Isopanel 100 mm Cubierta - </t>
    </r>
    <r>
      <rPr>
        <rFont val="Calibri"/>
        <color rgb="FFFF0000"/>
        <sz val="11.0"/>
      </rPr>
      <t xml:space="preserve">oferta Agustin U$S </t>
    </r>
  </si>
  <si>
    <t>GFI200</t>
  </si>
  <si>
    <t>Gotero Frontal p/panel 200 mm</t>
  </si>
  <si>
    <t>ISOP150C</t>
  </si>
  <si>
    <t>Isopanel 150 mm Cubierta</t>
  </si>
  <si>
    <t>GFI250</t>
  </si>
  <si>
    <t>Gotero Frontal p/panel 250 mm</t>
  </si>
  <si>
    <t>ISOP150F</t>
  </si>
  <si>
    <t>Isopanel 150 mm Fachada</t>
  </si>
  <si>
    <t>GLI200</t>
  </si>
  <si>
    <t>Gotero Lateral p/panel 200 mm</t>
  </si>
  <si>
    <t>ISOP200C</t>
  </si>
  <si>
    <t>Isopanel 200 mm Cubierta</t>
  </si>
  <si>
    <t>GLI250</t>
  </si>
  <si>
    <t>Gotero Lateral p/panel 250 mm</t>
  </si>
  <si>
    <t>ISOP200F</t>
  </si>
  <si>
    <t>Isopanel 200 mm Fachada</t>
  </si>
  <si>
    <t>PUI200</t>
  </si>
  <si>
    <t>Perfil U p/panel 200 mm</t>
  </si>
  <si>
    <t>ISOP250C</t>
  </si>
  <si>
    <t>Isopanel 250 mm Cubierta</t>
  </si>
  <si>
    <t>AT2003</t>
  </si>
  <si>
    <t>Ángulo de Terminación p/panel 200 mm</t>
  </si>
  <si>
    <t>ISOP250F</t>
  </si>
  <si>
    <t>Isopanel 250 mm Fachada</t>
  </si>
  <si>
    <t>ANPI3</t>
  </si>
  <si>
    <t>Ángulo de piso</t>
  </si>
  <si>
    <t>(DESCONTINUADO Nov.2021)</t>
  </si>
  <si>
    <t>PIENGISO</t>
  </si>
  <si>
    <t>Pinza Engrafadora para Isopaneles</t>
  </si>
  <si>
    <t>SI</t>
  </si>
  <si>
    <t>RPOP</t>
  </si>
  <si>
    <t>Caja Remaches Pop Blancos para Isopanel - 1000 u.</t>
  </si>
  <si>
    <t>ENPIR50</t>
  </si>
  <si>
    <t>Enpir 50 mm Cubierta - 1,1 m útil</t>
  </si>
  <si>
    <t>ENPIR80</t>
  </si>
  <si>
    <t>Enpir 80 mm Cubierta - 1,1 m útil</t>
  </si>
  <si>
    <t>ENPIR100</t>
  </si>
  <si>
    <t>Enpir 100 mm Cubierta - 1,1 m útil</t>
  </si>
  <si>
    <t>ENPIR120</t>
  </si>
  <si>
    <t>Enpir 120 mm Cubierta - 1,1 m útil</t>
  </si>
  <si>
    <t>costos</t>
  </si>
  <si>
    <t>Muropir 50 mm -  1,1 m útil</t>
  </si>
  <si>
    <t>U$S 48,46  m2 IVA inc.</t>
  </si>
  <si>
    <t>Muropir 100 mm -  1,1 m útil</t>
  </si>
  <si>
    <t>U$S 62,85  m2 IVA inc.</t>
  </si>
  <si>
    <t>Muropir 150 mm -  1,1 m útil</t>
  </si>
  <si>
    <t>U$S 77,26  m2 IVA inc.</t>
  </si>
  <si>
    <t>Muropir 200 mm - 1,1 m útil</t>
  </si>
  <si>
    <t xml:space="preserve"> U$S 91,66  m2 IVA inc.</t>
  </si>
  <si>
    <t>Costo Unit. U$S + IVA</t>
  </si>
  <si>
    <t>Costo ML + IVA</t>
  </si>
  <si>
    <t>Margen</t>
  </si>
  <si>
    <t>Diciembre 2021</t>
  </si>
  <si>
    <t>SUBA 2022 6.8%</t>
  </si>
  <si>
    <t xml:space="preserve">Precio / 3 </t>
  </si>
  <si>
    <t>Perfiles en General</t>
  </si>
  <si>
    <r>
      <rPr>
        <color rgb="FF0563C1"/>
        <u/>
      </rPr>
      <t>https://ibb.co/LYRx5bg</t>
    </r>
    <r>
      <rPr>
        <color rgb="FF000000"/>
        <u/>
      </rPr>
      <t xml:space="preserve">  </t>
    </r>
    <r>
      <rPr>
        <color rgb="FF1155CC"/>
        <u/>
      </rPr>
      <t>https://ibb.co/FHtcHHV</t>
    </r>
  </si>
  <si>
    <t>GOTEROS</t>
  </si>
  <si>
    <t>Goteros</t>
  </si>
  <si>
    <t>GFI100</t>
  </si>
  <si>
    <t>Gotero Frontal p/panel 100 mm</t>
  </si>
  <si>
    <t>G. Front.</t>
  </si>
  <si>
    <t>https://ibb.co/0DzHGqG</t>
  </si>
  <si>
    <t>https://ibb.co/m6SMJWt</t>
  </si>
  <si>
    <t>GFI150</t>
  </si>
  <si>
    <t>Gotero Frontal p/panel 150 mm</t>
  </si>
  <si>
    <t>https://ibb.co/cXXmh3z</t>
  </si>
  <si>
    <t>FALTA SUBIR</t>
  </si>
  <si>
    <t>https://ibb.co/PgQ6xYn</t>
  </si>
  <si>
    <t>https://ibb.co/yRhNqHS</t>
  </si>
  <si>
    <t>GF50 ENPIR</t>
  </si>
  <si>
    <t>Gotero Frontal 50mm ENPIR de 3m</t>
  </si>
  <si>
    <t>GF80 ENPIR</t>
  </si>
  <si>
    <t>Gotero Frontal 80mm ENPIR de 3m</t>
  </si>
  <si>
    <t>GF120 ENPIR</t>
  </si>
  <si>
    <t>Gotero Frontal 120mm ENPIR de 3m</t>
  </si>
  <si>
    <t>GLI100</t>
  </si>
  <si>
    <t>Gotero Lateral p/panel 100 mm</t>
  </si>
  <si>
    <t>G. Lat.</t>
  </si>
  <si>
    <t>https://ibb.co/pQz2ZG4</t>
  </si>
  <si>
    <t>https://ibb.co/XjJFh9N</t>
  </si>
  <si>
    <t>GLI150</t>
  </si>
  <si>
    <t>Gotero Lateral p/panel 150 mm</t>
  </si>
  <si>
    <t>https://ibb.co/9hbT79F</t>
  </si>
  <si>
    <t>https://ibb.co/jWJVCq9</t>
  </si>
  <si>
    <t>https://ibb.co/BcvRWy0</t>
  </si>
  <si>
    <t>GLIR100</t>
  </si>
  <si>
    <t>Gotero Lateral Rasante p/panel 100 mm</t>
  </si>
  <si>
    <t>G. Lat Rasa</t>
  </si>
  <si>
    <t>https://ibb.co/tK0NTnn</t>
  </si>
  <si>
    <t>GLIR150</t>
  </si>
  <si>
    <t>Gotero Lateral Rasante p/panel 150 mm</t>
  </si>
  <si>
    <t>https://ibb.co/rM8LzNR</t>
  </si>
  <si>
    <t>GLIR200</t>
  </si>
  <si>
    <t>Gotero Lateral Rasante p/panel 200 mm</t>
  </si>
  <si>
    <t>https://ibb.co/VJj302h</t>
  </si>
  <si>
    <t>GLIR250</t>
  </si>
  <si>
    <t>Gotero Lateral Rasante p/panel 250 mm</t>
  </si>
  <si>
    <t>Babetas</t>
  </si>
  <si>
    <t>BEI3M</t>
  </si>
  <si>
    <t>Babeta estándar</t>
  </si>
  <si>
    <t>Standard</t>
  </si>
  <si>
    <t>https://ibb.co/FsdSf6s</t>
  </si>
  <si>
    <r>
      <rPr>
        <color rgb="FF0563C1"/>
        <u/>
      </rPr>
      <t>https://ibb.co/XWJyFXm</t>
    </r>
    <r>
      <rPr>
        <color rgb="FF000000"/>
      </rPr>
      <t xml:space="preserve"> </t>
    </r>
  </si>
  <si>
    <t>BAI3M</t>
  </si>
  <si>
    <t>Babeta de Amure</t>
  </si>
  <si>
    <t>Amure</t>
  </si>
  <si>
    <t>https://ibb.co/zFjBMXR</t>
  </si>
  <si>
    <t>PERFIL U</t>
  </si>
  <si>
    <t>Perfil U</t>
  </si>
  <si>
    <t>PUI50</t>
  </si>
  <si>
    <t>Perfil U p/panel 50 mm</t>
  </si>
  <si>
    <t>https://ibb.co/GVvKc4v</t>
  </si>
  <si>
    <r>
      <rPr>
        <color rgb="FF1155CC"/>
        <u/>
      </rPr>
      <t>https://ibb.co/dpc1b3j</t>
    </r>
    <r>
      <rPr>
        <color theme="4"/>
        <u/>
      </rPr>
      <t xml:space="preserve"> </t>
    </r>
  </si>
  <si>
    <t>PUI100</t>
  </si>
  <si>
    <t>Perfil U p/panel 100 mm</t>
  </si>
  <si>
    <t>https://ibb.co/829ZZxd</t>
  </si>
  <si>
    <t>PUI150</t>
  </si>
  <si>
    <t>Perfil U p/panel 150 mm</t>
  </si>
  <si>
    <t>https://ibb.co/tw6hmC2</t>
  </si>
  <si>
    <t>https://ibb.co/HHdRzJJ</t>
  </si>
  <si>
    <t>CUMBRERA</t>
  </si>
  <si>
    <t>Cumbrera</t>
  </si>
  <si>
    <t>CUEX3</t>
  </si>
  <si>
    <t>Cumbrera Exterior</t>
  </si>
  <si>
    <t>Exterior</t>
  </si>
  <si>
    <t>https://ibb.co/kGLnhFw</t>
  </si>
  <si>
    <t>Cumbrera Interior</t>
  </si>
  <si>
    <t>Interior</t>
  </si>
  <si>
    <t>https://ibb.co/HGby6xS</t>
  </si>
  <si>
    <t>Cumbrera CUE</t>
  </si>
  <si>
    <t>CANALÓN</t>
  </si>
  <si>
    <t>Canalón</t>
  </si>
  <si>
    <t>CAN100</t>
  </si>
  <si>
    <t>Canalón p/panel 100 mm + bandeja + 2 Tapas</t>
  </si>
  <si>
    <t>https://ibb.co/vZpWRqK</t>
  </si>
  <si>
    <r>
      <rPr>
        <color rgb="FF1155CC"/>
        <u/>
      </rPr>
      <t>https://ibb.co/W0ckTTJ</t>
    </r>
    <r>
      <rPr>
        <color rgb="FF000000"/>
      </rPr>
      <t xml:space="preserve"> </t>
    </r>
  </si>
  <si>
    <t>CAN150</t>
  </si>
  <si>
    <t>Canalón p/panel 150 mm + bandeja + 2 Tapas</t>
  </si>
  <si>
    <t>https://ibb.co/0F1p1T7</t>
  </si>
  <si>
    <t>CAN200</t>
  </si>
  <si>
    <t>Canalón p/panel 200 mm + bandeja + 2 Tapas</t>
  </si>
  <si>
    <t>https://ibb.co/18BqdjM</t>
  </si>
  <si>
    <t>CAN250</t>
  </si>
  <si>
    <t>Canalón p/panel 250 mm + bandeja + 2 Tapas</t>
  </si>
  <si>
    <t>https://ibb.co/sCf8bGb</t>
  </si>
  <si>
    <t>OMEGA3</t>
  </si>
  <si>
    <t>Omega de 3 m</t>
  </si>
  <si>
    <t>omega</t>
  </si>
  <si>
    <t>https://ibb.co/ThKkyrc</t>
  </si>
  <si>
    <t>EMBISO</t>
  </si>
  <si>
    <t>Embudo</t>
  </si>
  <si>
    <t>BANCANISO</t>
  </si>
  <si>
    <t>Bandeja interior de Canalón</t>
  </si>
  <si>
    <t>ÁNGULOS</t>
  </si>
  <si>
    <t>Ángulos</t>
  </si>
  <si>
    <t>ATER1003</t>
  </si>
  <si>
    <t>Ángulo de Terminación p/panel 100 mm</t>
  </si>
  <si>
    <t>https://ibb.co/NVXbqxc</t>
  </si>
  <si>
    <t>https://ibb.co/zmwgQRk</t>
  </si>
  <si>
    <t>ATER1503</t>
  </si>
  <si>
    <t>Ángulo de Terminación p/panel 150 mm</t>
  </si>
  <si>
    <t>https://ibb.co/1bSnWtz</t>
  </si>
  <si>
    <t>ATER2003</t>
  </si>
  <si>
    <t>https://ibb.co/WcMC9Q0</t>
  </si>
  <si>
    <t>ANINT40</t>
  </si>
  <si>
    <t>Ángulo interior 40x40</t>
  </si>
  <si>
    <t>Á. Interior</t>
  </si>
  <si>
    <t>https://ibb.co/XFnhLLD</t>
  </si>
  <si>
    <r>
      <rPr>
        <color rgb="FF0563C1"/>
        <u/>
      </rPr>
      <t>https://ibb.co/zW37Xfm</t>
    </r>
    <r>
      <rPr>
        <color rgb="FF000000"/>
      </rPr>
      <t xml:space="preserve"> </t>
    </r>
  </si>
  <si>
    <t>ANEX40</t>
  </si>
  <si>
    <t>Á. Exterior</t>
  </si>
  <si>
    <t>https://ibb.co/G2Rgyrp</t>
  </si>
  <si>
    <t>Á. Piso</t>
  </si>
  <si>
    <t>https://ibb.co/6D5GCzM</t>
  </si>
  <si>
    <t>ANEA575</t>
  </si>
  <si>
    <t>Ángulo estructural aluminio (5.75 M)</t>
  </si>
  <si>
    <t>/5.75</t>
  </si>
  <si>
    <t>A. E. Alum.</t>
  </si>
  <si>
    <t>https://ibb.co/7Xkgm0J</t>
  </si>
  <si>
    <t>Ángulo estructural aluminio (6.97 M)</t>
  </si>
  <si>
    <t>PEGAMENTOS + ACLAJES</t>
  </si>
  <si>
    <t>Pegamentos + Anclajes</t>
  </si>
  <si>
    <t>MAAG10M</t>
  </si>
  <si>
    <t>Membrana asfáltica c/alumiinio gofrado 4mm - 10 m</t>
  </si>
  <si>
    <t>PP750</t>
  </si>
  <si>
    <t>Pomo de Poliuretano 750 cm3</t>
  </si>
  <si>
    <t>TSNB280</t>
  </si>
  <si>
    <t>Tubo de silicona neutra blanca 280 cm3</t>
  </si>
  <si>
    <t>REMPOP</t>
  </si>
  <si>
    <t>Remache POP 5/32 x 1/2" -caja de 1000</t>
  </si>
  <si>
    <t>ANCNO10</t>
  </si>
  <si>
    <t>Taco plastico nº 8 + Tornillo nº10x1 1/2 + Arandela 3/16"</t>
  </si>
  <si>
    <t>BISTISO</t>
  </si>
  <si>
    <t>Bisagras sin Tranca</t>
  </si>
  <si>
    <t>20 %</t>
  </si>
  <si>
    <t>Puerta Frigorifica Batiente (0.9mx1.8mx0.1m)</t>
  </si>
  <si>
    <t>11.53 %</t>
  </si>
  <si>
    <t>Espuma EPS</t>
  </si>
  <si>
    <t>X Paquete de 12 U.</t>
  </si>
  <si>
    <t>EEPSPK1X1</t>
  </si>
  <si>
    <t>Paquete Espuma 1x1 (PAq. 12 u.) CAT. II 50 mm</t>
  </si>
  <si>
    <t>Paquete Espuma 1x1 (PAq. 20u.) CAT. II 30 mm</t>
  </si>
  <si>
    <t>Paquete Espuma 1x1 (PAq. 30u.) CAT. II 20 mm</t>
  </si>
  <si>
    <t>Paquete Espuma 1x1 (PAq. 60u.) CAT. II 10 mm</t>
  </si>
  <si>
    <t>EEPSPK1X3</t>
  </si>
  <si>
    <t>Paquete Espuma 1x3 (PAq. 12u.) CAT. II 50 mm</t>
  </si>
  <si>
    <t>Placas Autoencastrables Poliestireno expandido [EPS] (Paq. 12u.) CAT. II 50mm</t>
  </si>
  <si>
    <t>Plegado Especial Tapa Panel 100mm Martín Barra.Carrasco</t>
  </si>
  <si>
    <t>TORTPVCBL</t>
  </si>
  <si>
    <t xml:space="preserve">Tortugas PVC común </t>
  </si>
  <si>
    <t>TORTGRIS</t>
  </si>
  <si>
    <t>Tortugas Grises</t>
  </si>
  <si>
    <t>Z</t>
  </si>
  <si>
    <t xml:space="preserve">Anclaje especial para cieloraso </t>
  </si>
  <si>
    <t>Pêrf.Zócalo</t>
  </si>
  <si>
    <t>Perfil Zócalo</t>
  </si>
  <si>
    <t>Planchuela de Metal, anclaje invisible interior.</t>
  </si>
  <si>
    <t xml:space="preserve">Cumbrera Especial Gris 3m </t>
  </si>
  <si>
    <t>Perlas de EPS - Bolsa de 5 kg. - 1ra. Exp.</t>
  </si>
  <si>
    <t>Sika</t>
  </si>
  <si>
    <t>BLOQUE entero / 5 m x 1 m x 1 h / CAT II</t>
  </si>
  <si>
    <r>
      <rPr>
        <color rgb="FF0563C1"/>
        <u/>
      </rPr>
      <t>https://ibb.co/zW37Xfm</t>
    </r>
    <r>
      <rPr>
        <color rgb="FF000000"/>
      </rPr>
      <t xml:space="preserve"> </t>
    </r>
  </si>
  <si>
    <t>PRE HOUSE</t>
  </si>
  <si>
    <t>ACTUALIZADO 12-09-2023</t>
  </si>
  <si>
    <t>Chapa Trapezoidal con EPS 50 mm - Blanco / 0,95 ancho útil / 6,9 m</t>
  </si>
  <si>
    <t>Chapa Trapezoidal con EPS 50 mm - Blanco / 0,95 ancho útil / 7,4 m</t>
  </si>
  <si>
    <t xml:space="preserve">Precios ml sugerido </t>
  </si>
  <si>
    <t xml:space="preserve">35mm foil </t>
  </si>
  <si>
    <t>usd 28 iva inc</t>
  </si>
  <si>
    <t>50mm c/cieloraso</t>
  </si>
  <si>
    <t xml:space="preserve">usd 30 iVA inc </t>
  </si>
  <si>
    <t>MATERIALES DE STEEL FRAMING</t>
  </si>
  <si>
    <t>Utilidad %</t>
  </si>
  <si>
    <t>Ganancia UNIT</t>
  </si>
  <si>
    <t>Precio IVA inc.</t>
  </si>
  <si>
    <t xml:space="preserve">SCM343830 </t>
  </si>
  <si>
    <t>MONTANTE 34MM E 0.38 X 3M LARGO</t>
  </si>
  <si>
    <t>SCM693830</t>
  </si>
  <si>
    <t>MONTANTE 69MM E 0.38 X 3M LARGO</t>
  </si>
  <si>
    <t xml:space="preserve">SCM993826 </t>
  </si>
  <si>
    <t>MONTANTE 99MM E 0.38 X 2.6M LARGO</t>
  </si>
  <si>
    <t>PGC700926</t>
  </si>
  <si>
    <t>MONTANTE ESTRUCTURAL 70MM E 0.92 X 6M</t>
  </si>
  <si>
    <t>PGC10009226</t>
  </si>
  <si>
    <t>MONTANTE ESTRUCTURAL 100MM E 0.92 X 2.6M FARDO X 50 UNI</t>
  </si>
  <si>
    <t>PGC1000926</t>
  </si>
  <si>
    <t>MONTANTE ESTRUCTURAL 100MM E 0.92 X 6M</t>
  </si>
  <si>
    <t>PGC1001276</t>
  </si>
  <si>
    <t>MONTANTE ESTRUCTURAL 100MM E 1.29 X 6M</t>
  </si>
  <si>
    <t>PGC1001626</t>
  </si>
  <si>
    <t>MONTANTE ESTRUCTURAL 100MM E 1.62MM X 6M</t>
  </si>
  <si>
    <t>PGC1500926</t>
  </si>
  <si>
    <t>MONTANTE ESTRUCTURAL 150MM E 0.92 X 6M</t>
  </si>
  <si>
    <t>PGC1501276</t>
  </si>
  <si>
    <t>MONTANTE ESTRUCTURAL 150MM E 1.27 X 6M</t>
  </si>
  <si>
    <t>PGC2001276</t>
  </si>
  <si>
    <t>MONTANTE ESTRUCTURAL 200MM E 1.27 X 6 M</t>
  </si>
  <si>
    <t>PGC2001626</t>
  </si>
  <si>
    <t>MONTANTE ESTRUCTURAL 200MM E 1.62 X 6M</t>
  </si>
  <si>
    <t>PGC2002046</t>
  </si>
  <si>
    <t>MONTANTE PGC 200MM E 2.04MM X 6M</t>
  </si>
  <si>
    <t xml:space="preserve">PGC2501626 </t>
  </si>
  <si>
    <t>MONTANTE ESTRUCTURAL 250MM E 1.62 X 6M</t>
  </si>
  <si>
    <t xml:space="preserve">PGC3001626 </t>
  </si>
  <si>
    <t xml:space="preserve">MONTANTE ESTRUCTURAL 300MM E 1.62 X 6M </t>
  </si>
  <si>
    <t xml:space="preserve">SCS353830 </t>
  </si>
  <si>
    <t>SOLERA 35MM E 0.38 X 3M LARGO</t>
  </si>
  <si>
    <t xml:space="preserve">SCS703830 </t>
  </si>
  <si>
    <t>SOLERA 70MM E 0.38 X 3M LARGO</t>
  </si>
  <si>
    <t>SCS1003826</t>
  </si>
  <si>
    <t>SOLERA 100MM E 0.38 X 2.6M LARGO</t>
  </si>
  <si>
    <t xml:space="preserve">PGU700926 </t>
  </si>
  <si>
    <t>SOLERA ESTRUCTURAL 70MM E 0.92 X 6M</t>
  </si>
  <si>
    <t xml:space="preserve">PGU1000926 </t>
  </si>
  <si>
    <t>SOLERA ESTRUCTURAL 100MM E 0.92 X 6M</t>
  </si>
  <si>
    <t xml:space="preserve">PGU1001276 </t>
  </si>
  <si>
    <t>SOLERA ESTRUCTURAL 100MM E 1.29mm X 6M</t>
  </si>
  <si>
    <t xml:space="preserve">PGU1501626 </t>
  </si>
  <si>
    <t>SOLERA ESTRUCTURAL 150MM E 1.62 X 6M</t>
  </si>
  <si>
    <t xml:space="preserve">PGU1500926 </t>
  </si>
  <si>
    <t>SOLERA ESTRUCTURAL 150MM E 0.92 X 6M</t>
  </si>
  <si>
    <t xml:space="preserve">PGU1501276 </t>
  </si>
  <si>
    <t>SOLERA ESTRUCTURAL 150MM E 1.27 X 6M</t>
  </si>
  <si>
    <t xml:space="preserve">PGU2001276 </t>
  </si>
  <si>
    <t>SOLERA ESTRUCTURAL 200MM E 1.28MM X 6M</t>
  </si>
  <si>
    <t xml:space="preserve">PGU2001626 </t>
  </si>
  <si>
    <t>SOLERA ESTRUCTURAL 200MM E 1.62 X 6M</t>
  </si>
  <si>
    <t xml:space="preserve">PGU2002046 </t>
  </si>
  <si>
    <t>SOLERA ESTRUCTURAL 200MM E 2.04 X 6M</t>
  </si>
  <si>
    <t>PLACAS</t>
  </si>
  <si>
    <t>REG13</t>
  </si>
  <si>
    <t>PLACA YESO REGULAR 12.5MM X 1.20 X 2.40M</t>
  </si>
  <si>
    <t>REG13L</t>
  </si>
  <si>
    <t>PLACA LIVIANA KNAUF 12.5MM X 1.20 X 2.40M 80 x pallet</t>
  </si>
  <si>
    <t xml:space="preserve">RH13 </t>
  </si>
  <si>
    <t>PLACA YESO R.HUMED.12.5MM X 1.20 X 2.40M</t>
  </si>
  <si>
    <t>RF13</t>
  </si>
  <si>
    <t>PLACA YESO R.FUEGO.12.5MM X 1.20 X 2.40M</t>
  </si>
  <si>
    <t xml:space="preserve">CDX12 </t>
  </si>
  <si>
    <t>FENOLICO CDX 12MM X 1.22 X 2.44M (75 x pallet)</t>
  </si>
  <si>
    <t xml:space="preserve">CDX15 </t>
  </si>
  <si>
    <t xml:space="preserve">FENOLICO CDX 15MM X 1.22 X 2.44M (60 x pallet) </t>
  </si>
  <si>
    <t xml:space="preserve">CDX18 </t>
  </si>
  <si>
    <t>FENOLICO CDX 18MM X 1.22 X 2.44M (51 x pallet)</t>
  </si>
  <si>
    <t xml:space="preserve">OSB11 </t>
  </si>
  <si>
    <t>OSB 11MM X 1.22 X 2.44M (77 x pallet)</t>
  </si>
  <si>
    <t xml:space="preserve">OSB15 </t>
  </si>
  <si>
    <t>OSB 15MM X 1.22 X 2.44M (58 x pallet)</t>
  </si>
  <si>
    <t xml:space="preserve">OSB18 </t>
  </si>
  <si>
    <t>OSB 18MM X 1.22 X 2.44M (46 x pallet)</t>
  </si>
  <si>
    <t>CB4812</t>
  </si>
  <si>
    <t>PLACA CEMENTICIA PERMABASE PLUS 11,1X1.22X2,30M</t>
  </si>
  <si>
    <t>PLACA FIBROCEMENTO 6MM 1.20 X 2.40M</t>
  </si>
  <si>
    <t>PLACA FIBROCEMENTO 8MM 1.20 X 2.40M</t>
  </si>
  <si>
    <t>PLACA FIBROCEMENTO 10MM 1.20 X 2.40M</t>
  </si>
  <si>
    <t xml:space="preserve">9020MH </t>
  </si>
  <si>
    <t>PLYSTONE MH 20MM X 1,22M X 2,44M</t>
  </si>
  <si>
    <t xml:space="preserve">PLYDECK JASPE 30MM X 15 CM X 3,66M 1,00 </t>
  </si>
  <si>
    <t>TABLA TEK MEDITERRANEO JS 11MM 1.22 X 2.44M TEXTURA MADERA</t>
  </si>
  <si>
    <t>TABLA TEK TABLILLA 8MM 1.22 X 2.44M SIMIL LAMBRIZ</t>
  </si>
  <si>
    <t>SIDING MACH. MADERA 14MM X 24,6CM 2,44M</t>
  </si>
  <si>
    <t>SIDING TRASLAPADO MADERA 14MM X 24,6CM X 2,44 M</t>
  </si>
  <si>
    <t>SIDING MACH. LISO 14MM X 24,6CM 2,44M</t>
  </si>
  <si>
    <t>SIDING 8MM HIDROFUGADO 19 CM X 3,66M</t>
  </si>
  <si>
    <t>OTROS</t>
  </si>
  <si>
    <t>MALLA FIBRA DE VIDRIO 1 X 50M 145 GR/M2</t>
  </si>
  <si>
    <t>MALLA FIBRA DE VIDRIO STO 1,10 x 50M 55M2 160gr</t>
  </si>
  <si>
    <t>80101-30</t>
  </si>
  <si>
    <t>STO PRIMER ADHESIVE BOLSA 25KG</t>
  </si>
  <si>
    <t>BCOAT</t>
  </si>
  <si>
    <t>BASECOAT MONOCOMPONENTE BOLSA 25 kg.</t>
  </si>
  <si>
    <t>TYP30</t>
  </si>
  <si>
    <t>PAPEL TYPAR BARBI TECHO ROLLO 0.92M X 30,5M</t>
  </si>
  <si>
    <t>U$S IVA inc.</t>
  </si>
  <si>
    <t>TYP40</t>
  </si>
  <si>
    <t>PAPEL TYPAR BARBI PARED ROLLO 2.74M X 45.72M</t>
  </si>
  <si>
    <t xml:space="preserve">Aislantes </t>
  </si>
  <si>
    <t>LANAVIDRIO KAUF R11 90mm x 43cm x 18m 7,74M2 CHICO</t>
  </si>
  <si>
    <t>LANA URSA 50MM X 1,20 X 24M ROLLO LIBRE (28,80 M2/ROLL)</t>
  </si>
  <si>
    <t xml:space="preserve">LANA URSA R8 65mm X 1,20M X 15,25M (18,3M2 / bolsa) rollo libre </t>
  </si>
  <si>
    <t>LANA DE VIDRIOKAUF KRAFT R11 90mm 16x96" 15,87m2</t>
  </si>
  <si>
    <t>LANA DE VIDRIO R19 KAUF 6.25" 158mm 16X96 ROLLO 9.92M2</t>
  </si>
  <si>
    <t>LANA DE VIDRIO R8 65mm KNAUF 16"X96" ROLLO 21.83M2</t>
  </si>
  <si>
    <t>FL50A</t>
  </si>
  <si>
    <t>LANA 50MM 1.20X15M C/ALUMINIO ROLLO LIBRE 18M2</t>
  </si>
  <si>
    <t>JMR11k</t>
  </si>
  <si>
    <t xml:space="preserve">LANA VIDRIO JM R11 90mm Kraft 16"x96" 15,87M2 precortada </t>
  </si>
  <si>
    <t>JMR11</t>
  </si>
  <si>
    <t xml:space="preserve">LANA VIDRIO JM R11 90mm 16"x96" 15,87M2 precortada </t>
  </si>
  <si>
    <t>LPR50</t>
  </si>
  <si>
    <t>PANEL DE LANA ROCA 50MM X 1,20 X 0,60M 32KG/M3 4.32M2</t>
  </si>
  <si>
    <t>BA100</t>
  </si>
  <si>
    <t>BANDA ACUSTIA BARBIRI 100MM X 20M (CAJA X 5UN)</t>
  </si>
  <si>
    <t>BA50</t>
  </si>
  <si>
    <t>BANDA ACUSTIA BARBIRI 50MM X 20M (CAJA X 5UN)</t>
  </si>
  <si>
    <t>RUSTIFLEX BASE P 25 KG (comprar 10 + 10%)</t>
  </si>
  <si>
    <t>GALPONES DE JARDIN - 2025</t>
  </si>
  <si>
    <t>Costo U$S + IVA</t>
  </si>
  <si>
    <t>Zorzal</t>
  </si>
  <si>
    <t>Cardelino</t>
  </si>
  <si>
    <t>PRESTAMO</t>
  </si>
  <si>
    <t>2 Galpones</t>
  </si>
  <si>
    <t>USD</t>
  </si>
  <si>
    <t xml:space="preserve">Pago a Riki </t>
  </si>
  <si>
    <t xml:space="preserve">Bancario </t>
  </si>
  <si>
    <t>Costo por metro</t>
  </si>
  <si>
    <t xml:space="preserve">PU30 </t>
  </si>
  <si>
    <t>USD 16 /m</t>
  </si>
  <si>
    <t>mas iva</t>
  </si>
  <si>
    <t>PU20</t>
  </si>
  <si>
    <t>USD 13/m</t>
  </si>
  <si>
    <t>Perfil frontal</t>
  </si>
  <si>
    <t>USD 2/m</t>
  </si>
  <si>
    <t>Perfil lateral</t>
  </si>
  <si>
    <t>USD 3.65/m</t>
  </si>
  <si>
    <t>USD 5.5 /m</t>
  </si>
  <si>
    <t xml:space="preserve">41,5-Pago 100% </t>
  </si>
  <si>
    <t>Arandelas</t>
  </si>
  <si>
    <t>0.23 CU</t>
  </si>
  <si>
    <t>28.5-Pago 100%</t>
  </si>
  <si>
    <t>precio 5,5 PU30</t>
  </si>
  <si>
    <t>Precio x 29 Un</t>
  </si>
  <si>
    <t>PU30</t>
  </si>
  <si>
    <t>Costo UNIT U$S + IVA</t>
  </si>
  <si>
    <t xml:space="preserve">Consumidor Final </t>
  </si>
  <si>
    <t>Perf. Frontal</t>
  </si>
  <si>
    <t>Babeta Lateral</t>
  </si>
  <si>
    <t>Canalón de 3 m</t>
  </si>
  <si>
    <t>Costo extra por día sin retirar</t>
  </si>
  <si>
    <t>Llegó 3-7 hoy:</t>
  </si>
  <si>
    <t>30 días</t>
  </si>
  <si>
    <t>día 1 - 5       30</t>
  </si>
  <si>
    <t>A partir de los 25 días, alquiler del contenedor 140 x día</t>
  </si>
  <si>
    <t>día 6 - 20     50</t>
  </si>
  <si>
    <t>8/8:   1680</t>
  </si>
  <si>
    <t>día 20 - ...    60</t>
  </si>
  <si>
    <t>costo extra por maniobra  X</t>
  </si>
  <si>
    <t>50% y 50%</t>
  </si>
  <si>
    <t>Perf.Lateral</t>
  </si>
  <si>
    <t>arandelas</t>
  </si>
  <si>
    <t>Peso de 4,76g</t>
  </si>
  <si>
    <t>ARMCO</t>
  </si>
  <si>
    <t>Costo mL U$S + IVA</t>
  </si>
  <si>
    <r>
      <rPr>
        <rFont val="Calibri"/>
        <b/>
        <color theme="1"/>
        <sz val="11.0"/>
      </rPr>
      <t xml:space="preserve">CHAPAS CONVENCIONALES - </t>
    </r>
    <r>
      <rPr>
        <rFont val="Calibri"/>
        <b val="0"/>
        <color rgb="FFFF0000"/>
        <sz val="11.0"/>
      </rPr>
      <t>Corte Mínimo 1,5 m</t>
    </r>
  </si>
  <si>
    <t>CHPZN50MM</t>
  </si>
  <si>
    <t>Chapanel Zinc y Zincalgrip / 0.50 mm / Ancho 1.08 m</t>
  </si>
  <si>
    <t>CHPZN41MM</t>
  </si>
  <si>
    <t>Chapanel Zinc y Zincalgrip / 0.41 mm / Ancho 1.08 m</t>
  </si>
  <si>
    <t>CHPZN36MM</t>
  </si>
  <si>
    <t>Chapanel Zinc y Zincalgrip / 0.36 mm / Ancho 1.08 m</t>
  </si>
  <si>
    <t>CHPCOL50MM</t>
  </si>
  <si>
    <t>Chapanel Colorgrip / 0.50 mm</t>
  </si>
  <si>
    <t>CHPCOL41MM</t>
  </si>
  <si>
    <t>Chapanel Colorgrip / 0.41 mm</t>
  </si>
  <si>
    <t>CHPCOL36MM</t>
  </si>
  <si>
    <t>Chapanel Colorgrip / Ñandú / 0.36 mm</t>
  </si>
  <si>
    <t>ECOPZN89MM</t>
  </si>
  <si>
    <t>Econopanel  Zincalgrip / 0.89 mm</t>
  </si>
  <si>
    <t>* consultar Fabricacion</t>
  </si>
  <si>
    <t>ECOPZN71MM</t>
  </si>
  <si>
    <t>Econopanel  Zincalgrip / 0.71 mm</t>
  </si>
  <si>
    <t>ECOPZN50MM</t>
  </si>
  <si>
    <t>Econopanel Zinc y Zincalgrip / 0.50 mm</t>
  </si>
  <si>
    <t>ECOPZN41MM</t>
  </si>
  <si>
    <t>Econopanel Zinc y Zincalgrip / 0.41 mm</t>
  </si>
  <si>
    <t>ECOPZN36MM</t>
  </si>
  <si>
    <t>Econopanel Zinc y Zincalgrip / 0.36 mm</t>
  </si>
  <si>
    <t>ECOPCOL50MM</t>
  </si>
  <si>
    <t>Econopanel Colorgrip / 0.50 mm</t>
  </si>
  <si>
    <t>ECOPCOL41MM</t>
  </si>
  <si>
    <t>Econopanel Colorgrip / 0.41 mm</t>
  </si>
  <si>
    <t>ECOPCOL36MM</t>
  </si>
  <si>
    <t>Econopanel Colorgrip / Ñandú / 0.36 mm</t>
  </si>
  <si>
    <t>TEJPCOL50MM</t>
  </si>
  <si>
    <t>Tejapanel Colorgrip / 0.50 mm</t>
  </si>
  <si>
    <t>TEJPCOL41MM</t>
  </si>
  <si>
    <t>Tejapanel Colorgrip / 0.41 mm</t>
  </si>
  <si>
    <t>CHPPLU30MM</t>
  </si>
  <si>
    <t>Chapanel Pluma / 0.30 mm / Ancho 0.89 m</t>
  </si>
  <si>
    <t>ECOGALV30MM</t>
  </si>
  <si>
    <t>Econopanel Galvanizada / 0.30 mm / Ancho 0.95 m</t>
  </si>
  <si>
    <t>Chapanel Zinc y Zincalgrip / 0.89mm / Ancho 0.985 m</t>
  </si>
  <si>
    <t>Chapanel Zinc y Zincalgrip / 0.71 mm / Ancho 0.985 m</t>
  </si>
  <si>
    <t>.</t>
  </si>
  <si>
    <t>POLICARBONATOS - Poliglas  2025</t>
  </si>
  <si>
    <t>PLACA ENTERA</t>
  </si>
  <si>
    <t>Costo u.</t>
  </si>
  <si>
    <t>Placa Entera / Alveolar / 4 mm / Clear, Fume, Opal / 2,1 m x 5,8 m</t>
  </si>
  <si>
    <t>Placa Entera / Alveolar / 6 mm / Clear, Fume, Opal / 2,1 m x 5,8 m</t>
  </si>
  <si>
    <t>Placa Entera / Alveolar / 8 mm / Clear, Fume, Opal / 2,1 m x 5,8 m</t>
  </si>
  <si>
    <t>Placa Entera / Alveolar / 10 mm / Clear, Fume, Opal / 2,1 m x 5,8 m</t>
  </si>
  <si>
    <t>Placa Entera / Alveolar / 16 mm / Clear / 2,1 m x 5,8 m</t>
  </si>
  <si>
    <t>MEDIA PLACA</t>
  </si>
  <si>
    <t>Placa Entera / Alveolar / 4 mm / Clear, Fume, Opal / 1,05 m x 5,8 m o 2,1 m x 2,9 m</t>
  </si>
  <si>
    <t>Placa Entera / Alveolar / 6 mm / Clear, Fume, Opal / 1,05 m x 5,8 m o 2,1 m x 2,9 m</t>
  </si>
  <si>
    <t>Placa Entera / Alveolar / 8 mm / Clear, Fume, Opal / 1,05 m x 5,8 m o 2,1 m x 2,9 m</t>
  </si>
  <si>
    <t>Placa Entera / Alveolar / 10 mm / Clear, Fume, Opal / 1,05 m x 5,8 m o 2,1 m x 2,9 m</t>
  </si>
  <si>
    <t>COMPACTOS</t>
  </si>
  <si>
    <t>Compacta Transparente / 2 mm / 1,22 m x 2,44 m</t>
  </si>
  <si>
    <t>Iva inc.</t>
  </si>
  <si>
    <t>Compacta Transparente / 2 mm / 2,05 m x 3,05 m</t>
  </si>
  <si>
    <t>Compacta Transparente / 3 mm / 1,22 m x 2,44 m</t>
  </si>
  <si>
    <t>Compacta Transparente / 3 mm / 2,05 m x 3,05 m</t>
  </si>
  <si>
    <t>Compacta Transparente / 4 mm / 1,22 m x 2,44 m</t>
  </si>
  <si>
    <t>Compacta Transparente / 4 mm / 2,05 m x 3,05 m</t>
  </si>
  <si>
    <t>Compacta Transparente / 5 mm / 2,05 m x 3,05 m</t>
  </si>
  <si>
    <t>Compacta Transparente / 5 mm / 1,22 m x 2,44 m</t>
  </si>
  <si>
    <t>Compacta Transparente / 6 mm /  1,22 m x 2,44 m</t>
  </si>
  <si>
    <t>Compacta Transparente / 6 mm / 2,05 m x 3,05 m</t>
  </si>
  <si>
    <t>Compacta Bronce/ 6 mm / 2,05 m x 3,05 m</t>
  </si>
  <si>
    <t>Compacta Transparente / 8 mm / 2,05 m x 3,05 m</t>
  </si>
  <si>
    <t>Compacta Transparente / 10 mm / 2,05 m x 3,05 m</t>
  </si>
  <si>
    <t>Compacta Transparente / 12 mm / 2,05 m x 3,05 m</t>
  </si>
  <si>
    <t>VENTA</t>
  </si>
  <si>
    <t>EN $</t>
  </si>
  <si>
    <t>Actualizar</t>
  </si>
  <si>
    <t>Babeta (chapa galvanizada Cal. 26) de 2,44 m</t>
  </si>
  <si>
    <t>Ángulo 30 x 30 (chapa galvanizada Cal. 26) de 2,44 m - Para Alveolar</t>
  </si>
  <si>
    <t>Ángulo Aluminio (30 x 17 x 1 mm) de 2,1 m</t>
  </si>
  <si>
    <t>Planchuela de Union (Aluminio con Burlete) Para Alveolar de 5,8 m</t>
  </si>
  <si>
    <t>H de Policarbonato (4/6 mm)  Para Alveolar de 5,8 m</t>
  </si>
  <si>
    <t>H de Policarbonato (8/10 mm)  Para Alveolar Incolora o Bronce de 5,8 m</t>
  </si>
  <si>
    <t>U de Policarbonato (4/6 mm)  Para Alveolar de 2,1 m</t>
  </si>
  <si>
    <t>U de Policarbonato (8/10 mm)  Para Alveolar Incolora o Bronce de 2,1 m</t>
  </si>
  <si>
    <t>Cinta de Aluminio Autoadhesiva Para Alveolar de 2,1 m</t>
  </si>
  <si>
    <t xml:space="preserve">Planchuela de Aluminio (25x2mm) Para ondulada, barra de 6,8 m </t>
  </si>
  <si>
    <t>TORNILLERÍA</t>
  </si>
  <si>
    <t>Tornillo Galvanizado (c/capuchón y arandela)</t>
  </si>
  <si>
    <t>Solo capuchón y arandela</t>
  </si>
  <si>
    <t>Tornillo de Acero Inoxidable (c/capuchón y arandela)</t>
  </si>
  <si>
    <t>Silicona Neutra (tubo rinde 6 m lineales)</t>
  </si>
  <si>
    <t>ONDULADOS</t>
  </si>
  <si>
    <t>Tansparente</t>
  </si>
  <si>
    <t>Chapa Ondulada / Transparete / 1,26 m x 3,05 m (1,16 m ancho útil)</t>
  </si>
  <si>
    <t>Chapa Ondulada / Transparete / 1,26 m x 3,66 m (1,16 m ancho útil)</t>
  </si>
  <si>
    <t>Chapa Ondulada / Transparete / 1,26 m x 5,8 m (1,16 m ancho útil)</t>
  </si>
  <si>
    <t>Bronce</t>
  </si>
  <si>
    <t>Chapa Ondulada / Bronce / 1,26 m x 3,05 m (1,16 m ancho útil)</t>
  </si>
  <si>
    <t>Chapa Ondulada / Bronce / 1,26 m x 3,66 m (1,16 m ancho útil)</t>
  </si>
  <si>
    <t>Chapa Ondulada / Bronce / 1,26 m x 5,8 m (1,16 m ancho útil)</t>
  </si>
  <si>
    <t>Opal</t>
  </si>
  <si>
    <t>Chapa Ondulada / Opal / 1,26 m x 3,05 m (1,16 m ancho útil)</t>
  </si>
  <si>
    <t>Chapa Ondulada /Opal / 1,26 m x 3,66 m (1,16 m ancho útil)</t>
  </si>
  <si>
    <t>Chapa Ondulada / Opal / 1,26 m x 5,8 m (1,16 m ancho útil)</t>
  </si>
  <si>
    <t>TRAPEZOIDAL - GRECA</t>
  </si>
  <si>
    <t>Chapa Trapezoidal / Transparete / 1,26 m x 3,05 m (1,16 m ancho útil)</t>
  </si>
  <si>
    <t>Chapa Trapezoidal / Transparete / 1,26 m x 3,66 m (1,16 m ancho útil)</t>
  </si>
  <si>
    <t>Chapa Trapezoidal / Transparete / 1,26 m x 5,8 m (1,16 m ancho útil)</t>
  </si>
  <si>
    <t>Chapa Trapezoidal / Bronce / 1,26 m x 3,05 m (1,16 m ancho útil)</t>
  </si>
  <si>
    <t>Chapa Trapezoidal / Bronce / 1,26 m x 3,66 m (1,16 m ancho útil)</t>
  </si>
  <si>
    <t>Chapa Trapezoidal / Bronce / 1,26 m x 5,8 m (1,16 m ancho útil)</t>
  </si>
  <si>
    <t>Chapa Trapezoidal / Opal / 1,26 m x 3,05 m (1,16 m ancho útil)</t>
  </si>
  <si>
    <t>Chapa Trapezoidal /Opal / 1,26 m x 3,66 m (1,16 m ancho útil)</t>
  </si>
  <si>
    <t>Chapa Trapezoidal / Opal / 1,26 m x 5,8 m (1,16 m ancho útil)</t>
  </si>
  <si>
    <t xml:space="preserve">Proveedor </t>
  </si>
  <si>
    <t xml:space="preserve">Patagon Latin America </t>
  </si>
  <si>
    <t xml:space="preserve">Contacto </t>
  </si>
  <si>
    <t>Nathaly Desantis</t>
  </si>
  <si>
    <t>Usd 3200 más iva el hc</t>
  </si>
  <si>
    <t xml:space="preserve">Tel </t>
  </si>
  <si>
    <t>093 993 327</t>
  </si>
  <si>
    <t>Y el 40dc 3000 más iv</t>
  </si>
  <si>
    <t>Para visitas a elegir las unidades o verlas sin compromiso solo es con previa agenda</t>
  </si>
  <si>
    <t>P. Venta</t>
  </si>
  <si>
    <t>Contenedores</t>
  </si>
  <si>
    <t>Maldonado</t>
  </si>
  <si>
    <t>MVD</t>
  </si>
  <si>
    <t xml:space="preserve">P. de los toros </t>
  </si>
  <si>
    <t xml:space="preserve">20DC </t>
  </si>
  <si>
    <t>Medidas 6ms largo, 2,44 ancho, 2,59 alto</t>
  </si>
  <si>
    <t xml:space="preserve">40DC  </t>
  </si>
  <si>
    <t>Medidas 12ms largo, 2,44 ancho, 2,59 alto</t>
  </si>
  <si>
    <t xml:space="preserve">40HC  </t>
  </si>
  <si>
    <t>Medidas 12ms largo, 2,44 ancho 2,89 alto</t>
  </si>
  <si>
    <t>Margen USD 300</t>
  </si>
  <si>
    <t>En Duda</t>
  </si>
  <si>
    <t>*MALDONADO</t>
  </si>
  <si>
    <t>*MONTEVIDEO</t>
  </si>
  <si>
    <t>*PASO DE LOS TOROS</t>
  </si>
  <si>
    <t>20DC  USD 2550 + iva</t>
  </si>
  <si>
    <t>20DC USD 2550 + iva</t>
  </si>
  <si>
    <t>20DC USD 2350 + iva</t>
  </si>
  <si>
    <t>40DC  USD 3300 + iva</t>
  </si>
  <si>
    <t>40DC USD 3200 + iva</t>
  </si>
  <si>
    <t>40DC USD 2800 + iva</t>
  </si>
  <si>
    <t>40HC  USD 3500 + iva</t>
  </si>
  <si>
    <t>40HC USD 3300 + iva</t>
  </si>
  <si>
    <t>40HC USD 3100 + iva</t>
  </si>
  <si>
    <t>Los precios de contenedores no incluyen traslado</t>
  </si>
  <si>
    <t>Podemos cotizarle el traslado sin compromiso también, para una ágil comunicación le estaré dejando mi cel de contacto</t>
  </si>
  <si>
    <t>92 993 327</t>
  </si>
  <si>
    <t>HOMEKIT</t>
  </si>
  <si>
    <t>OSB Guard (2440x1220x90mm)</t>
  </si>
  <si>
    <t>OSB Terciada (2440x1220x75mm)</t>
  </si>
  <si>
    <t>Unión H</t>
  </si>
  <si>
    <t>Tablillas</t>
  </si>
  <si>
    <t>Viga I Joist</t>
  </si>
  <si>
    <t>Alquiler de Rebajador de Panel</t>
  </si>
  <si>
    <t>Listones tirantes de Madera de Luisi / ROCHA</t>
  </si>
  <si>
    <t>2"x2" x 3,30mt $324 iva incluido</t>
  </si>
  <si>
    <t>2"x3" x 3,30mt: $504 iva incluido</t>
  </si>
  <si>
    <t>Barraca LUISSI (Se debe actualizar constantemente los precios, ya que es variante)</t>
  </si>
  <si>
    <t>Listones Tirantes de Madera (2"x2" de 3,3 m)</t>
  </si>
  <si>
    <t>Listones Tirantes de Madera (2"x3" de 3,3 m)</t>
  </si>
  <si>
    <t>ALAMBRESA</t>
  </si>
  <si>
    <t>Medidas de Stock m</t>
  </si>
  <si>
    <t xml:space="preserve"> MALLAS GALVANIZADAS 2,50 mm - 15X5cm x 25m largo</t>
  </si>
  <si>
    <t>1.0 - 1.2 - 1.5 - 1.8 - 2.0</t>
  </si>
  <si>
    <t xml:space="preserve"> MALLAS GALVANIZADAS 1,90 mm - 15X5cm</t>
  </si>
  <si>
    <t xml:space="preserve">1.0 - 1.2 - 1.5 </t>
  </si>
  <si>
    <t xml:space="preserve"> MALLAS GALVANIZADAS 1,90 mm - 7,5X5cm</t>
  </si>
  <si>
    <t>TEJIDOS GALVANIZADOS  50X50 2mm STOCK PERMANENTE</t>
  </si>
  <si>
    <t>0.75 - 1 - 1.25 - 1.5 - 1.8 - 2 - 2.2</t>
  </si>
  <si>
    <t>TEJIDOS GALVANIZADOS  80X80 2mm STOCK PERMANENTE</t>
  </si>
  <si>
    <t>TEJIDOS GALVANIZADOS  40X40 2mm</t>
  </si>
  <si>
    <t>TEJIDOS GALVANIZADOS  60X60 2mm</t>
  </si>
  <si>
    <t>PRODECO - Pisos flotantes</t>
  </si>
  <si>
    <t>FLORPAN</t>
  </si>
  <si>
    <t>CAJA</t>
  </si>
  <si>
    <t>Bora (0.7x120.5x19.7 cm) AC3</t>
  </si>
  <si>
    <t>2,849 m2</t>
  </si>
  <si>
    <t>Muson (0.7x120.5x19.7 cm) AC3</t>
  </si>
  <si>
    <t>2,849 m3</t>
  </si>
  <si>
    <t>Karayel (0.7x120.5x19.7 cm) AC3</t>
  </si>
  <si>
    <t>2,849 m4</t>
  </si>
  <si>
    <t>AGT</t>
  </si>
  <si>
    <t>Pamir (0.8x120x20 cm) AC4</t>
  </si>
  <si>
    <t>1,83 m2</t>
  </si>
  <si>
    <t>Tibet  (0.8x120x20 cm) AC4</t>
  </si>
  <si>
    <t>Altay  (0.8x120x20 cm) AC4</t>
  </si>
  <si>
    <t>Natura Oak (0.8x120x20 cm) AC3</t>
  </si>
  <si>
    <t>Niksar Wal (0.8x120x20 cm) AC4</t>
  </si>
  <si>
    <t>Kreme Pine (0.8x120x20 cm) AC4</t>
  </si>
  <si>
    <t>Fezya (0.8x120x20 cm) AC4</t>
  </si>
  <si>
    <t>2,316 m2</t>
  </si>
  <si>
    <t>ZOCALO</t>
  </si>
  <si>
    <t>Zócalos (1,3x8x280 cm)</t>
  </si>
  <si>
    <t>8 unidades</t>
  </si>
  <si>
    <t>AISLANTE</t>
  </si>
  <si>
    <t>Aislante Rollo 20m2 x 2mm</t>
  </si>
  <si>
    <t>Rollo</t>
  </si>
  <si>
    <t>Art.</t>
  </si>
  <si>
    <t xml:space="preserve">Desc </t>
  </si>
  <si>
    <t xml:space="preserve">Precio + IVA </t>
  </si>
  <si>
    <t xml:space="preserve">PGC 100 </t>
  </si>
  <si>
    <t>100 x 6m - Cal 18</t>
  </si>
  <si>
    <t xml:space="preserve">Montante </t>
  </si>
  <si>
    <t xml:space="preserve">PGC 150 </t>
  </si>
  <si>
    <t>150 x 6m - Cal 18</t>
  </si>
  <si>
    <t>PGC 200</t>
  </si>
  <si>
    <t>200 x 6m - Cal 18</t>
  </si>
  <si>
    <t xml:space="preserve">Montnte </t>
  </si>
  <si>
    <t>OBRA COLOR</t>
  </si>
  <si>
    <t>Caballete plastico Ondulado</t>
  </si>
  <si>
    <t>Unisil Silicona Neutra</t>
  </si>
  <si>
    <t>Den Braven 453 gr. PU Fix</t>
  </si>
  <si>
    <t>Kisafix PU 400 gr.</t>
  </si>
  <si>
    <t>Quiadsa PEGAMENTO 400 gr.</t>
  </si>
  <si>
    <t>ROBERTO TÓFALO METALURGIA</t>
  </si>
  <si>
    <t>VIGA especial para sarah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</si>
</sst>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00"/>
    <numFmt numFmtId="165" formatCode="#,##0.000"/>
    <numFmt numFmtId="166" formatCode="0.000"/>
    <numFmt numFmtId="167" formatCode="#,##0.00000"/>
    <numFmt numFmtId="168" formatCode="[$USD]#,##0.00"/>
    <numFmt numFmtId="169" formatCode="0.0"/>
    <numFmt numFmtId="170" formatCode="0.0000"/>
    <numFmt numFmtId="171" formatCode="#,##0.0"/>
    <numFmt numFmtId="172" formatCode="dd-mm"/>
    <numFmt numFmtId="173" formatCode="d/m"/>
    <numFmt numFmtId="174" formatCode="#,##0.00;(#,##0.00)"/>
  </numFmts>
  <fonts count="73">
    <font>
      <sz val="11.0"/>
      <color theme="1"/>
      <name val="Calibri"/>
      <scheme val="minor"/>
    </font>
    <font>
      <color theme="1"/>
      <name val="Calibri"/>
      <scheme val="minor"/>
    </font>
    <font>
      <i/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sz val="13.0"/>
      <color rgb="FF4A86E8"/>
      <name val="Calibri"/>
    </font>
    <font/>
    <font>
      <b/>
      <sz val="16.0"/>
      <color theme="1"/>
      <name val="Calibri"/>
    </font>
    <font>
      <sz val="11.0"/>
      <color rgb="FF4A86E8"/>
      <name val="Calibri"/>
    </font>
    <font>
      <b/>
      <sz val="11.0"/>
      <color rgb="FF0000FF"/>
      <name val="Calibri"/>
    </font>
    <font>
      <sz val="11.0"/>
      <color rgb="FFFF0000"/>
      <name val="Calibri"/>
    </font>
    <font>
      <b/>
      <sz val="11.0"/>
      <color rgb="FFCC0000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11.0"/>
      <color rgb="FFFFFFFF"/>
      <name val="Calibri"/>
    </font>
    <font>
      <sz val="11.0"/>
      <color rgb="FF0000FF"/>
      <name val="Calibri"/>
    </font>
    <font>
      <sz val="14.0"/>
      <color rgb="FF00FFFF"/>
      <name val="Calibri"/>
    </font>
    <font>
      <sz val="11.0"/>
      <color rgb="FF351C75"/>
      <name val="Calibri"/>
    </font>
    <font>
      <sz val="11.0"/>
      <color rgb="FFFF9900"/>
      <name val="Calibri"/>
    </font>
    <font>
      <b/>
      <sz val="14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b/>
      <sz val="18.0"/>
      <color rgb="FFFFFFFF"/>
      <name val="Calibri"/>
    </font>
    <font>
      <sz val="11.0"/>
      <color rgb="FFCC0000"/>
      <name val="Calibri"/>
    </font>
    <font>
      <b/>
      <color rgb="FFFF0000"/>
      <name val="Calibri"/>
    </font>
    <font>
      <color rgb="FFFF0000"/>
      <name val="Calibri"/>
    </font>
    <font>
      <color rgb="FF000000"/>
      <name val="Calibri"/>
    </font>
    <font>
      <color rgb="FFFFFFFF"/>
      <name val="Calibri"/>
    </font>
    <font>
      <color rgb="FFCC0000"/>
      <name val="Calibri"/>
    </font>
    <font>
      <b/>
      <color theme="1"/>
      <name val="Calibri"/>
    </font>
    <font>
      <color theme="1"/>
      <name val="Arial"/>
    </font>
    <font>
      <b/>
      <color theme="1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theme="1"/>
      <name val="Arial"/>
    </font>
    <font>
      <b/>
      <sz val="16.0"/>
      <color rgb="FFFF0000"/>
      <name val="Calibri"/>
    </font>
    <font>
      <u/>
      <color rgb="FF1155CC"/>
      <name val="Arial"/>
    </font>
    <font>
      <b/>
      <sz val="12.0"/>
      <color rgb="FF124B72"/>
      <name val="Tahoma"/>
    </font>
    <font>
      <u/>
      <color rgb="FF0000FF"/>
    </font>
    <font>
      <color rgb="FF980000"/>
      <name val="Calibri"/>
    </font>
    <font>
      <color rgb="FF0000FF"/>
      <name val="Calibri"/>
    </font>
    <font>
      <b/>
      <color rgb="FFCC0000"/>
      <name val="Calibri"/>
    </font>
    <font>
      <sz val="9.0"/>
      <color theme="1"/>
      <name val="Calibri"/>
    </font>
    <font>
      <u/>
      <color rgb="FF0000FF"/>
    </font>
    <font>
      <u/>
      <color rgb="FF0563C1"/>
    </font>
    <font>
      <u/>
      <color rgb="FF0563C1"/>
    </font>
    <font>
      <u/>
      <color theme="1"/>
    </font>
    <font>
      <u/>
      <color rgb="FF0000FF"/>
    </font>
    <font>
      <u/>
      <color theme="4"/>
    </font>
    <font>
      <u/>
      <color rgb="FF0000FF"/>
    </font>
    <font>
      <u/>
      <color rgb="FF000000"/>
    </font>
    <font>
      <u/>
      <color rgb="FFFF0000"/>
    </font>
    <font>
      <u/>
      <color rgb="FF0000FF"/>
    </font>
    <font>
      <b/>
      <sz val="27.0"/>
      <color rgb="FFFFE599"/>
      <name val="Calibri"/>
    </font>
    <font>
      <sz val="8.0"/>
      <color rgb="FF000000"/>
      <name val="Calibri"/>
    </font>
    <font>
      <sz val="18.0"/>
      <color theme="1"/>
      <name val="Calibri"/>
    </font>
    <font>
      <sz val="11.0"/>
      <color rgb="FFBDC1C6"/>
      <name val="Arial"/>
    </font>
    <font>
      <sz val="14.0"/>
      <color theme="1"/>
      <name val="Calibri"/>
    </font>
    <font>
      <i/>
      <color theme="1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theme="5"/>
        <bgColor theme="5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7CAAC"/>
        <bgColor rgb="FFF7CAAC"/>
      </patternFill>
    </fill>
    <fill>
      <patternFill patternType="solid">
        <fgColor rgb="FFCDEFF1"/>
        <bgColor rgb="FFCDEFF1"/>
      </patternFill>
    </fill>
    <fill>
      <patternFill patternType="solid">
        <fgColor rgb="FF46BDC6"/>
        <bgColor rgb="FF46BDC6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A3EF70"/>
        <bgColor rgb="FFA3EF7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479D4"/>
        <bgColor rgb="FFD479D4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FFD965"/>
        <bgColor rgb="FFFFD965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A8D08D"/>
        <bgColor rgb="FFA8D08D"/>
      </patternFill>
    </fill>
    <fill>
      <patternFill patternType="solid">
        <fgColor rgb="FF202124"/>
        <bgColor rgb="FF202124"/>
      </patternFill>
    </fill>
    <fill>
      <patternFill patternType="solid">
        <fgColor rgb="FFAEABAB"/>
        <bgColor rgb="FFAEABAB"/>
      </patternFill>
    </fill>
  </fills>
  <borders count="14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FFFF"/>
      </left>
      <top style="medium">
        <color rgb="FF00FFFF"/>
      </top>
      <bottom style="medium">
        <color rgb="FF00FFFF"/>
      </bottom>
    </border>
    <border>
      <top style="medium">
        <color rgb="FF00FFFF"/>
      </top>
      <bottom style="medium">
        <color rgb="FF00FFFF"/>
      </bottom>
    </border>
    <border>
      <right style="medium">
        <color rgb="FF00FFFF"/>
      </right>
      <top style="medium">
        <color rgb="FF00FFFF"/>
      </top>
      <bottom style="medium">
        <color rgb="FF00FFF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 style="thick">
        <color rgb="FFFF99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99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FF9900"/>
      </left>
      <right style="thin">
        <color rgb="FF000000"/>
      </right>
      <bottom style="thin">
        <color rgb="FF000000"/>
      </bottom>
    </border>
    <border>
      <left style="thick">
        <color rgb="FF00FF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FF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FF00"/>
      </left>
      <right style="thin">
        <color rgb="FF000000"/>
      </right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bottom style="double">
        <color rgb="FF980000"/>
      </bottom>
    </border>
    <border>
      <left style="double">
        <color rgb="FF00FF00"/>
      </left>
      <top style="double">
        <color rgb="FF00FF00"/>
      </top>
    </border>
    <border>
      <top style="double">
        <color rgb="FF00FF00"/>
      </top>
    </border>
    <border>
      <right style="double">
        <color rgb="FF00FF00"/>
      </right>
      <top style="double">
        <color rgb="FF00FF00"/>
      </top>
    </border>
    <border>
      <left style="double">
        <color rgb="FF00FF00"/>
      </left>
    </border>
    <border>
      <right style="double">
        <color rgb="FF00FF00"/>
      </right>
    </border>
    <border>
      <left style="double">
        <color rgb="FF00FF00"/>
      </left>
      <bottom style="double">
        <color rgb="FF00FF00"/>
      </bottom>
    </border>
    <border>
      <bottom style="double">
        <color rgb="FF00FF00"/>
      </bottom>
    </border>
    <border>
      <right style="double">
        <color rgb="FF00FF00"/>
      </right>
      <bottom style="double">
        <color rgb="FF00FF00"/>
      </bottom>
    </border>
    <border>
      <right style="medium">
        <color rgb="FFFFFF00"/>
      </right>
    </border>
    <border>
      <left style="thick">
        <color rgb="FFFFD965"/>
      </left>
      <top style="thick">
        <color rgb="FFFFD965"/>
      </top>
    </border>
    <border>
      <top style="thick">
        <color rgb="FFFFD965"/>
      </top>
    </border>
    <border>
      <left style="thick">
        <color rgb="FFFFD965"/>
      </left>
    </border>
    <border>
      <left style="thick">
        <color rgb="FFFFD965"/>
      </left>
      <bottom style="thick">
        <color rgb="FFFFD965"/>
      </bottom>
    </border>
    <border>
      <bottom style="thick">
        <color rgb="FFFFD965"/>
      </bottom>
    </border>
    <border>
      <right style="thin">
        <color rgb="FF000000"/>
      </right>
      <bottom style="thick">
        <color rgb="FFFFD965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FF0000"/>
      </left>
    </border>
    <border>
      <right style="medium">
        <color rgb="FFFF0000"/>
      </right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 style="medium">
        <color rgb="FFFFFF00"/>
      </right>
      <top style="thick">
        <color rgb="FFFFD965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2" fillId="0" fontId="0" numFmtId="4" xfId="0" applyAlignment="1" applyBorder="1" applyFont="1" applyNumberFormat="1">
      <alignment horizontal="center" readingOrder="0" vertical="center"/>
    </xf>
    <xf borderId="3" fillId="0" fontId="0" numFmtId="4" xfId="0" applyAlignment="1" applyBorder="1" applyFont="1" applyNumberFormat="1">
      <alignment horizontal="center" readingOrder="0" vertical="center"/>
    </xf>
    <xf borderId="3" fillId="0" fontId="0" numFmtId="2" xfId="0" applyAlignment="1" applyBorder="1" applyFont="1" applyNumberFormat="1">
      <alignment horizontal="center" readingOrder="0" vertical="center"/>
    </xf>
    <xf borderId="4" fillId="0" fontId="0" numFmtId="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0" numFmtId="2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Font="1"/>
    <xf borderId="5" fillId="0" fontId="0" numFmtId="0" xfId="0" applyAlignment="1" applyBorder="1" applyFont="1">
      <alignment horizontal="center"/>
    </xf>
    <xf borderId="0" fillId="0" fontId="0" numFmtId="4" xfId="0" applyAlignment="1" applyFont="1" applyNumberFormat="1">
      <alignment horizontal="center"/>
    </xf>
    <xf borderId="0" fillId="0" fontId="0" numFmtId="2" xfId="0" applyAlignment="1" applyFont="1" applyNumberFormat="1">
      <alignment horizontal="center"/>
    </xf>
    <xf borderId="0" fillId="0" fontId="0" numFmtId="0" xfId="0" applyFont="1"/>
    <xf borderId="0" fillId="0" fontId="0" numFmtId="4" xfId="0" applyAlignment="1" applyFont="1" applyNumberFormat="1">
      <alignment horizontal="center" shrinkToFit="0" wrapText="1"/>
    </xf>
    <xf borderId="6" fillId="0" fontId="0" numFmtId="0" xfId="0" applyAlignment="1" applyBorder="1" applyFont="1">
      <alignment horizontal="center"/>
    </xf>
    <xf borderId="7" fillId="0" fontId="0" numFmtId="0" xfId="0" applyAlignment="1" applyBorder="1" applyFont="1">
      <alignment horizontal="center"/>
    </xf>
    <xf borderId="6" fillId="0" fontId="0" numFmtId="4" xfId="0" applyAlignment="1" applyBorder="1" applyFont="1" applyNumberFormat="1">
      <alignment horizontal="center"/>
    </xf>
    <xf borderId="6" fillId="0" fontId="0" numFmtId="164" xfId="0" applyAlignment="1" applyBorder="1" applyFont="1" applyNumberFormat="1">
      <alignment horizontal="center"/>
    </xf>
    <xf borderId="6" fillId="0" fontId="0" numFmtId="2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4" xfId="0" applyFont="1" applyNumberFormat="1"/>
    <xf borderId="8" fillId="0" fontId="0" numFmtId="0" xfId="0" applyAlignment="1" applyBorder="1" applyFont="1">
      <alignment horizontal="center"/>
    </xf>
    <xf borderId="9" fillId="0" fontId="0" numFmtId="0" xfId="0" applyBorder="1" applyFont="1"/>
    <xf borderId="10" fillId="0" fontId="0" numFmtId="0" xfId="0" applyAlignment="1" applyBorder="1" applyFont="1">
      <alignment horizontal="center" readingOrder="0"/>
    </xf>
    <xf borderId="11" fillId="0" fontId="0" numFmtId="4" xfId="0" applyAlignment="1" applyBorder="1" applyFont="1" applyNumberFormat="1">
      <alignment horizontal="center" readingOrder="0"/>
    </xf>
    <xf borderId="11" fillId="0" fontId="0" numFmtId="4" xfId="0" applyAlignment="1" applyBorder="1" applyFont="1" applyNumberFormat="1">
      <alignment horizontal="center"/>
    </xf>
    <xf borderId="11" fillId="0" fontId="0" numFmtId="2" xfId="0" applyAlignment="1" applyBorder="1" applyFont="1" applyNumberFormat="1">
      <alignment horizontal="center"/>
    </xf>
    <xf borderId="12" fillId="0" fontId="0" numFmtId="4" xfId="0" applyAlignment="1" applyBorder="1" applyFont="1" applyNumberFormat="1">
      <alignment horizontal="center"/>
    </xf>
    <xf borderId="0" fillId="0" fontId="0" numFmtId="2" xfId="0" applyAlignment="1" applyFont="1" applyNumberFormat="1">
      <alignment horizontal="center" vertical="bottom"/>
    </xf>
    <xf borderId="13" fillId="0" fontId="0" numFmtId="0" xfId="0" applyBorder="1" applyFont="1"/>
    <xf borderId="14" fillId="0" fontId="0" numFmtId="0" xfId="0" applyAlignment="1" applyBorder="1" applyFont="1">
      <alignment horizontal="center"/>
    </xf>
    <xf borderId="15" fillId="0" fontId="0" numFmtId="0" xfId="0" applyBorder="1" applyFont="1"/>
    <xf borderId="16" fillId="0" fontId="0" numFmtId="4" xfId="0" applyAlignment="1" applyBorder="1" applyFont="1" applyNumberFormat="1">
      <alignment horizontal="center"/>
    </xf>
    <xf borderId="17" fillId="0" fontId="0" numFmtId="2" xfId="0" applyAlignment="1" applyBorder="1" applyFont="1" applyNumberFormat="1">
      <alignment horizontal="center"/>
    </xf>
    <xf borderId="18" fillId="0" fontId="0" numFmtId="4" xfId="0" applyAlignment="1" applyBorder="1" applyFont="1" applyNumberFormat="1">
      <alignment horizontal="center"/>
    </xf>
    <xf borderId="19" fillId="0" fontId="0" numFmtId="0" xfId="0" applyAlignment="1" applyBorder="1" applyFont="1">
      <alignment horizontal="center"/>
    </xf>
    <xf borderId="11" fillId="0" fontId="0" numFmtId="0" xfId="0" applyBorder="1" applyFont="1"/>
    <xf borderId="4" fillId="0" fontId="0" numFmtId="4" xfId="0" applyAlignment="1" applyBorder="1" applyFont="1" applyNumberFormat="1">
      <alignment horizontal="center"/>
    </xf>
    <xf borderId="20" fillId="0" fontId="0" numFmtId="0" xfId="0" applyBorder="1" applyFont="1"/>
    <xf borderId="20" fillId="0" fontId="0" numFmtId="2" xfId="0" applyAlignment="1" applyBorder="1" applyFont="1" applyNumberFormat="1">
      <alignment horizontal="center"/>
    </xf>
    <xf borderId="21" fillId="0" fontId="0" numFmtId="4" xfId="0" applyAlignment="1" applyBorder="1" applyFont="1" applyNumberFormat="1">
      <alignment horizontal="center"/>
    </xf>
    <xf borderId="22" fillId="0" fontId="0" numFmtId="0" xfId="0" applyAlignment="1" applyBorder="1" applyFont="1">
      <alignment horizontal="center"/>
    </xf>
    <xf borderId="23" fillId="0" fontId="0" numFmtId="0" xfId="0" applyBorder="1" applyFont="1"/>
    <xf borderId="23" fillId="0" fontId="1" numFmtId="4" xfId="0" applyAlignment="1" applyBorder="1" applyFont="1" applyNumberFormat="1">
      <alignment horizontal="center"/>
    </xf>
    <xf borderId="23" fillId="0" fontId="0" numFmtId="2" xfId="0" applyAlignment="1" applyBorder="1" applyFont="1" applyNumberFormat="1">
      <alignment horizontal="center"/>
    </xf>
    <xf borderId="24" fillId="0" fontId="0" numFmtId="4" xfId="0" applyAlignment="1" applyBorder="1" applyFont="1" applyNumberFormat="1">
      <alignment horizontal="center"/>
    </xf>
    <xf borderId="25" fillId="0" fontId="0" numFmtId="0" xfId="0" applyAlignment="1" applyBorder="1" applyFont="1">
      <alignment horizontal="center"/>
    </xf>
    <xf borderId="26" fillId="0" fontId="0" numFmtId="0" xfId="0" applyBorder="1" applyFont="1"/>
    <xf borderId="6" fillId="0" fontId="1" numFmtId="4" xfId="0" applyAlignment="1" applyBorder="1" applyFont="1" applyNumberFormat="1">
      <alignment horizontal="center"/>
    </xf>
    <xf borderId="27" fillId="0" fontId="0" numFmtId="2" xfId="0" applyAlignment="1" applyBorder="1" applyFont="1" applyNumberFormat="1">
      <alignment horizontal="center"/>
    </xf>
    <xf borderId="28" fillId="0" fontId="0" numFmtId="4" xfId="0" applyAlignment="1" applyBorder="1" applyFont="1" applyNumberFormat="1">
      <alignment horizontal="center"/>
    </xf>
    <xf borderId="29" fillId="0" fontId="0" numFmtId="4" xfId="0" applyAlignment="1" applyBorder="1" applyFont="1" applyNumberFormat="1">
      <alignment horizontal="center" vertical="bottom"/>
    </xf>
    <xf borderId="0" fillId="0" fontId="0" numFmtId="164" xfId="0" applyAlignment="1" applyFont="1" applyNumberFormat="1">
      <alignment horizontal="center"/>
    </xf>
    <xf borderId="26" fillId="0" fontId="0" numFmtId="0" xfId="0" applyAlignment="1" applyBorder="1" applyFont="1">
      <alignment readingOrder="0"/>
    </xf>
    <xf borderId="0" fillId="0" fontId="0" numFmtId="0" xfId="0" applyAlignment="1" applyFont="1">
      <alignment horizontal="center"/>
    </xf>
    <xf borderId="7" fillId="0" fontId="0" numFmtId="0" xfId="0" applyAlignment="1" applyBorder="1" applyFont="1">
      <alignment horizontal="center" vertical="bottom"/>
    </xf>
    <xf borderId="2" fillId="0" fontId="0" numFmtId="0" xfId="0" applyAlignment="1" applyBorder="1" applyFont="1">
      <alignment vertical="bottom"/>
    </xf>
    <xf borderId="30" fillId="0" fontId="0" numFmtId="4" xfId="0" applyAlignment="1" applyBorder="1" applyFont="1" applyNumberFormat="1">
      <alignment horizontal="center" readingOrder="0"/>
    </xf>
    <xf borderId="2" fillId="0" fontId="0" numFmtId="4" xfId="0" applyAlignment="1" applyBorder="1" applyFont="1" applyNumberFormat="1">
      <alignment horizontal="center" readingOrder="0" vertical="bottom"/>
    </xf>
    <xf borderId="2" fillId="0" fontId="0" numFmtId="4" xfId="0" applyAlignment="1" applyBorder="1" applyFont="1" applyNumberFormat="1">
      <alignment horizontal="center" vertical="bottom"/>
    </xf>
    <xf borderId="2" fillId="0" fontId="0" numFmtId="2" xfId="0" applyAlignment="1" applyBorder="1" applyFont="1" applyNumberFormat="1">
      <alignment horizontal="center" vertical="bottom"/>
    </xf>
    <xf borderId="31" fillId="0" fontId="0" numFmtId="4" xfId="0" applyAlignment="1" applyBorder="1" applyFont="1" applyNumberFormat="1">
      <alignment horizontal="center" readingOrder="0"/>
    </xf>
    <xf borderId="32" fillId="0" fontId="0" numFmtId="4" xfId="0" applyAlignment="1" applyBorder="1" applyFont="1" applyNumberFormat="1">
      <alignment horizontal="center" readingOrder="0" vertical="bottom"/>
    </xf>
    <xf borderId="0" fillId="0" fontId="0" numFmtId="0" xfId="0" applyAlignment="1" applyFont="1">
      <alignment vertical="bottom"/>
    </xf>
    <xf borderId="20" fillId="0" fontId="0" numFmtId="0" xfId="0" applyAlignment="1" applyBorder="1" applyFont="1">
      <alignment vertical="bottom"/>
    </xf>
    <xf borderId="20" fillId="0" fontId="0" numFmtId="4" xfId="0" applyAlignment="1" applyBorder="1" applyFont="1" applyNumberFormat="1">
      <alignment horizontal="center" vertical="bottom"/>
    </xf>
    <xf borderId="20" fillId="0" fontId="0" numFmtId="2" xfId="0" applyAlignment="1" applyBorder="1" applyFont="1" applyNumberFormat="1">
      <alignment horizontal="center" vertical="bottom"/>
    </xf>
    <xf borderId="21" fillId="0" fontId="0" numFmtId="4" xfId="0" applyAlignment="1" applyBorder="1" applyFont="1" applyNumberFormat="1">
      <alignment horizontal="center" vertical="bottom"/>
    </xf>
    <xf borderId="0" fillId="0" fontId="0" numFmtId="4" xfId="0" applyAlignment="1" applyFont="1" applyNumberFormat="1">
      <alignment vertical="bottom"/>
    </xf>
    <xf borderId="33" fillId="0" fontId="0" numFmtId="0" xfId="0" applyAlignment="1" applyBorder="1" applyFont="1">
      <alignment horizontal="center"/>
    </xf>
    <xf borderId="34" fillId="0" fontId="0" numFmtId="0" xfId="0" applyAlignment="1" applyBorder="1" applyFont="1">
      <alignment horizontal="center"/>
    </xf>
    <xf borderId="33" fillId="0" fontId="0" numFmtId="0" xfId="0" applyAlignment="1" applyBorder="1" applyFont="1">
      <alignment horizontal="center" readingOrder="0"/>
    </xf>
    <xf borderId="35" fillId="0" fontId="0" numFmtId="4" xfId="0" applyAlignment="1" applyBorder="1" applyFont="1" applyNumberFormat="1">
      <alignment horizontal="center"/>
    </xf>
    <xf borderId="36" fillId="0" fontId="0" numFmtId="0" xfId="0" applyAlignment="1" applyBorder="1" applyFont="1">
      <alignment horizontal="center"/>
    </xf>
    <xf borderId="20" fillId="0" fontId="0" numFmtId="4" xfId="0" applyAlignment="1" applyBorder="1" applyFont="1" applyNumberFormat="1">
      <alignment horizontal="center" readingOrder="0"/>
    </xf>
    <xf borderId="20" fillId="0" fontId="0" numFmtId="4" xfId="0" applyAlignment="1" applyBorder="1" applyFont="1" applyNumberFormat="1">
      <alignment horizontal="center"/>
    </xf>
    <xf borderId="37" fillId="0" fontId="0" numFmtId="0" xfId="0" applyAlignment="1" applyBorder="1" applyFont="1">
      <alignment horizontal="center"/>
    </xf>
    <xf borderId="16" fillId="0" fontId="0" numFmtId="0" xfId="0" applyBorder="1" applyFont="1"/>
    <xf borderId="16" fillId="0" fontId="0" numFmtId="4" xfId="0" applyAlignment="1" applyBorder="1" applyFont="1" applyNumberFormat="1">
      <alignment horizontal="center" readingOrder="0"/>
    </xf>
    <xf borderId="16" fillId="0" fontId="0" numFmtId="2" xfId="0" applyAlignment="1" applyBorder="1" applyFont="1" applyNumberFormat="1">
      <alignment horizontal="center"/>
    </xf>
    <xf borderId="37" fillId="0" fontId="0" numFmtId="0" xfId="0" applyAlignment="1" applyBorder="1" applyFont="1">
      <alignment horizontal="center" shrinkToFit="0" vertical="bottom" wrapText="0"/>
    </xf>
    <xf borderId="20" fillId="0" fontId="2" numFmtId="0" xfId="0" applyBorder="1" applyFont="1"/>
    <xf borderId="38" fillId="0" fontId="0" numFmtId="0" xfId="0" applyAlignment="1" applyBorder="1" applyFont="1">
      <alignment horizontal="center" shrinkToFit="0" vertical="bottom" wrapText="0"/>
    </xf>
    <xf borderId="23" fillId="0" fontId="0" numFmtId="4" xfId="0" applyAlignment="1" applyBorder="1" applyFont="1" applyNumberFormat="1">
      <alignment horizontal="center" readingOrder="0"/>
    </xf>
    <xf borderId="23" fillId="0" fontId="0" numFmtId="4" xfId="0" applyAlignment="1" applyBorder="1" applyFont="1" applyNumberFormat="1">
      <alignment horizontal="center"/>
    </xf>
    <xf borderId="0" fillId="0" fontId="0" numFmtId="2" xfId="0" applyAlignment="1" applyFont="1" applyNumberFormat="1">
      <alignment horizontal="left"/>
    </xf>
    <xf borderId="0" fillId="0" fontId="1" numFmtId="2" xfId="0" applyFont="1" applyNumberFormat="1"/>
    <xf borderId="38" fillId="0" fontId="0" numFmtId="0" xfId="0" applyAlignment="1" applyBorder="1" applyFont="1">
      <alignment horizontal="center"/>
    </xf>
    <xf borderId="27" fillId="0" fontId="0" numFmtId="0" xfId="0" applyAlignment="1" applyBorder="1" applyFont="1">
      <alignment readingOrder="0"/>
    </xf>
    <xf borderId="27" fillId="0" fontId="0" numFmtId="4" xfId="0" applyAlignment="1" applyBorder="1" applyFont="1" applyNumberFormat="1">
      <alignment horizontal="center" readingOrder="0"/>
    </xf>
    <xf borderId="27" fillId="0" fontId="0" numFmtId="4" xfId="0" applyAlignment="1" applyBorder="1" applyFont="1" applyNumberFormat="1">
      <alignment horizontal="center"/>
    </xf>
    <xf borderId="9" fillId="0" fontId="0" numFmtId="0" xfId="0" applyAlignment="1" applyBorder="1" applyFont="1">
      <alignment horizontal="center"/>
    </xf>
    <xf borderId="20" fillId="0" fontId="0" numFmtId="0" xfId="0" applyAlignment="1" applyBorder="1" applyFont="1">
      <alignment horizontal="center"/>
    </xf>
    <xf borderId="20" fillId="0" fontId="0" numFmtId="0" xfId="0" applyAlignment="1" applyBorder="1" applyFont="1">
      <alignment horizontal="center" shrinkToFit="0" vertical="bottom" wrapText="0"/>
    </xf>
    <xf borderId="0" fillId="0" fontId="0" numFmtId="2" xfId="0" applyFont="1" applyNumberFormat="1"/>
    <xf borderId="10" fillId="0" fontId="0" numFmtId="4" xfId="0" applyAlignment="1" applyBorder="1" applyFont="1" applyNumberFormat="1">
      <alignment horizontal="center" vertical="bottom"/>
    </xf>
    <xf borderId="31" fillId="0" fontId="0" numFmtId="4" xfId="0" applyAlignment="1" applyBorder="1" applyFont="1" applyNumberFormat="1">
      <alignment horizontal="center"/>
    </xf>
    <xf borderId="39" fillId="0" fontId="0" numFmtId="0" xfId="0" applyAlignment="1" applyBorder="1" applyFont="1">
      <alignment horizontal="center"/>
    </xf>
    <xf borderId="40" fillId="0" fontId="0" numFmtId="4" xfId="0" applyAlignment="1" applyBorder="1" applyFont="1" applyNumberFormat="1">
      <alignment horizontal="center"/>
    </xf>
    <xf borderId="31" fillId="0" fontId="0" numFmtId="2" xfId="0" applyAlignment="1" applyBorder="1" applyFont="1" applyNumberFormat="1">
      <alignment horizontal="center"/>
    </xf>
    <xf borderId="41" fillId="0" fontId="0" numFmtId="4" xfId="0" applyAlignment="1" applyBorder="1" applyFont="1" applyNumberFormat="1">
      <alignment horizontal="center"/>
    </xf>
    <xf borderId="42" fillId="0" fontId="0" numFmtId="0" xfId="0" applyAlignment="1" applyBorder="1" applyFont="1">
      <alignment horizontal="center"/>
    </xf>
    <xf borderId="43" fillId="0" fontId="0" numFmtId="0" xfId="0" applyAlignment="1" applyBorder="1" applyFont="1">
      <alignment horizontal="center"/>
    </xf>
    <xf borderId="30" fillId="0" fontId="0" numFmtId="0" xfId="0" applyBorder="1" applyFont="1"/>
    <xf borderId="44" fillId="0" fontId="0" numFmtId="4" xfId="0" applyAlignment="1" applyBorder="1" applyFont="1" applyNumberFormat="1">
      <alignment horizontal="center"/>
    </xf>
    <xf borderId="45" fillId="0" fontId="0" numFmtId="0" xfId="0" applyAlignment="1" applyBorder="1" applyFont="1">
      <alignment horizontal="center"/>
    </xf>
    <xf borderId="46" fillId="0" fontId="0" numFmtId="0" xfId="0" applyBorder="1" applyFont="1"/>
    <xf borderId="46" fillId="0" fontId="0" numFmtId="4" xfId="0" applyAlignment="1" applyBorder="1" applyFont="1" applyNumberFormat="1">
      <alignment horizontal="center" readingOrder="0"/>
    </xf>
    <xf borderId="47" fillId="0" fontId="0" numFmtId="4" xfId="0" applyAlignment="1" applyBorder="1" applyFont="1" applyNumberFormat="1">
      <alignment horizontal="center"/>
    </xf>
    <xf borderId="48" fillId="0" fontId="0" numFmtId="0" xfId="0" applyBorder="1" applyFont="1"/>
    <xf borderId="48" fillId="0" fontId="0" numFmtId="4" xfId="0" applyAlignment="1" applyBorder="1" applyFont="1" applyNumberFormat="1">
      <alignment horizontal="center" readingOrder="0"/>
    </xf>
    <xf borderId="49" fillId="0" fontId="0" numFmtId="4" xfId="0" applyAlignment="1" applyBorder="1" applyFont="1" applyNumberFormat="1">
      <alignment horizontal="center"/>
    </xf>
    <xf borderId="9" fillId="0" fontId="0" numFmtId="0" xfId="0" applyAlignment="1" applyBorder="1" applyFont="1">
      <alignment horizontal="left"/>
    </xf>
    <xf borderId="10" fillId="0" fontId="0" numFmtId="4" xfId="0" applyAlignment="1" applyBorder="1" applyFont="1" applyNumberFormat="1">
      <alignment horizontal="center" readingOrder="0"/>
    </xf>
    <xf borderId="50" fillId="0" fontId="0" numFmtId="4" xfId="0" applyAlignment="1" applyBorder="1" applyFont="1" applyNumberFormat="1">
      <alignment horizontal="center"/>
    </xf>
    <xf borderId="51" fillId="0" fontId="0" numFmtId="4" xfId="0" applyAlignment="1" applyBorder="1" applyFont="1" applyNumberFormat="1">
      <alignment horizontal="center"/>
    </xf>
    <xf borderId="52" fillId="0" fontId="0" numFmtId="0" xfId="0" applyAlignment="1" applyBorder="1" applyFont="1">
      <alignment horizontal="left"/>
    </xf>
    <xf borderId="53" fillId="0" fontId="0" numFmtId="0" xfId="0" applyAlignment="1" applyBorder="1" applyFont="1">
      <alignment horizontal="center"/>
    </xf>
    <xf borderId="22" fillId="0" fontId="0" numFmtId="0" xfId="0" applyAlignment="1" applyBorder="1" applyFont="1">
      <alignment horizontal="left"/>
    </xf>
    <xf borderId="54" fillId="0" fontId="0" numFmtId="4" xfId="0" applyAlignment="1" applyBorder="1" applyFont="1" applyNumberFormat="1">
      <alignment horizontal="center" readingOrder="0"/>
    </xf>
    <xf borderId="9" fillId="0" fontId="0" numFmtId="0" xfId="0" applyAlignment="1" applyBorder="1" applyFont="1">
      <alignment horizontal="center" vertical="bottom"/>
    </xf>
    <xf borderId="11" fillId="0" fontId="0" numFmtId="0" xfId="0" applyAlignment="1" applyBorder="1" applyFont="1">
      <alignment vertical="bottom"/>
    </xf>
    <xf borderId="31" fillId="0" fontId="0" numFmtId="4" xfId="0" applyAlignment="1" applyBorder="1" applyFont="1" applyNumberFormat="1">
      <alignment horizontal="center" readingOrder="0" vertical="bottom"/>
    </xf>
    <xf borderId="11" fillId="0" fontId="0" numFmtId="2" xfId="0" applyAlignment="1" applyBorder="1" applyFont="1" applyNumberFormat="1">
      <alignment horizontal="center" vertical="bottom"/>
    </xf>
    <xf borderId="12" fillId="0" fontId="0" numFmtId="4" xfId="0" applyAlignment="1" applyBorder="1" applyFont="1" applyNumberFormat="1">
      <alignment horizontal="center" vertical="bottom"/>
    </xf>
    <xf borderId="19" fillId="0" fontId="0" numFmtId="0" xfId="0" applyAlignment="1" applyBorder="1" applyFont="1">
      <alignment horizontal="center" vertical="bottom"/>
    </xf>
    <xf borderId="20" fillId="0" fontId="0" numFmtId="4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/>
    </xf>
    <xf borderId="54" fillId="0" fontId="0" numFmtId="0" xfId="0" applyBorder="1" applyFont="1"/>
    <xf borderId="55" fillId="0" fontId="0" numFmtId="4" xfId="0" applyAlignment="1" applyBorder="1" applyFont="1" applyNumberFormat="1">
      <alignment horizontal="center"/>
    </xf>
    <xf borderId="30" fillId="0" fontId="0" numFmtId="0" xfId="0" applyAlignment="1" applyBorder="1" applyFont="1">
      <alignment horizontal="left"/>
    </xf>
    <xf borderId="54" fillId="0" fontId="0" numFmtId="0" xfId="0" applyAlignment="1" applyBorder="1" applyFont="1">
      <alignment horizontal="left"/>
    </xf>
    <xf borderId="10" fillId="0" fontId="0" numFmtId="0" xfId="0" applyAlignment="1" applyBorder="1" applyFont="1">
      <alignment horizontal="left"/>
    </xf>
    <xf borderId="46" fillId="0" fontId="0" numFmtId="0" xfId="0" applyAlignment="1" applyBorder="1" applyFont="1">
      <alignment horizontal="left"/>
    </xf>
    <xf borderId="17" fillId="0" fontId="0" numFmtId="4" xfId="0" applyAlignment="1" applyBorder="1" applyFont="1" applyNumberFormat="1">
      <alignment horizontal="center" readingOrder="0"/>
    </xf>
    <xf borderId="11" fillId="0" fontId="0" numFmtId="0" xfId="0" applyAlignment="1" applyBorder="1" applyFont="1">
      <alignment horizontal="left"/>
    </xf>
    <xf borderId="20" fillId="0" fontId="0" numFmtId="0" xfId="0" applyAlignment="1" applyBorder="1" applyFont="1">
      <alignment horizontal="left"/>
    </xf>
    <xf borderId="20" fillId="0" fontId="0" numFmtId="165" xfId="0" applyAlignment="1" applyBorder="1" applyFont="1" applyNumberFormat="1">
      <alignment horizontal="center" readingOrder="0"/>
    </xf>
    <xf borderId="20" fillId="0" fontId="0" numFmtId="165" xfId="0" applyAlignment="1" applyBorder="1" applyFont="1" applyNumberFormat="1">
      <alignment horizontal="center"/>
    </xf>
    <xf borderId="23" fillId="0" fontId="0" numFmtId="0" xfId="0" applyAlignment="1" applyBorder="1" applyFont="1">
      <alignment horizontal="left"/>
    </xf>
    <xf borderId="40" fillId="0" fontId="0" numFmtId="0" xfId="0" applyAlignment="1" applyBorder="1" applyFont="1">
      <alignment horizontal="left"/>
    </xf>
    <xf borderId="40" fillId="0" fontId="0" numFmtId="4" xfId="0" applyAlignment="1" applyBorder="1" applyFont="1" applyNumberFormat="1">
      <alignment horizontal="center" readingOrder="0"/>
    </xf>
    <xf borderId="10" fillId="0" fontId="0" numFmtId="0" xfId="0" applyBorder="1" applyFont="1"/>
    <xf borderId="0" fillId="0" fontId="1" numFmtId="4" xfId="0" applyAlignment="1" applyFont="1" applyNumberFormat="1">
      <alignment readingOrder="0"/>
    </xf>
    <xf borderId="52" fillId="0" fontId="0" numFmtId="166" xfId="0" applyBorder="1" applyFont="1" applyNumberFormat="1"/>
    <xf borderId="31" fillId="0" fontId="0" numFmtId="166" xfId="0" applyAlignment="1" applyBorder="1" applyFont="1" applyNumberFormat="1">
      <alignment horizontal="center"/>
    </xf>
    <xf borderId="20" fillId="0" fontId="1" numFmtId="4" xfId="0" applyBorder="1" applyFont="1" applyNumberFormat="1"/>
    <xf borderId="20" fillId="0" fontId="1" numFmtId="9" xfId="0" applyBorder="1" applyFont="1" applyNumberFormat="1"/>
    <xf borderId="20" fillId="0" fontId="1" numFmtId="0" xfId="0" applyAlignment="1" applyBorder="1" applyFont="1">
      <alignment horizontal="center"/>
    </xf>
    <xf borderId="20" fillId="0" fontId="1" numFmtId="0" xfId="0" applyBorder="1" applyFont="1"/>
    <xf borderId="20" fillId="0" fontId="0" numFmtId="9" xfId="0" applyAlignment="1" applyBorder="1" applyFont="1" applyNumberFormat="1">
      <alignment horizontal="center"/>
    </xf>
    <xf borderId="20" fillId="0" fontId="0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166" xfId="0" applyFont="1" applyNumberFormat="1"/>
    <xf borderId="0" fillId="2" fontId="4" numFmtId="0" xfId="0" applyAlignment="1" applyFill="1" applyFont="1">
      <alignment horizontal="center"/>
    </xf>
    <xf borderId="0" fillId="2" fontId="5" numFmtId="0" xfId="0" applyAlignment="1" applyFont="1">
      <alignment horizontal="center"/>
    </xf>
    <xf borderId="0" fillId="3" fontId="3" numFmtId="166" xfId="0" applyAlignment="1" applyFill="1" applyFont="1" applyNumberFormat="1">
      <alignment horizontal="center"/>
    </xf>
    <xf borderId="0" fillId="3" fontId="6" numFmtId="166" xfId="0" applyAlignment="1" applyFont="1" applyNumberFormat="1">
      <alignment horizontal="center"/>
    </xf>
    <xf borderId="0" fillId="2" fontId="5" numFmtId="2" xfId="0" applyAlignment="1" applyFont="1" applyNumberFormat="1">
      <alignment horizontal="center"/>
    </xf>
    <xf borderId="0" fillId="0" fontId="3" numFmtId="1" xfId="0" applyFont="1" applyNumberFormat="1"/>
    <xf borderId="0" fillId="0" fontId="3" numFmtId="0" xfId="0" applyFont="1"/>
    <xf borderId="1" fillId="3" fontId="3" numFmtId="166" xfId="0" applyAlignment="1" applyBorder="1" applyFont="1" applyNumberFormat="1">
      <alignment horizontal="center"/>
    </xf>
    <xf borderId="3" fillId="3" fontId="3" numFmtId="166" xfId="0" applyAlignment="1" applyBorder="1" applyFont="1" applyNumberFormat="1">
      <alignment horizontal="center"/>
    </xf>
    <xf borderId="56" fillId="3" fontId="3" numFmtId="166" xfId="0" applyAlignment="1" applyBorder="1" applyFont="1" applyNumberFormat="1">
      <alignment horizontal="center"/>
    </xf>
    <xf borderId="4" fillId="3" fontId="6" numFmtId="166" xfId="0" applyAlignment="1" applyBorder="1" applyFont="1" applyNumberFormat="1">
      <alignment horizontal="center"/>
    </xf>
    <xf borderId="0" fillId="0" fontId="3" numFmtId="2" xfId="0" applyFont="1" applyNumberFormat="1"/>
    <xf borderId="31" fillId="0" fontId="3" numFmtId="166" xfId="0" applyBorder="1" applyFont="1" applyNumberFormat="1"/>
    <xf borderId="31" fillId="4" fontId="3" numFmtId="166" xfId="0" applyAlignment="1" applyBorder="1" applyFill="1" applyFont="1" applyNumberFormat="1">
      <alignment horizontal="center"/>
    </xf>
    <xf borderId="31" fillId="0" fontId="3" numFmtId="10" xfId="0" applyAlignment="1" applyBorder="1" applyFont="1" applyNumberFormat="1">
      <alignment horizontal="center"/>
    </xf>
    <xf borderId="31" fillId="0" fontId="3" numFmtId="166" xfId="0" applyAlignment="1" applyBorder="1" applyFont="1" applyNumberFormat="1">
      <alignment horizontal="center"/>
    </xf>
    <xf borderId="57" fillId="5" fontId="6" numFmtId="2" xfId="0" applyAlignment="1" applyBorder="1" applyFill="1" applyFont="1" applyNumberFormat="1">
      <alignment horizontal="right"/>
    </xf>
    <xf borderId="31" fillId="6" fontId="3" numFmtId="166" xfId="0" applyAlignment="1" applyBorder="1" applyFill="1" applyFont="1" applyNumberFormat="1">
      <alignment horizontal="center"/>
    </xf>
    <xf borderId="20" fillId="0" fontId="3" numFmtId="166" xfId="0" applyBorder="1" applyFont="1" applyNumberFormat="1"/>
    <xf borderId="20" fillId="0" fontId="3" numFmtId="166" xfId="0" applyAlignment="1" applyBorder="1" applyFont="1" applyNumberFormat="1">
      <alignment horizontal="center"/>
    </xf>
    <xf borderId="20" fillId="7" fontId="6" numFmtId="166" xfId="0" applyBorder="1" applyFill="1" applyFont="1" applyNumberFormat="1"/>
    <xf borderId="58" fillId="4" fontId="7" numFmtId="166" xfId="0" applyAlignment="1" applyBorder="1" applyFont="1" applyNumberFormat="1">
      <alignment vertical="center"/>
    </xf>
    <xf borderId="59" fillId="0" fontId="8" numFmtId="0" xfId="0" applyBorder="1" applyFont="1"/>
    <xf borderId="29" fillId="0" fontId="8" numFmtId="0" xfId="0" applyBorder="1" applyFont="1"/>
    <xf borderId="0" fillId="4" fontId="9" numFmtId="166" xfId="0" applyAlignment="1" applyFont="1" applyNumberFormat="1">
      <alignment horizontal="center"/>
    </xf>
    <xf borderId="5" fillId="8" fontId="6" numFmtId="166" xfId="0" applyBorder="1" applyFill="1" applyFont="1" applyNumberFormat="1"/>
    <xf borderId="60" fillId="0" fontId="8" numFmtId="0" xfId="0" applyBorder="1" applyFont="1"/>
    <xf borderId="61" fillId="0" fontId="8" numFmtId="0" xfId="0" applyBorder="1" applyFont="1"/>
    <xf borderId="0" fillId="9" fontId="3" numFmtId="166" xfId="0" applyFill="1" applyFont="1" applyNumberFormat="1"/>
    <xf borderId="16" fillId="10" fontId="3" numFmtId="1" xfId="0" applyAlignment="1" applyBorder="1" applyFill="1" applyFont="1" applyNumberFormat="1">
      <alignment horizontal="center"/>
    </xf>
    <xf borderId="16" fillId="11" fontId="3" numFmtId="166" xfId="0" applyAlignment="1" applyBorder="1" applyFill="1" applyFont="1" applyNumberFormat="1">
      <alignment horizontal="center"/>
    </xf>
    <xf borderId="52" fillId="12" fontId="3" numFmtId="166" xfId="0" applyBorder="1" applyFill="1" applyFont="1" applyNumberFormat="1"/>
    <xf borderId="31" fillId="12" fontId="3" numFmtId="166" xfId="0" applyAlignment="1" applyBorder="1" applyFont="1" applyNumberFormat="1">
      <alignment horizontal="center"/>
    </xf>
    <xf borderId="31" fillId="12" fontId="3" numFmtId="10" xfId="0" applyAlignment="1" applyBorder="1" applyFont="1" applyNumberFormat="1">
      <alignment horizontal="center"/>
    </xf>
    <xf borderId="41" fillId="5" fontId="6" numFmtId="2" xfId="0" applyAlignment="1" applyBorder="1" applyFont="1" applyNumberFormat="1">
      <alignment horizontal="right"/>
    </xf>
    <xf borderId="62" fillId="13" fontId="3" numFmtId="166" xfId="0" applyBorder="1" applyFill="1" applyFont="1" applyNumberFormat="1"/>
    <xf borderId="9" fillId="12" fontId="3" numFmtId="166" xfId="0" applyBorder="1" applyFont="1" applyNumberFormat="1"/>
    <xf borderId="11" fillId="10" fontId="3" numFmtId="1" xfId="0" applyBorder="1" applyFont="1" applyNumberFormat="1"/>
    <xf borderId="12" fillId="11" fontId="3" numFmtId="166" xfId="0" applyBorder="1" applyFont="1" applyNumberFormat="1"/>
    <xf borderId="52" fillId="4" fontId="10" numFmtId="166" xfId="0" applyBorder="1" applyFont="1" applyNumberFormat="1"/>
    <xf borderId="31" fillId="4" fontId="3" numFmtId="10" xfId="0" applyAlignment="1" applyBorder="1" applyFont="1" applyNumberFormat="1">
      <alignment horizontal="center"/>
    </xf>
    <xf borderId="20" fillId="10" fontId="3" numFmtId="1" xfId="0" applyBorder="1" applyFont="1" applyNumberFormat="1"/>
    <xf borderId="21" fillId="11" fontId="3" numFmtId="166" xfId="0" applyBorder="1" applyFont="1" applyNumberFormat="1"/>
    <xf borderId="52" fillId="12" fontId="11" numFmtId="166" xfId="0" applyBorder="1" applyFont="1" applyNumberFormat="1"/>
    <xf borderId="52" fillId="4" fontId="11" numFmtId="166" xfId="0" applyBorder="1" applyFont="1" applyNumberFormat="1"/>
    <xf borderId="0" fillId="0" fontId="12" numFmtId="166" xfId="0" applyAlignment="1" applyFont="1" applyNumberFormat="1">
      <alignment horizontal="right"/>
    </xf>
    <xf borderId="52" fillId="14" fontId="11" numFmtId="166" xfId="0" applyBorder="1" applyFill="1" applyFont="1" applyNumberFormat="1"/>
    <xf borderId="31" fillId="14" fontId="3" numFmtId="166" xfId="0" applyAlignment="1" applyBorder="1" applyFont="1" applyNumberFormat="1">
      <alignment horizontal="center"/>
    </xf>
    <xf borderId="31" fillId="14" fontId="3" numFmtId="10" xfId="0" applyAlignment="1" applyBorder="1" applyFont="1" applyNumberFormat="1">
      <alignment horizontal="center"/>
    </xf>
    <xf borderId="52" fillId="12" fontId="13" numFmtId="166" xfId="0" applyBorder="1" applyFont="1" applyNumberFormat="1"/>
    <xf borderId="11" fillId="10" fontId="14" numFmtId="1" xfId="0" applyBorder="1" applyFont="1" applyNumberFormat="1"/>
    <xf borderId="31" fillId="4" fontId="15" numFmtId="166" xfId="0" applyAlignment="1" applyBorder="1" applyFont="1" applyNumberFormat="1">
      <alignment horizontal="center"/>
    </xf>
    <xf borderId="0" fillId="0" fontId="12" numFmtId="166" xfId="0" applyFont="1" applyNumberFormat="1"/>
    <xf borderId="0" fillId="15" fontId="16" numFmtId="166" xfId="0" applyFill="1" applyFont="1" applyNumberFormat="1"/>
    <xf borderId="52" fillId="12" fontId="14" numFmtId="166" xfId="0" applyBorder="1" applyFont="1" applyNumberFormat="1"/>
    <xf borderId="20" fillId="4" fontId="11" numFmtId="166" xfId="0" applyBorder="1" applyFont="1" applyNumberFormat="1"/>
    <xf borderId="31" fillId="4" fontId="3" numFmtId="166" xfId="0" applyAlignment="1" applyBorder="1" applyFont="1" applyNumberFormat="1">
      <alignment horizontal="center" vertical="bottom"/>
    </xf>
    <xf borderId="20" fillId="14" fontId="11" numFmtId="166" xfId="0" applyBorder="1" applyFont="1" applyNumberFormat="1"/>
    <xf borderId="31" fillId="14" fontId="3" numFmtId="166" xfId="0" applyAlignment="1" applyBorder="1" applyFont="1" applyNumberFormat="1">
      <alignment horizontal="center" vertical="bottom"/>
    </xf>
    <xf borderId="20" fillId="5" fontId="6" numFmtId="2" xfId="0" applyAlignment="1" applyBorder="1" applyFont="1" applyNumberFormat="1">
      <alignment horizontal="right"/>
    </xf>
    <xf borderId="20" fillId="4" fontId="17" numFmtId="166" xfId="0" applyBorder="1" applyFont="1" applyNumberFormat="1"/>
    <xf borderId="20" fillId="4" fontId="3" numFmtId="166" xfId="0" applyAlignment="1" applyBorder="1" applyFont="1" applyNumberFormat="1">
      <alignment horizontal="center" vertical="bottom"/>
    </xf>
    <xf borderId="20" fillId="4" fontId="3" numFmtId="10" xfId="0" applyAlignment="1" applyBorder="1" applyFont="1" applyNumberFormat="1">
      <alignment horizontal="center" vertical="bottom"/>
    </xf>
    <xf borderId="20" fillId="4" fontId="3" numFmtId="166" xfId="0" applyAlignment="1" applyBorder="1" applyFont="1" applyNumberFormat="1">
      <alignment horizontal="center"/>
    </xf>
    <xf borderId="0" fillId="0" fontId="6" numFmtId="166" xfId="0" applyFont="1" applyNumberFormat="1"/>
    <xf borderId="63" fillId="12" fontId="3" numFmtId="166" xfId="0" applyBorder="1" applyFont="1" applyNumberFormat="1"/>
    <xf borderId="17" fillId="12" fontId="3" numFmtId="166" xfId="0" applyAlignment="1" applyBorder="1" applyFont="1" applyNumberFormat="1">
      <alignment horizontal="center"/>
    </xf>
    <xf borderId="15" fillId="4" fontId="10" numFmtId="166" xfId="0" applyBorder="1" applyFont="1" applyNumberFormat="1"/>
    <xf borderId="16" fillId="4" fontId="3" numFmtId="166" xfId="0" applyAlignment="1" applyBorder="1" applyFont="1" applyNumberFormat="1">
      <alignment horizontal="center"/>
    </xf>
    <xf borderId="16" fillId="4" fontId="3" numFmtId="10" xfId="0" applyAlignment="1" applyBorder="1" applyFont="1" applyNumberFormat="1">
      <alignment horizontal="center"/>
    </xf>
    <xf borderId="18" fillId="5" fontId="6" numFmtId="2" xfId="0" applyAlignment="1" applyBorder="1" applyFont="1" applyNumberFormat="1">
      <alignment horizontal="right"/>
    </xf>
    <xf borderId="6" fillId="0" fontId="3" numFmtId="166" xfId="0" applyBorder="1" applyFont="1" applyNumberFormat="1"/>
    <xf borderId="64" fillId="13" fontId="3" numFmtId="166" xfId="0" applyBorder="1" applyFont="1" applyNumberFormat="1"/>
    <xf borderId="65" fillId="12" fontId="3" numFmtId="166" xfId="0" applyBorder="1" applyFont="1" applyNumberFormat="1"/>
    <xf borderId="66" fillId="12" fontId="3" numFmtId="166" xfId="0" applyAlignment="1" applyBorder="1" applyFont="1" applyNumberFormat="1">
      <alignment horizontal="center"/>
    </xf>
    <xf borderId="66" fillId="12" fontId="3" numFmtId="10" xfId="0" applyAlignment="1" applyBorder="1" applyFont="1" applyNumberFormat="1">
      <alignment horizontal="center"/>
    </xf>
    <xf borderId="67" fillId="5" fontId="6" numFmtId="2" xfId="0" applyAlignment="1" applyBorder="1" applyFont="1" applyNumberFormat="1">
      <alignment horizontal="right"/>
    </xf>
    <xf borderId="59" fillId="0" fontId="3" numFmtId="166" xfId="0" applyBorder="1" applyFont="1" applyNumberFormat="1"/>
    <xf borderId="29" fillId="13" fontId="3" numFmtId="166" xfId="0" applyBorder="1" applyFont="1" applyNumberFormat="1"/>
    <xf borderId="52" fillId="12" fontId="6" numFmtId="166" xfId="0" applyBorder="1" applyFont="1" applyNumberFormat="1"/>
    <xf borderId="19" fillId="4" fontId="11" numFmtId="166" xfId="0" applyBorder="1" applyFont="1" applyNumberFormat="1"/>
    <xf borderId="20" fillId="4" fontId="15" numFmtId="166" xfId="0" applyAlignment="1" applyBorder="1" applyFont="1" applyNumberFormat="1">
      <alignment horizontal="center"/>
    </xf>
    <xf borderId="20" fillId="4" fontId="3" numFmtId="10" xfId="0" applyAlignment="1" applyBorder="1" applyFont="1" applyNumberFormat="1">
      <alignment horizontal="center"/>
    </xf>
    <xf borderId="21" fillId="5" fontId="6" numFmtId="2" xfId="0" applyAlignment="1" applyBorder="1" applyFont="1" applyNumberFormat="1">
      <alignment horizontal="right"/>
    </xf>
    <xf borderId="1" fillId="12" fontId="3" numFmtId="166" xfId="0" applyBorder="1" applyFont="1" applyNumberFormat="1"/>
    <xf borderId="3" fillId="12" fontId="3" numFmtId="166" xfId="0" applyAlignment="1" applyBorder="1" applyFont="1" applyNumberFormat="1">
      <alignment horizontal="center"/>
    </xf>
    <xf borderId="3" fillId="12" fontId="3" numFmtId="10" xfId="0" applyAlignment="1" applyBorder="1" applyFont="1" applyNumberFormat="1">
      <alignment horizontal="center"/>
    </xf>
    <xf borderId="4" fillId="5" fontId="6" numFmtId="2" xfId="0" applyAlignment="1" applyBorder="1" applyFont="1" applyNumberFormat="1">
      <alignment horizontal="right"/>
    </xf>
    <xf borderId="3" fillId="12" fontId="3" numFmtId="166" xfId="0" applyAlignment="1" applyBorder="1" applyFont="1" applyNumberFormat="1">
      <alignment horizontal="center" vertical="bottom"/>
    </xf>
    <xf borderId="2" fillId="12" fontId="3" numFmtId="10" xfId="0" applyAlignment="1" applyBorder="1" applyFont="1" applyNumberFormat="1">
      <alignment horizontal="center" vertical="bottom"/>
    </xf>
    <xf borderId="2" fillId="12" fontId="3" numFmtId="166" xfId="0" applyAlignment="1" applyBorder="1" applyFont="1" applyNumberFormat="1">
      <alignment horizontal="center" vertical="bottom"/>
    </xf>
    <xf borderId="68" fillId="5" fontId="6" numFmtId="2" xfId="0" applyAlignment="1" applyBorder="1" applyFont="1" applyNumberFormat="1">
      <alignment horizontal="right"/>
    </xf>
    <xf borderId="17" fillId="12" fontId="3" numFmtId="10" xfId="0" applyAlignment="1" applyBorder="1" applyFont="1" applyNumberFormat="1">
      <alignment horizontal="center"/>
    </xf>
    <xf borderId="44" fillId="13" fontId="3" numFmtId="166" xfId="0" applyBorder="1" applyFont="1" applyNumberFormat="1"/>
    <xf borderId="0" fillId="0" fontId="10" numFmtId="166" xfId="0" applyFont="1" applyNumberFormat="1"/>
    <xf borderId="9" fillId="4" fontId="10" numFmtId="166" xfId="0" applyBorder="1" applyFont="1" applyNumberFormat="1"/>
    <xf borderId="11" fillId="4" fontId="3" numFmtId="166" xfId="0" applyAlignment="1" applyBorder="1" applyFont="1" applyNumberFormat="1">
      <alignment horizontal="center" vertical="bottom"/>
    </xf>
    <xf borderId="11" fillId="4" fontId="3" numFmtId="10" xfId="0" applyAlignment="1" applyBorder="1" applyFont="1" applyNumberFormat="1">
      <alignment horizontal="center" vertical="bottom"/>
    </xf>
    <xf borderId="11" fillId="4" fontId="3" numFmtId="166" xfId="0" applyAlignment="1" applyBorder="1" applyFont="1" applyNumberFormat="1">
      <alignment horizontal="center"/>
    </xf>
    <xf borderId="11" fillId="5" fontId="6" numFmtId="2" xfId="0" applyAlignment="1" applyBorder="1" applyFont="1" applyNumberFormat="1">
      <alignment horizontal="right"/>
    </xf>
    <xf borderId="26" fillId="4" fontId="11" numFmtId="166" xfId="0" applyBorder="1" applyFont="1" applyNumberFormat="1"/>
    <xf borderId="27" fillId="4" fontId="3" numFmtId="166" xfId="0" applyAlignment="1" applyBorder="1" applyFont="1" applyNumberFormat="1">
      <alignment horizontal="center"/>
    </xf>
    <xf borderId="27" fillId="4" fontId="3" numFmtId="10" xfId="0" applyAlignment="1" applyBorder="1" applyFont="1" applyNumberFormat="1">
      <alignment horizontal="center"/>
    </xf>
    <xf borderId="28" fillId="5" fontId="6" numFmtId="2" xfId="0" applyAlignment="1" applyBorder="1" applyFont="1" applyNumberFormat="1">
      <alignment horizontal="right"/>
    </xf>
    <xf borderId="0" fillId="0" fontId="10" numFmtId="166" xfId="0" applyAlignment="1" applyFont="1" applyNumberFormat="1">
      <alignment horizontal="right"/>
    </xf>
    <xf borderId="69" fillId="16" fontId="18" numFmtId="166" xfId="0" applyAlignment="1" applyBorder="1" applyFill="1" applyFont="1" applyNumberFormat="1">
      <alignment vertical="center"/>
    </xf>
    <xf borderId="0" fillId="12" fontId="3" numFmtId="166" xfId="0" applyFont="1" applyNumberFormat="1"/>
    <xf borderId="0" fillId="10" fontId="3" numFmtId="1" xfId="0" applyFont="1" applyNumberFormat="1"/>
    <xf borderId="0" fillId="11" fontId="3" numFmtId="166" xfId="0" applyFont="1" applyNumberFormat="1"/>
    <xf borderId="13" fillId="16" fontId="18" numFmtId="166" xfId="0" applyAlignment="1" applyBorder="1" applyFont="1" applyNumberFormat="1">
      <alignment vertical="center"/>
    </xf>
    <xf borderId="70" fillId="16" fontId="18" numFmtId="166" xfId="0" applyAlignment="1" applyBorder="1" applyFont="1" applyNumberFormat="1">
      <alignment vertical="center"/>
    </xf>
    <xf borderId="46" fillId="16" fontId="18" numFmtId="166" xfId="0" applyAlignment="1" applyBorder="1" applyFont="1" applyNumberFormat="1">
      <alignment vertical="center"/>
    </xf>
    <xf borderId="20" fillId="0" fontId="19" numFmtId="166" xfId="0" applyBorder="1" applyFont="1" applyNumberFormat="1"/>
    <xf borderId="20" fillId="0" fontId="3" numFmtId="10" xfId="0" applyAlignment="1" applyBorder="1" applyFont="1" applyNumberFormat="1">
      <alignment horizontal="center"/>
    </xf>
    <xf borderId="26" fillId="12" fontId="3" numFmtId="166" xfId="0" applyBorder="1" applyFont="1" applyNumberFormat="1"/>
    <xf borderId="27" fillId="10" fontId="3" numFmtId="1" xfId="0" applyBorder="1" applyFont="1" applyNumberFormat="1"/>
    <xf borderId="28" fillId="11" fontId="3" numFmtId="166" xfId="0" applyBorder="1" applyFont="1" applyNumberFormat="1"/>
    <xf borderId="0" fillId="0" fontId="3" numFmtId="166" xfId="0" applyAlignment="1" applyFont="1" applyNumberFormat="1">
      <alignment vertical="bottom"/>
    </xf>
    <xf borderId="40" fillId="0" fontId="3" numFmtId="166" xfId="0" applyAlignment="1" applyBorder="1" applyFont="1" applyNumberFormat="1">
      <alignment vertical="bottom"/>
    </xf>
    <xf borderId="20" fillId="0" fontId="19" numFmtId="166" xfId="0" applyAlignment="1" applyBorder="1" applyFont="1" applyNumberFormat="1">
      <alignment vertical="bottom"/>
    </xf>
    <xf borderId="20" fillId="0" fontId="3" numFmtId="166" xfId="0" applyAlignment="1" applyBorder="1" applyFont="1" applyNumberFormat="1">
      <alignment horizontal="center" vertical="bottom"/>
    </xf>
    <xf borderId="20" fillId="0" fontId="3" numFmtId="10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horizontal="right" vertical="bottom"/>
    </xf>
    <xf borderId="62" fillId="0" fontId="3" numFmtId="166" xfId="0" applyAlignment="1" applyBorder="1" applyFont="1" applyNumberFormat="1">
      <alignment vertical="bottom"/>
    </xf>
    <xf borderId="2" fillId="12" fontId="3" numFmtId="166" xfId="0" applyAlignment="1" applyBorder="1" applyFont="1" applyNumberFormat="1">
      <alignment vertical="bottom"/>
    </xf>
    <xf borderId="2" fillId="10" fontId="3" numFmtId="1" xfId="0" applyAlignment="1" applyBorder="1" applyFont="1" applyNumberFormat="1">
      <alignment vertical="bottom"/>
    </xf>
    <xf borderId="29" fillId="11" fontId="3" numFmtId="166" xfId="0" applyAlignment="1" applyBorder="1" applyFont="1" applyNumberFormat="1">
      <alignment horizontal="right" vertical="bottom"/>
    </xf>
    <xf borderId="20" fillId="0" fontId="20" numFmtId="166" xfId="0" applyAlignment="1" applyBorder="1" applyFont="1" applyNumberFormat="1">
      <alignment horizontal="center" vertical="bottom"/>
    </xf>
    <xf borderId="0" fillId="0" fontId="19" numFmtId="166" xfId="0" applyFont="1" applyNumberFormat="1"/>
    <xf borderId="0" fillId="0" fontId="3" numFmtId="166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6" numFmtId="2" xfId="0" applyAlignment="1" applyFont="1" applyNumberFormat="1">
      <alignment horizontal="right"/>
    </xf>
    <xf borderId="20" fillId="0" fontId="20" numFmtId="166" xfId="0" applyAlignment="1" applyBorder="1" applyFont="1" applyNumberFormat="1">
      <alignment horizontal="center"/>
    </xf>
    <xf borderId="17" fillId="10" fontId="3" numFmtId="1" xfId="0" applyBorder="1" applyFont="1" applyNumberFormat="1"/>
    <xf borderId="68" fillId="11" fontId="3" numFmtId="166" xfId="0" applyBorder="1" applyFont="1" applyNumberFormat="1"/>
    <xf borderId="71" fillId="17" fontId="6" numFmtId="1" xfId="0" applyAlignment="1" applyBorder="1" applyFill="1" applyFont="1" applyNumberFormat="1">
      <alignment horizontal="center" vertical="center"/>
    </xf>
    <xf borderId="72" fillId="17" fontId="6" numFmtId="166" xfId="0" applyAlignment="1" applyBorder="1" applyFont="1" applyNumberFormat="1">
      <alignment horizontal="center" vertical="center"/>
    </xf>
    <xf borderId="0" fillId="15" fontId="3" numFmtId="166" xfId="0" applyFont="1" applyNumberFormat="1"/>
    <xf borderId="9" fillId="0" fontId="3" numFmtId="166" xfId="0" applyBorder="1" applyFont="1" applyNumberFormat="1"/>
    <xf borderId="11" fillId="0" fontId="3" numFmtId="166" xfId="0" applyAlignment="1" applyBorder="1" applyFont="1" applyNumberFormat="1">
      <alignment horizontal="center"/>
    </xf>
    <xf borderId="11" fillId="0" fontId="3" numFmtId="10" xfId="0" applyAlignment="1" applyBorder="1" applyFont="1" applyNumberFormat="1">
      <alignment horizontal="center"/>
    </xf>
    <xf borderId="12" fillId="5" fontId="6" numFmtId="2" xfId="0" applyAlignment="1" applyBorder="1" applyFont="1" applyNumberFormat="1">
      <alignment horizontal="right"/>
    </xf>
    <xf borderId="18" fillId="13" fontId="3" numFmtId="166" xfId="0" applyBorder="1" applyFont="1" applyNumberFormat="1"/>
    <xf borderId="52" fillId="0" fontId="3" numFmtId="166" xfId="0" applyBorder="1" applyFont="1" applyNumberFormat="1"/>
    <xf borderId="68" fillId="13" fontId="3" numFmtId="166" xfId="0" applyBorder="1" applyFont="1" applyNumberFormat="1"/>
    <xf borderId="41" fillId="13" fontId="3" numFmtId="166" xfId="0" applyBorder="1" applyFont="1" applyNumberFormat="1"/>
    <xf borderId="7" fillId="3" fontId="6" numFmtId="166" xfId="0" applyAlignment="1" applyBorder="1" applyFont="1" applyNumberFormat="1">
      <alignment horizontal="center"/>
    </xf>
    <xf borderId="0" fillId="13" fontId="3" numFmtId="166" xfId="0" applyFont="1" applyNumberFormat="1"/>
    <xf borderId="20" fillId="11" fontId="21" numFmtId="166" xfId="0" applyAlignment="1" applyBorder="1" applyFont="1" applyNumberFormat="1">
      <alignment horizontal="center" vertical="top"/>
    </xf>
    <xf borderId="16" fillId="0" fontId="22" numFmtId="166" xfId="0" applyBorder="1" applyFont="1" applyNumberFormat="1"/>
    <xf borderId="20" fillId="18" fontId="3" numFmtId="4" xfId="0" applyAlignment="1" applyBorder="1" applyFill="1" applyFont="1" applyNumberFormat="1">
      <alignment horizontal="center"/>
    </xf>
    <xf borderId="20" fillId="18" fontId="3" numFmtId="4" xfId="0" applyBorder="1" applyFont="1" applyNumberFormat="1"/>
    <xf borderId="20" fillId="18" fontId="3" numFmtId="166" xfId="0" applyAlignment="1" applyBorder="1" applyFont="1" applyNumberFormat="1">
      <alignment horizontal="center"/>
    </xf>
    <xf borderId="20" fillId="18" fontId="6" numFmtId="166" xfId="0" applyBorder="1" applyFont="1" applyNumberFormat="1"/>
    <xf borderId="20" fillId="18" fontId="3" numFmtId="164" xfId="0" applyAlignment="1" applyBorder="1" applyFont="1" applyNumberFormat="1">
      <alignment horizontal="center"/>
    </xf>
    <xf borderId="0" fillId="8" fontId="3" numFmtId="166" xfId="0" applyFont="1" applyNumberFormat="1"/>
    <xf borderId="31" fillId="0" fontId="3" numFmtId="9" xfId="0" applyAlignment="1" applyBorder="1" applyFont="1" applyNumberFormat="1">
      <alignment horizontal="center"/>
    </xf>
    <xf borderId="31" fillId="5" fontId="6" numFmtId="2" xfId="0" applyAlignment="1" applyBorder="1" applyFont="1" applyNumberFormat="1">
      <alignment horizontal="right"/>
    </xf>
    <xf borderId="0" fillId="0" fontId="23" numFmtId="4" xfId="0" applyFont="1" applyNumberFormat="1"/>
    <xf borderId="33" fillId="3" fontId="3" numFmtId="4" xfId="0" applyAlignment="1" applyBorder="1" applyFont="1" applyNumberFormat="1">
      <alignment horizontal="center" vertical="center"/>
    </xf>
    <xf borderId="1" fillId="3" fontId="3" numFmtId="4" xfId="0" applyAlignment="1" applyBorder="1" applyFont="1" applyNumberFormat="1">
      <alignment horizontal="center"/>
    </xf>
    <xf borderId="3" fillId="3" fontId="3" numFmtId="4" xfId="0" applyAlignment="1" applyBorder="1" applyFont="1" applyNumberFormat="1">
      <alignment horizontal="center"/>
    </xf>
    <xf borderId="4" fillId="3" fontId="6" numFmtId="4" xfId="0" applyAlignment="1" applyBorder="1" applyFont="1" applyNumberFormat="1">
      <alignment horizontal="center"/>
    </xf>
    <xf borderId="0" fillId="19" fontId="23" numFmtId="0" xfId="0" applyAlignment="1" applyFill="1" applyFont="1">
      <alignment horizontal="center" vertical="center"/>
    </xf>
    <xf borderId="0" fillId="20" fontId="6" numFmtId="2" xfId="0" applyAlignment="1" applyFill="1" applyFont="1" applyNumberFormat="1">
      <alignment horizontal="center" vertical="center"/>
    </xf>
    <xf borderId="0" fillId="0" fontId="23" numFmtId="4" xfId="0" applyAlignment="1" applyFont="1" applyNumberFormat="1">
      <alignment horizontal="center"/>
    </xf>
    <xf borderId="0" fillId="0" fontId="3" numFmtId="4" xfId="0" applyFont="1" applyNumberFormat="1"/>
    <xf borderId="20" fillId="0" fontId="3" numFmtId="4" xfId="0" applyAlignment="1" applyBorder="1" applyFont="1" applyNumberFormat="1">
      <alignment horizontal="center"/>
    </xf>
    <xf borderId="58" fillId="21" fontId="24" numFmtId="4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16" fillId="0" fontId="3" numFmtId="4" xfId="0" applyAlignment="1" applyBorder="1" applyFont="1" applyNumberFormat="1">
      <alignment horizontal="center"/>
    </xf>
    <xf borderId="65" fillId="3" fontId="3" numFmtId="4" xfId="0" applyAlignment="1" applyBorder="1" applyFont="1" applyNumberFormat="1">
      <alignment horizontal="center"/>
    </xf>
    <xf borderId="66" fillId="3" fontId="3" numFmtId="4" xfId="0" applyAlignment="1" applyBorder="1" applyFont="1" applyNumberFormat="1">
      <alignment horizontal="center"/>
    </xf>
    <xf borderId="67" fillId="3" fontId="6" numFmtId="4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0" fillId="3" fontId="3" numFmtId="4" xfId="0" applyAlignment="1" applyFont="1" applyNumberFormat="1">
      <alignment horizontal="center"/>
    </xf>
    <xf borderId="9" fillId="0" fontId="3" numFmtId="4" xfId="0" applyAlignment="1" applyBorder="1" applyFont="1" applyNumberFormat="1">
      <alignment horizontal="center"/>
    </xf>
    <xf borderId="11" fillId="0" fontId="25" numFmtId="4" xfId="0" applyBorder="1" applyFont="1" applyNumberFormat="1"/>
    <xf borderId="11" fillId="0" fontId="6" numFmtId="4" xfId="0" applyAlignment="1" applyBorder="1" applyFont="1" applyNumberFormat="1">
      <alignment horizontal="center"/>
    </xf>
    <xf borderId="11" fillId="0" fontId="3" numFmtId="4" xfId="0" applyAlignment="1" applyBorder="1" applyFont="1" applyNumberFormat="1">
      <alignment horizontal="center"/>
    </xf>
    <xf borderId="11" fillId="11" fontId="3" numFmtId="4" xfId="0" applyAlignment="1" applyBorder="1" applyFont="1" applyNumberFormat="1">
      <alignment horizontal="center"/>
    </xf>
    <xf borderId="21" fillId="5" fontId="6" numFmtId="4" xfId="0" applyAlignment="1" applyBorder="1" applyFont="1" applyNumberFormat="1">
      <alignment horizontal="center"/>
    </xf>
    <xf borderId="0" fillId="19" fontId="3" numFmtId="2" xfId="0" applyAlignment="1" applyFont="1" applyNumberFormat="1">
      <alignment horizontal="center" vertical="bottom"/>
    </xf>
    <xf borderId="0" fillId="20" fontId="6" numFmtId="2" xfId="0" applyAlignment="1" applyFont="1" applyNumberFormat="1">
      <alignment horizontal="center" vertical="bottom"/>
    </xf>
    <xf borderId="20" fillId="3" fontId="3" numFmtId="4" xfId="0" applyAlignment="1" applyBorder="1" applyFont="1" applyNumberFormat="1">
      <alignment horizontal="center"/>
    </xf>
    <xf borderId="0" fillId="0" fontId="26" numFmtId="4" xfId="0" applyAlignment="1" applyFont="1" applyNumberFormat="1">
      <alignment horizontal="center"/>
    </xf>
    <xf borderId="19" fillId="0" fontId="3" numFmtId="4" xfId="0" applyAlignment="1" applyBorder="1" applyFont="1" applyNumberFormat="1">
      <alignment horizontal="center"/>
    </xf>
    <xf borderId="20" fillId="0" fontId="3" numFmtId="4" xfId="0" applyBorder="1" applyFont="1" applyNumberFormat="1"/>
    <xf borderId="21" fillId="5" fontId="6" numFmtId="3" xfId="0" applyAlignment="1" applyBorder="1" applyFont="1" applyNumberFormat="1">
      <alignment horizontal="center"/>
    </xf>
    <xf borderId="22" fillId="0" fontId="3" numFmtId="4" xfId="0" applyAlignment="1" applyBorder="1" applyFont="1" applyNumberFormat="1">
      <alignment horizontal="center"/>
    </xf>
    <xf borderId="23" fillId="0" fontId="3" numFmtId="4" xfId="0" applyAlignment="1" applyBorder="1" applyFont="1" applyNumberFormat="1">
      <alignment horizontal="center"/>
    </xf>
    <xf borderId="23" fillId="0" fontId="3" numFmtId="4" xfId="0" applyBorder="1" applyFont="1" applyNumberFormat="1"/>
    <xf borderId="24" fillId="5" fontId="6" numFmtId="4" xfId="0" applyAlignment="1" applyBorder="1" applyFont="1" applyNumberFormat="1">
      <alignment horizontal="center"/>
    </xf>
    <xf borderId="0" fillId="0" fontId="27" numFmtId="4" xfId="0" applyFont="1" applyNumberFormat="1"/>
    <xf borderId="9" fillId="0" fontId="15" numFmtId="4" xfId="0" applyAlignment="1" applyBorder="1" applyFont="1" applyNumberFormat="1">
      <alignment horizontal="center"/>
    </xf>
    <xf borderId="11" fillId="0" fontId="15" numFmtId="4" xfId="0" applyBorder="1" applyFont="1" applyNumberFormat="1"/>
    <xf borderId="11" fillId="0" fontId="3" numFmtId="4" xfId="0" applyBorder="1" applyFont="1" applyNumberFormat="1"/>
    <xf borderId="12" fillId="5" fontId="3" numFmtId="4" xfId="0" applyAlignment="1" applyBorder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8" numFmtId="4" xfId="0" applyFont="1" applyNumberFormat="1"/>
    <xf borderId="19" fillId="0" fontId="15" numFmtId="4" xfId="0" applyAlignment="1" applyBorder="1" applyFont="1" applyNumberFormat="1">
      <alignment horizontal="center"/>
    </xf>
    <xf borderId="20" fillId="0" fontId="15" numFmtId="4" xfId="0" applyBorder="1" applyFont="1" applyNumberFormat="1"/>
    <xf borderId="21" fillId="5" fontId="3" numFmtId="4" xfId="0" applyAlignment="1" applyBorder="1" applyFont="1" applyNumberFormat="1">
      <alignment horizontal="center"/>
    </xf>
    <xf borderId="0" fillId="0" fontId="28" numFmtId="4" xfId="0" applyAlignment="1" applyFont="1" applyNumberFormat="1">
      <alignment horizontal="center"/>
    </xf>
    <xf borderId="0" fillId="0" fontId="15" numFmtId="4" xfId="0" applyFont="1" applyNumberFormat="1"/>
    <xf borderId="0" fillId="0" fontId="15" numFmtId="4" xfId="0" applyAlignment="1" applyFont="1" applyNumberFormat="1">
      <alignment horizontal="center"/>
    </xf>
    <xf borderId="0" fillId="0" fontId="12" numFmtId="4" xfId="0" applyFont="1" applyNumberFormat="1"/>
    <xf borderId="0" fillId="0" fontId="12" numFmtId="4" xfId="0" applyAlignment="1" applyFont="1" applyNumberFormat="1">
      <alignment horizontal="center"/>
    </xf>
    <xf borderId="19" fillId="0" fontId="12" numFmtId="4" xfId="0" applyAlignment="1" applyBorder="1" applyFont="1" applyNumberFormat="1">
      <alignment horizontal="center"/>
    </xf>
    <xf borderId="20" fillId="0" fontId="12" numFmtId="4" xfId="0" applyBorder="1" applyFont="1" applyNumberFormat="1"/>
    <xf borderId="21" fillId="5" fontId="12" numFmtId="4" xfId="0" applyAlignment="1" applyBorder="1" applyFont="1" applyNumberFormat="1">
      <alignment horizontal="center"/>
    </xf>
    <xf borderId="20" fillId="0" fontId="14" numFmtId="4" xfId="0" applyBorder="1" applyFont="1" applyNumberFormat="1"/>
    <xf borderId="20" fillId="0" fontId="12" numFmtId="4" xfId="0" applyAlignment="1" applyBorder="1" applyFont="1" applyNumberFormat="1">
      <alignment horizontal="center"/>
    </xf>
    <xf borderId="24" fillId="5" fontId="3" numFmtId="4" xfId="0" applyAlignment="1" applyBorder="1" applyFont="1" applyNumberFormat="1">
      <alignment horizontal="center"/>
    </xf>
    <xf borderId="0" fillId="0" fontId="6" numFmtId="4" xfId="0" applyAlignment="1" applyFont="1" applyNumberFormat="1">
      <alignment horizontal="center" shrinkToFit="0" vertical="center" wrapText="1"/>
    </xf>
    <xf borderId="0" fillId="0" fontId="6" numFmtId="4" xfId="0" applyAlignment="1" applyFont="1" applyNumberFormat="1">
      <alignment horizontal="center"/>
    </xf>
    <xf borderId="58" fillId="10" fontId="24" numFmtId="4" xfId="0" applyAlignment="1" applyBorder="1" applyFont="1" applyNumberFormat="1">
      <alignment horizontal="center" vertical="center"/>
    </xf>
    <xf borderId="0" fillId="10" fontId="24" numFmtId="4" xfId="0" applyAlignment="1" applyFont="1" applyNumberFormat="1">
      <alignment horizontal="center" vertical="center"/>
    </xf>
    <xf borderId="4" fillId="3" fontId="6" numFmtId="4" xfId="0" applyAlignment="1" applyBorder="1" applyFont="1" applyNumberFormat="1">
      <alignment horizontal="center" shrinkToFit="0" vertical="center" wrapText="1"/>
    </xf>
    <xf borderId="0" fillId="11" fontId="3" numFmtId="4" xfId="0" applyAlignment="1" applyFont="1" applyNumberFormat="1">
      <alignment horizontal="center" shrinkToFit="0" wrapText="1"/>
    </xf>
    <xf borderId="0" fillId="15" fontId="29" numFmtId="4" xfId="0" applyFont="1" applyNumberFormat="1"/>
    <xf borderId="0" fillId="11" fontId="3" numFmtId="4" xfId="0" applyAlignment="1" applyFont="1" applyNumberFormat="1">
      <alignment horizontal="center"/>
    </xf>
    <xf borderId="0" fillId="3" fontId="6" numFmtId="4" xfId="0" applyAlignment="1" applyFont="1" applyNumberFormat="1">
      <alignment horizontal="center"/>
    </xf>
    <xf borderId="20" fillId="22" fontId="23" numFmtId="4" xfId="0" applyBorder="1" applyFill="1" applyFont="1" applyNumberFormat="1"/>
    <xf borderId="20" fillId="22" fontId="23" numFmtId="4" xfId="0" applyAlignment="1" applyBorder="1" applyFont="1" applyNumberFormat="1">
      <alignment horizontal="center"/>
    </xf>
    <xf borderId="20" fillId="11" fontId="23" numFmtId="4" xfId="0" applyAlignment="1" applyBorder="1" applyFont="1" applyNumberFormat="1">
      <alignment horizontal="center"/>
    </xf>
    <xf borderId="8" fillId="0" fontId="3" numFmtId="4" xfId="0" applyAlignment="1" applyBorder="1" applyFont="1" applyNumberFormat="1">
      <alignment horizontal="center"/>
    </xf>
    <xf borderId="52" fillId="0" fontId="3" numFmtId="4" xfId="0" applyBorder="1" applyFont="1" applyNumberFormat="1"/>
    <xf borderId="31" fillId="11" fontId="3" numFmtId="4" xfId="0" applyAlignment="1" applyBorder="1" applyFont="1" applyNumberFormat="1">
      <alignment horizontal="center"/>
    </xf>
    <xf borderId="73" fillId="5" fontId="3" numFmtId="4" xfId="0" applyAlignment="1" applyBorder="1" applyFont="1" applyNumberFormat="1">
      <alignment horizontal="center"/>
    </xf>
    <xf borderId="46" fillId="0" fontId="3" numFmtId="4" xfId="0" applyBorder="1" applyFont="1" applyNumberFormat="1"/>
    <xf borderId="20" fillId="13" fontId="23" numFmtId="4" xfId="0" applyBorder="1" applyFont="1" applyNumberFormat="1"/>
    <xf borderId="20" fillId="13" fontId="23" numFmtId="4" xfId="0" applyAlignment="1" applyBorder="1" applyFont="1" applyNumberFormat="1">
      <alignment horizontal="center"/>
    </xf>
    <xf borderId="45" fillId="0" fontId="3" numFmtId="4" xfId="0" applyAlignment="1" applyBorder="1" applyFont="1" applyNumberFormat="1">
      <alignment horizontal="center"/>
    </xf>
    <xf borderId="20" fillId="11" fontId="3" numFmtId="4" xfId="0" applyAlignment="1" applyBorder="1" applyFont="1" applyNumberFormat="1">
      <alignment horizontal="center"/>
    </xf>
    <xf borderId="16" fillId="11" fontId="23" numFmtId="4" xfId="0" applyAlignment="1" applyBorder="1" applyFont="1" applyNumberFormat="1">
      <alignment horizontal="center"/>
    </xf>
    <xf borderId="73" fillId="5" fontId="3" numFmtId="167" xfId="0" applyAlignment="1" applyBorder="1" applyFont="1" applyNumberFormat="1">
      <alignment horizontal="center"/>
    </xf>
    <xf borderId="13" fillId="13" fontId="23" numFmtId="4" xfId="0" applyAlignment="1" applyBorder="1" applyFont="1" applyNumberFormat="1">
      <alignment horizontal="center"/>
    </xf>
    <xf borderId="74" fillId="11" fontId="23" numFmtId="4" xfId="0" applyAlignment="1" applyBorder="1" applyFont="1" applyNumberFormat="1">
      <alignment horizontal="center"/>
    </xf>
    <xf borderId="46" fillId="13" fontId="23" numFmtId="4" xfId="0" applyAlignment="1" applyBorder="1" applyFont="1" applyNumberFormat="1">
      <alignment horizontal="center"/>
    </xf>
    <xf borderId="31" fillId="11" fontId="23" numFmtId="4" xfId="0" applyAlignment="1" applyBorder="1" applyFont="1" applyNumberFormat="1">
      <alignment horizontal="center"/>
    </xf>
    <xf borderId="53" fillId="0" fontId="3" numFmtId="4" xfId="0" applyAlignment="1" applyBorder="1" applyFont="1" applyNumberFormat="1">
      <alignment horizontal="center"/>
    </xf>
    <xf borderId="22" fillId="0" fontId="3" numFmtId="4" xfId="0" applyBorder="1" applyFont="1" applyNumberFormat="1"/>
    <xf borderId="23" fillId="11" fontId="3" numFmtId="4" xfId="0" applyAlignment="1" applyBorder="1" applyFont="1" applyNumberFormat="1">
      <alignment horizontal="center"/>
    </xf>
    <xf borderId="31" fillId="0" fontId="3" numFmtId="4" xfId="0" applyAlignment="1" applyBorder="1" applyFont="1" applyNumberFormat="1">
      <alignment horizontal="center"/>
    </xf>
    <xf borderId="20" fillId="23" fontId="23" numFmtId="4" xfId="0" applyBorder="1" applyFill="1" applyFont="1" applyNumberFormat="1"/>
    <xf borderId="13" fillId="23" fontId="23" numFmtId="4" xfId="0" applyAlignment="1" applyBorder="1" applyFont="1" applyNumberFormat="1">
      <alignment horizontal="center"/>
    </xf>
    <xf borderId="46" fillId="23" fontId="23" numFmtId="4" xfId="0" applyAlignment="1" applyBorder="1" applyFont="1" applyNumberFormat="1">
      <alignment horizontal="center"/>
    </xf>
    <xf borderId="20" fillId="23" fontId="23" numFmtId="4" xfId="0" applyAlignment="1" applyBorder="1" applyFont="1" applyNumberFormat="1">
      <alignment horizontal="center"/>
    </xf>
    <xf borderId="43" fillId="0" fontId="3" numFmtId="4" xfId="0" applyAlignment="1" applyBorder="1" applyFont="1" applyNumberFormat="1">
      <alignment horizontal="center"/>
    </xf>
    <xf borderId="20" fillId="0" fontId="23" numFmtId="4" xfId="0" applyBorder="1" applyFont="1" applyNumberFormat="1"/>
    <xf borderId="20" fillId="0" fontId="23" numFmtId="4" xfId="0" applyAlignment="1" applyBorder="1" applyFont="1" applyNumberFormat="1">
      <alignment horizontal="center"/>
    </xf>
    <xf borderId="25" fillId="0" fontId="3" numFmtId="4" xfId="0" applyAlignment="1" applyBorder="1" applyFont="1" applyNumberFormat="1">
      <alignment horizontal="center"/>
    </xf>
    <xf borderId="9" fillId="0" fontId="3" numFmtId="4" xfId="0" applyBorder="1" applyFont="1" applyNumberFormat="1"/>
    <xf borderId="26" fillId="0" fontId="3" numFmtId="4" xfId="0" applyBorder="1" applyFont="1" applyNumberFormat="1"/>
    <xf borderId="75" fillId="5" fontId="3" numFmtId="4" xfId="0" applyAlignment="1" applyBorder="1" applyFont="1" applyNumberFormat="1">
      <alignment horizontal="center"/>
    </xf>
    <xf borderId="41" fillId="5" fontId="3" numFmtId="4" xfId="0" applyAlignment="1" applyBorder="1" applyFont="1" applyNumberFormat="1">
      <alignment horizontal="center"/>
    </xf>
    <xf borderId="62" fillId="0" fontId="3" numFmtId="4" xfId="0" applyAlignment="1" applyBorder="1" applyFont="1" applyNumberFormat="1">
      <alignment vertical="bottom"/>
    </xf>
    <xf borderId="51" fillId="0" fontId="3" numFmtId="4" xfId="0" applyAlignment="1" applyBorder="1" applyFont="1" applyNumberFormat="1">
      <alignment horizontal="center" vertical="bottom"/>
    </xf>
    <xf borderId="10" fillId="0" fontId="3" numFmtId="4" xfId="0" applyAlignment="1" applyBorder="1" applyFont="1" applyNumberFormat="1">
      <alignment vertical="bottom"/>
    </xf>
    <xf borderId="10" fillId="0" fontId="3" numFmtId="4" xfId="0" applyAlignment="1" applyBorder="1" applyFont="1" applyNumberFormat="1">
      <alignment horizontal="center" vertical="bottom"/>
    </xf>
    <xf borderId="10" fillId="11" fontId="3" numFmtId="4" xfId="0" applyAlignment="1" applyBorder="1" applyFont="1" applyNumberFormat="1">
      <alignment horizontal="center" vertical="bottom"/>
    </xf>
    <xf borderId="51" fillId="5" fontId="3" numFmtId="4" xfId="0" applyAlignment="1" applyBorder="1" applyFont="1" applyNumberFormat="1">
      <alignment horizontal="center" vertical="bottom"/>
    </xf>
    <xf borderId="0" fillId="0" fontId="3" numFmtId="4" xfId="0" applyAlignment="1" applyFont="1" applyNumberFormat="1">
      <alignment vertical="bottom"/>
    </xf>
    <xf borderId="0" fillId="0" fontId="3" numFmtId="4" xfId="0" applyAlignment="1" applyFont="1" applyNumberFormat="1">
      <alignment horizontal="center" vertical="bottom"/>
    </xf>
    <xf borderId="64" fillId="0" fontId="3" numFmtId="4" xfId="0" applyAlignment="1" applyBorder="1" applyFont="1" applyNumberFormat="1">
      <alignment horizontal="center" vertical="bottom"/>
    </xf>
    <xf borderId="32" fillId="0" fontId="3" numFmtId="4" xfId="0" applyAlignment="1" applyBorder="1" applyFont="1" applyNumberFormat="1">
      <alignment vertical="bottom"/>
    </xf>
    <xf borderId="27" fillId="0" fontId="3" numFmtId="4" xfId="0" applyAlignment="1" applyBorder="1" applyFont="1" applyNumberFormat="1">
      <alignment horizontal="center"/>
    </xf>
    <xf borderId="32" fillId="0" fontId="3" numFmtId="4" xfId="0" applyAlignment="1" applyBorder="1" applyFont="1" applyNumberFormat="1">
      <alignment horizontal="center" vertical="bottom"/>
    </xf>
    <xf borderId="32" fillId="11" fontId="3" numFmtId="4" xfId="0" applyAlignment="1" applyBorder="1" applyFont="1" applyNumberFormat="1">
      <alignment horizontal="center" vertical="bottom"/>
    </xf>
    <xf borderId="64" fillId="5" fontId="3" numFmtId="4" xfId="0" applyAlignment="1" applyBorder="1" applyFont="1" applyNumberFormat="1">
      <alignment horizontal="center" vertical="bottom"/>
    </xf>
    <xf borderId="8" fillId="0" fontId="3" numFmtId="4" xfId="0" applyAlignment="1" applyBorder="1" applyFont="1" applyNumberFormat="1">
      <alignment horizontal="center" vertical="bottom"/>
    </xf>
    <xf borderId="43" fillId="0" fontId="3" numFmtId="4" xfId="0" applyAlignment="1" applyBorder="1" applyFont="1" applyNumberFormat="1">
      <alignment horizontal="center" vertical="bottom"/>
    </xf>
    <xf borderId="30" fillId="0" fontId="3" numFmtId="4" xfId="0" applyAlignment="1" applyBorder="1" applyFont="1" applyNumberFormat="1">
      <alignment vertical="bottom"/>
    </xf>
    <xf borderId="30" fillId="0" fontId="3" numFmtId="4" xfId="0" applyAlignment="1" applyBorder="1" applyFont="1" applyNumberFormat="1">
      <alignment horizontal="center" vertical="bottom"/>
    </xf>
    <xf borderId="30" fillId="11" fontId="3" numFmtId="4" xfId="0" applyAlignment="1" applyBorder="1" applyFont="1" applyNumberFormat="1">
      <alignment horizontal="center" vertical="bottom"/>
    </xf>
    <xf borderId="44" fillId="5" fontId="3" numFmtId="4" xfId="0" applyAlignment="1" applyBorder="1" applyFont="1" applyNumberFormat="1">
      <alignment horizontal="center" vertical="bottom"/>
    </xf>
    <xf borderId="25" fillId="0" fontId="3" numFmtId="4" xfId="0" applyAlignment="1" applyBorder="1" applyFont="1" applyNumberFormat="1">
      <alignment horizontal="center" vertical="bottom"/>
    </xf>
    <xf borderId="76" fillId="3" fontId="3" numFmtId="4" xfId="0" applyAlignment="1" applyBorder="1" applyFont="1" applyNumberFormat="1">
      <alignment horizontal="center"/>
    </xf>
    <xf borderId="27" fillId="3" fontId="3" numFmtId="4" xfId="0" applyAlignment="1" applyBorder="1" applyFont="1" applyNumberFormat="1">
      <alignment horizontal="center"/>
    </xf>
    <xf borderId="77" fillId="3" fontId="3" numFmtId="4" xfId="0" applyAlignment="1" applyBorder="1" applyFont="1" applyNumberFormat="1">
      <alignment horizontal="center"/>
    </xf>
    <xf borderId="78" fillId="3" fontId="3" numFmtId="4" xfId="0" applyAlignment="1" applyBorder="1" applyFont="1" applyNumberFormat="1">
      <alignment horizontal="center"/>
    </xf>
    <xf borderId="28" fillId="3" fontId="6" numFmtId="4" xfId="0" applyAlignment="1" applyBorder="1" applyFont="1" applyNumberFormat="1">
      <alignment horizontal="center"/>
    </xf>
    <xf borderId="30" fillId="0" fontId="3" numFmtId="4" xfId="0" applyAlignment="1" applyBorder="1" applyFont="1" applyNumberFormat="1">
      <alignment horizontal="center"/>
    </xf>
    <xf borderId="52" fillId="11" fontId="3" numFmtId="4" xfId="0" applyAlignment="1" applyBorder="1" applyFont="1" applyNumberFormat="1">
      <alignment horizontal="center"/>
    </xf>
    <xf borderId="17" fillId="0" fontId="3" numFmtId="4" xfId="0" applyAlignment="1" applyBorder="1" applyFont="1" applyNumberFormat="1">
      <alignment horizontal="center"/>
    </xf>
    <xf borderId="79" fillId="0" fontId="3" numFmtId="4" xfId="0" applyAlignment="1" applyBorder="1" applyFont="1" applyNumberFormat="1">
      <alignment horizontal="center"/>
    </xf>
    <xf borderId="40" fillId="0" fontId="3" numFmtId="4" xfId="0" applyAlignment="1" applyBorder="1" applyFont="1" applyNumberFormat="1">
      <alignment horizontal="center"/>
    </xf>
    <xf borderId="68" fillId="0" fontId="6" numFmtId="4" xfId="0" applyAlignment="1" applyBorder="1" applyFont="1" applyNumberFormat="1">
      <alignment horizontal="center"/>
    </xf>
    <xf borderId="19" fillId="0" fontId="3" numFmtId="4" xfId="0" applyBorder="1" applyFont="1" applyNumberFormat="1"/>
    <xf borderId="19" fillId="24" fontId="3" numFmtId="4" xfId="0" applyBorder="1" applyFill="1" applyFont="1" applyNumberFormat="1"/>
    <xf borderId="20" fillId="4" fontId="3" numFmtId="4" xfId="0" applyAlignment="1" applyBorder="1" applyFont="1" applyNumberFormat="1">
      <alignment horizontal="center"/>
    </xf>
    <xf borderId="31" fillId="4" fontId="3" numFmtId="4" xfId="0" applyAlignment="1" applyBorder="1" applyFont="1" applyNumberFormat="1">
      <alignment horizontal="center"/>
    </xf>
    <xf borderId="19" fillId="11" fontId="3" numFmtId="4" xfId="0" applyAlignment="1" applyBorder="1" applyFont="1" applyNumberFormat="1">
      <alignment horizontal="center"/>
    </xf>
    <xf borderId="21" fillId="0" fontId="3" numFmtId="4" xfId="0" applyAlignment="1" applyBorder="1" applyFont="1" applyNumberFormat="1">
      <alignment horizontal="center"/>
    </xf>
    <xf borderId="12" fillId="0" fontId="3" numFmtId="4" xfId="0" applyAlignment="1" applyBorder="1" applyFont="1" applyNumberFormat="1">
      <alignment horizontal="center"/>
    </xf>
    <xf borderId="80" fillId="5" fontId="3" numFmtId="4" xfId="0" applyAlignment="1" applyBorder="1" applyFont="1" applyNumberFormat="1">
      <alignment horizontal="center"/>
    </xf>
    <xf borderId="46" fillId="0" fontId="3" numFmtId="4" xfId="0" applyAlignment="1" applyBorder="1" applyFont="1" applyNumberFormat="1">
      <alignment horizontal="center"/>
    </xf>
    <xf borderId="15" fillId="0" fontId="3" numFmtId="4" xfId="0" applyBorder="1" applyFont="1" applyNumberFormat="1"/>
    <xf borderId="81" fillId="5" fontId="3" numFmtId="4" xfId="0" applyAlignment="1" applyBorder="1" applyFont="1" applyNumberFormat="1">
      <alignment horizontal="center"/>
    </xf>
    <xf borderId="9" fillId="11" fontId="3" numFmtId="4" xfId="0" applyAlignment="1" applyBorder="1" applyFont="1" applyNumberFormat="1">
      <alignment horizontal="center"/>
    </xf>
    <xf borderId="63" fillId="11" fontId="3" numFmtId="4" xfId="0" applyAlignment="1" applyBorder="1" applyFont="1" applyNumberFormat="1">
      <alignment horizontal="center"/>
    </xf>
    <xf borderId="68" fillId="0" fontId="3" numFmtId="4" xfId="0" applyAlignment="1" applyBorder="1" applyFont="1" applyNumberFormat="1">
      <alignment horizontal="center"/>
    </xf>
    <xf borderId="18" fillId="5" fontId="3" numFmtId="4" xfId="0" applyAlignment="1" applyBorder="1" applyFont="1" applyNumberFormat="1">
      <alignment horizontal="center"/>
    </xf>
    <xf borderId="58" fillId="0" fontId="3" numFmtId="4" xfId="0" applyAlignment="1" applyBorder="1" applyFont="1" applyNumberFormat="1">
      <alignment horizontal="center"/>
    </xf>
    <xf borderId="82" fillId="21" fontId="24" numFmtId="4" xfId="0" applyAlignment="1" applyBorder="1" applyFont="1" applyNumberFormat="1">
      <alignment horizontal="center" vertical="center"/>
    </xf>
    <xf borderId="83" fillId="0" fontId="8" numFmtId="0" xfId="0" applyBorder="1" applyFont="1"/>
    <xf borderId="84" fillId="0" fontId="8" numFmtId="0" xfId="0" applyBorder="1" applyFont="1"/>
    <xf borderId="13" fillId="0" fontId="3" numFmtId="4" xfId="0" applyAlignment="1" applyBorder="1" applyFont="1" applyNumberFormat="1">
      <alignment horizontal="center"/>
    </xf>
    <xf borderId="52" fillId="0" fontId="3" numFmtId="4" xfId="0" applyAlignment="1" applyBorder="1" applyFont="1" applyNumberFormat="1">
      <alignment horizontal="center"/>
    </xf>
    <xf borderId="85" fillId="3" fontId="3" numFmtId="4" xfId="0" applyAlignment="1" applyBorder="1" applyFont="1" applyNumberFormat="1">
      <alignment horizontal="center"/>
    </xf>
    <xf borderId="56" fillId="3" fontId="3" numFmtId="4" xfId="0" applyAlignment="1" applyBorder="1" applyFont="1" applyNumberFormat="1">
      <alignment horizontal="center"/>
    </xf>
    <xf borderId="86" fillId="3" fontId="3" numFmtId="4" xfId="0" applyAlignment="1" applyBorder="1" applyFont="1" applyNumberFormat="1">
      <alignment horizontal="center"/>
    </xf>
    <xf borderId="52" fillId="6" fontId="3" numFmtId="4" xfId="0" applyAlignment="1" applyBorder="1" applyFont="1" applyNumberFormat="1">
      <alignment horizontal="center"/>
    </xf>
    <xf borderId="9" fillId="6" fontId="3" numFmtId="4" xfId="0" applyAlignment="1" applyBorder="1" applyFont="1" applyNumberFormat="1">
      <alignment horizontal="center"/>
    </xf>
    <xf borderId="66" fillId="0" fontId="3" numFmtId="4" xfId="0" applyAlignment="1" applyBorder="1" applyFont="1" applyNumberFormat="1">
      <alignment horizontal="center"/>
    </xf>
    <xf borderId="50" fillId="0" fontId="3" numFmtId="4" xfId="0" applyAlignment="1" applyBorder="1" applyFont="1" applyNumberFormat="1">
      <alignment horizontal="center"/>
    </xf>
    <xf borderId="35" fillId="0" fontId="3" numFmtId="4" xfId="0" applyAlignment="1" applyBorder="1" applyFont="1" applyNumberFormat="1">
      <alignment horizontal="center"/>
    </xf>
    <xf borderId="67" fillId="0" fontId="6" numFmtId="4" xfId="0" applyAlignment="1" applyBorder="1" applyFont="1" applyNumberFormat="1">
      <alignment horizontal="center"/>
    </xf>
    <xf borderId="87" fillId="3" fontId="3" numFmtId="4" xfId="0" applyAlignment="1" applyBorder="1" applyFont="1" applyNumberFormat="1">
      <alignment horizontal="center"/>
    </xf>
    <xf borderId="88" fillId="3" fontId="3" numFmtId="4" xfId="0" applyAlignment="1" applyBorder="1" applyFont="1" applyNumberFormat="1">
      <alignment horizontal="center"/>
    </xf>
    <xf borderId="89" fillId="3" fontId="3" numFmtId="4" xfId="0" applyAlignment="1" applyBorder="1" applyFont="1" applyNumberFormat="1">
      <alignment horizontal="center"/>
    </xf>
    <xf borderId="0" fillId="0" fontId="25" numFmtId="4" xfId="0" applyFont="1" applyNumberFormat="1"/>
    <xf borderId="13" fillId="0" fontId="25" numFmtId="4" xfId="0" applyAlignment="1" applyBorder="1" applyFont="1" applyNumberFormat="1">
      <alignment horizontal="center"/>
    </xf>
    <xf borderId="19" fillId="0" fontId="25" numFmtId="4" xfId="0" applyBorder="1" applyFont="1" applyNumberFormat="1"/>
    <xf borderId="0" fillId="0" fontId="30" numFmtId="4" xfId="0" applyFont="1" applyNumberFormat="1"/>
    <xf borderId="0" fillId="0" fontId="30" numFmtId="4" xfId="0" applyAlignment="1" applyFont="1" applyNumberFormat="1">
      <alignment horizontal="center"/>
    </xf>
    <xf borderId="18" fillId="0" fontId="3" numFmtId="4" xfId="0" applyAlignment="1" applyBorder="1" applyFont="1" applyNumberFormat="1">
      <alignment horizontal="center"/>
    </xf>
    <xf borderId="90" fillId="0" fontId="25" numFmtId="4" xfId="0" applyBorder="1" applyFont="1" applyNumberFormat="1"/>
    <xf borderId="42" fillId="0" fontId="25" numFmtId="4" xfId="0" applyBorder="1" applyFont="1" applyNumberFormat="1"/>
    <xf borderId="24" fillId="0" fontId="3" numFmtId="4" xfId="0" applyAlignment="1" applyBorder="1" applyFont="1" applyNumberFormat="1">
      <alignment horizontal="center"/>
    </xf>
    <xf borderId="0" fillId="0" fontId="31" numFmtId="4" xfId="0" applyAlignment="1" applyFont="1" applyNumberFormat="1">
      <alignment horizontal="center"/>
    </xf>
    <xf borderId="52" fillId="0" fontId="6" numFmtId="4" xfId="0" applyAlignment="1" applyBorder="1" applyFont="1" applyNumberFormat="1">
      <alignment horizontal="center"/>
    </xf>
    <xf borderId="91" fillId="0" fontId="3" numFmtId="4" xfId="0" applyBorder="1" applyFont="1" applyNumberFormat="1"/>
    <xf borderId="92" fillId="0" fontId="3" numFmtId="4" xfId="0" applyBorder="1" applyFont="1" applyNumberFormat="1"/>
    <xf borderId="93" fillId="0" fontId="3" numFmtId="4" xfId="0" applyBorder="1" applyFont="1" applyNumberFormat="1"/>
    <xf borderId="94" fillId="0" fontId="3" numFmtId="4" xfId="0" applyBorder="1" applyFont="1" applyNumberFormat="1"/>
    <xf borderId="95" fillId="0" fontId="3" numFmtId="4" xfId="0" applyBorder="1" applyFont="1" applyNumberFormat="1"/>
    <xf borderId="96" fillId="0" fontId="3" numFmtId="4" xfId="0" applyBorder="1" applyFont="1" applyNumberFormat="1"/>
    <xf borderId="97" fillId="0" fontId="3" numFmtId="4" xfId="0" applyBorder="1" applyFont="1" applyNumberFormat="1"/>
    <xf borderId="98" fillId="0" fontId="3" numFmtId="4" xfId="0" applyBorder="1" applyFont="1" applyNumberFormat="1"/>
    <xf borderId="0" fillId="21" fontId="24" numFmtId="4" xfId="0" applyAlignment="1" applyFont="1" applyNumberFormat="1">
      <alignment horizontal="center" vertical="center"/>
    </xf>
    <xf borderId="67" fillId="3" fontId="6" numFmtId="4" xfId="0" applyAlignment="1" applyBorder="1" applyFont="1" applyNumberFormat="1">
      <alignment horizontal="center" shrinkToFit="0" wrapText="1"/>
    </xf>
    <xf borderId="9" fillId="0" fontId="6" numFmtId="4" xfId="0" applyAlignment="1" applyBorder="1" applyFont="1" applyNumberFormat="1">
      <alignment horizontal="center"/>
    </xf>
    <xf borderId="50" fillId="0" fontId="6" numFmtId="4" xfId="0" applyAlignment="1" applyBorder="1" applyFont="1" applyNumberFormat="1">
      <alignment horizontal="center"/>
    </xf>
    <xf borderId="12" fillId="0" fontId="23" numFmtId="4" xfId="0" applyAlignment="1" applyBorder="1" applyFont="1" applyNumberFormat="1">
      <alignment horizontal="center"/>
    </xf>
    <xf borderId="20" fillId="25" fontId="3" numFmtId="4" xfId="0" applyAlignment="1" applyBorder="1" applyFill="1" applyFont="1" applyNumberFormat="1">
      <alignment horizontal="center"/>
    </xf>
    <xf borderId="13" fillId="25" fontId="3" numFmtId="4" xfId="0" applyAlignment="1" applyBorder="1" applyFont="1" applyNumberFormat="1">
      <alignment horizontal="center"/>
    </xf>
    <xf borderId="21" fillId="23" fontId="31" numFmtId="4" xfId="0" applyBorder="1" applyFont="1" applyNumberFormat="1"/>
    <xf borderId="15" fillId="0" fontId="25" numFmtId="4" xfId="0" applyBorder="1" applyFont="1" applyNumberFormat="1"/>
    <xf borderId="16" fillId="25" fontId="3" numFmtId="4" xfId="0" applyAlignment="1" applyBorder="1" applyFont="1" applyNumberFormat="1">
      <alignment horizontal="center"/>
    </xf>
    <xf borderId="99" fillId="25" fontId="3" numFmtId="4" xfId="0" applyAlignment="1" applyBorder="1" applyFont="1" applyNumberFormat="1">
      <alignment horizontal="center"/>
    </xf>
    <xf borderId="18" fillId="23" fontId="31" numFmtId="4" xfId="0" applyBorder="1" applyFont="1" applyNumberFormat="1"/>
    <xf borderId="22" fillId="0" fontId="25" numFmtId="4" xfId="0" applyBorder="1" applyFont="1" applyNumberFormat="1"/>
    <xf borderId="23" fillId="25" fontId="3" numFmtId="4" xfId="0" applyAlignment="1" applyBorder="1" applyFont="1" applyNumberFormat="1">
      <alignment horizontal="center"/>
    </xf>
    <xf borderId="100" fillId="25" fontId="3" numFmtId="4" xfId="0" applyAlignment="1" applyBorder="1" applyFont="1" applyNumberFormat="1">
      <alignment horizontal="center"/>
    </xf>
    <xf borderId="24" fillId="23" fontId="31" numFmtId="4" xfId="0" applyBorder="1" applyFont="1" applyNumberFormat="1"/>
    <xf borderId="7" fillId="26" fontId="6" numFmtId="4" xfId="0" applyAlignment="1" applyBorder="1" applyFill="1" applyFont="1" applyNumberFormat="1">
      <alignment horizontal="center"/>
    </xf>
    <xf borderId="0" fillId="5" fontId="3" numFmtId="4" xfId="0" applyAlignment="1" applyFont="1" applyNumberFormat="1">
      <alignment horizontal="center"/>
    </xf>
    <xf borderId="1" fillId="0" fontId="3" numFmtId="4" xfId="0" applyAlignment="1" applyBorder="1" applyFont="1" applyNumberFormat="1">
      <alignment horizontal="center"/>
    </xf>
    <xf borderId="3" fillId="0" fontId="3" numFmtId="4" xfId="0" applyBorder="1" applyFont="1" applyNumberFormat="1"/>
    <xf borderId="3" fillId="0" fontId="3" numFmtId="4" xfId="0" applyAlignment="1" applyBorder="1" applyFont="1" applyNumberFormat="1">
      <alignment horizontal="center"/>
    </xf>
    <xf borderId="4" fillId="5" fontId="3" numFmtId="4" xfId="0" applyAlignment="1" applyBorder="1" applyFont="1" applyNumberFormat="1">
      <alignment horizontal="center"/>
    </xf>
    <xf borderId="33" fillId="26" fontId="6" numFmtId="4" xfId="0" applyAlignment="1" applyBorder="1" applyFont="1" applyNumberFormat="1">
      <alignment horizontal="center"/>
    </xf>
    <xf borderId="19" fillId="0" fontId="23" numFmtId="4" xfId="0" applyBorder="1" applyFont="1" applyNumberFormat="1"/>
    <xf borderId="22" fillId="0" fontId="23" numFmtId="4" xfId="0" applyBorder="1" applyFont="1" applyNumberFormat="1"/>
    <xf borderId="0" fillId="0" fontId="9" numFmtId="0" xfId="0" applyFont="1"/>
    <xf borderId="0" fillId="0" fontId="23" numFmtId="0" xfId="0" applyFont="1"/>
    <xf borderId="20" fillId="27" fontId="9" numFmtId="0" xfId="0" applyBorder="1" applyFill="1" applyFont="1"/>
    <xf borderId="0" fillId="0" fontId="23" numFmtId="0" xfId="0" applyAlignment="1" applyFont="1">
      <alignment horizontal="center" shrinkToFit="0" wrapText="1"/>
    </xf>
    <xf borderId="0" fillId="0" fontId="23" numFmtId="0" xfId="0" applyAlignment="1" applyFont="1">
      <alignment horizontal="right"/>
    </xf>
    <xf borderId="101" fillId="0" fontId="32" numFmtId="0" xfId="0" applyAlignment="1" applyBorder="1" applyFont="1">
      <alignment horizontal="center"/>
    </xf>
    <xf borderId="102" fillId="0" fontId="32" numFmtId="0" xfId="0" applyAlignment="1" applyBorder="1" applyFont="1">
      <alignment horizontal="center"/>
    </xf>
    <xf borderId="103" fillId="0" fontId="32" numFmtId="0" xfId="0" applyAlignment="1" applyBorder="1" applyFont="1">
      <alignment horizontal="center"/>
    </xf>
    <xf borderId="104" fillId="0" fontId="32" numFmtId="0" xfId="0" applyAlignment="1" applyBorder="1" applyFont="1">
      <alignment horizontal="center"/>
    </xf>
    <xf borderId="105" fillId="0" fontId="8" numFmtId="0" xfId="0" applyBorder="1" applyFont="1"/>
    <xf borderId="69" fillId="0" fontId="32" numFmtId="0" xfId="0" applyAlignment="1" applyBorder="1" applyFont="1">
      <alignment horizontal="center"/>
    </xf>
    <xf borderId="69" fillId="0" fontId="8" numFmtId="0" xfId="0" applyBorder="1" applyFont="1"/>
    <xf borderId="0" fillId="0" fontId="32" numFmtId="0" xfId="0" applyAlignment="1" applyFont="1">
      <alignment horizontal="center"/>
    </xf>
    <xf borderId="0" fillId="0" fontId="32" numFmtId="0" xfId="0" applyFont="1"/>
    <xf borderId="13" fillId="28" fontId="33" numFmtId="0" xfId="0" applyAlignment="1" applyBorder="1" applyFill="1" applyFont="1">
      <alignment horizontal="center"/>
    </xf>
    <xf borderId="70" fillId="28" fontId="33" numFmtId="0" xfId="0" applyAlignment="1" applyBorder="1" applyFont="1">
      <alignment horizontal="center"/>
    </xf>
    <xf borderId="46" fillId="28" fontId="33" numFmtId="0" xfId="0" applyAlignment="1" applyBorder="1" applyFont="1">
      <alignment horizontal="center"/>
    </xf>
    <xf borderId="20" fillId="0" fontId="34" numFmtId="0" xfId="0" applyBorder="1" applyFont="1"/>
    <xf borderId="13" fillId="0" fontId="32" numFmtId="168" xfId="0" applyAlignment="1" applyBorder="1" applyFont="1" applyNumberFormat="1">
      <alignment horizontal="right"/>
    </xf>
    <xf borderId="20" fillId="13" fontId="33" numFmtId="168" xfId="0" applyAlignment="1" applyBorder="1" applyFont="1" applyNumberFormat="1">
      <alignment horizontal="right"/>
    </xf>
    <xf borderId="70" fillId="0" fontId="32" numFmtId="2" xfId="0" applyAlignment="1" applyBorder="1" applyFont="1" applyNumberFormat="1">
      <alignment horizontal="right"/>
    </xf>
    <xf borderId="46" fillId="0" fontId="32" numFmtId="0" xfId="0" applyBorder="1" applyFont="1"/>
    <xf borderId="70" fillId="0" fontId="32" numFmtId="168" xfId="0" applyAlignment="1" applyBorder="1" applyFont="1" applyNumberFormat="1">
      <alignment horizontal="right"/>
    </xf>
    <xf borderId="0" fillId="0" fontId="32" numFmtId="168" xfId="0" applyAlignment="1" applyFont="1" applyNumberFormat="1">
      <alignment horizontal="right"/>
    </xf>
    <xf borderId="0" fillId="0" fontId="32" numFmtId="0" xfId="0" applyAlignment="1" applyFont="1">
      <alignment horizontal="right"/>
    </xf>
    <xf borderId="102" fillId="13" fontId="32" numFmtId="2" xfId="0" applyBorder="1" applyFont="1" applyNumberFormat="1"/>
    <xf borderId="102" fillId="6" fontId="32" numFmtId="2" xfId="0" applyBorder="1" applyFont="1" applyNumberFormat="1"/>
    <xf borderId="0" fillId="29" fontId="23" numFmtId="0" xfId="0" applyFill="1" applyFont="1"/>
    <xf borderId="70" fillId="0" fontId="32" numFmtId="0" xfId="0" applyBorder="1" applyFont="1"/>
    <xf borderId="70" fillId="0" fontId="35" numFmtId="0" xfId="0" applyBorder="1" applyFont="1"/>
    <xf borderId="102" fillId="0" fontId="32" numFmtId="168" xfId="0" applyAlignment="1" applyBorder="1" applyFont="1" applyNumberFormat="1">
      <alignment horizontal="right"/>
    </xf>
    <xf borderId="102" fillId="0" fontId="32" numFmtId="0" xfId="0" applyBorder="1" applyFont="1"/>
    <xf borderId="0" fillId="0" fontId="36" numFmtId="0" xfId="0" applyAlignment="1" applyFont="1">
      <alignment horizontal="right"/>
    </xf>
    <xf borderId="102" fillId="29" fontId="23" numFmtId="0" xfId="0" applyBorder="1" applyFont="1"/>
    <xf borderId="102" fillId="0" fontId="23" numFmtId="0" xfId="0" applyBorder="1" applyFont="1"/>
    <xf borderId="20" fillId="0" fontId="37" numFmtId="2" xfId="0" applyBorder="1" applyFont="1" applyNumberFormat="1"/>
    <xf borderId="0" fillId="13" fontId="32" numFmtId="2" xfId="0" applyFont="1" applyNumberFormat="1"/>
    <xf borderId="70" fillId="0" fontId="38" numFmtId="0" xfId="0" applyBorder="1" applyFont="1"/>
    <xf borderId="102" fillId="0" fontId="39" numFmtId="0" xfId="0" applyBorder="1" applyFont="1"/>
    <xf borderId="0" fillId="0" fontId="40" numFmtId="0" xfId="0" applyAlignment="1" applyFont="1">
      <alignment horizontal="right"/>
    </xf>
    <xf borderId="0" fillId="4" fontId="23" numFmtId="0" xfId="0" applyFont="1"/>
    <xf borderId="102" fillId="4" fontId="32" numFmtId="2" xfId="0" applyBorder="1" applyFont="1" applyNumberFormat="1"/>
    <xf borderId="0" fillId="4" fontId="32" numFmtId="2" xfId="0" applyFont="1" applyNumberFormat="1"/>
    <xf borderId="7" fillId="24" fontId="41" numFmtId="0" xfId="0" applyBorder="1" applyFont="1"/>
    <xf borderId="46" fillId="0" fontId="42" numFmtId="0" xfId="0" applyBorder="1" applyFont="1"/>
    <xf borderId="7" fillId="16" fontId="43" numFmtId="0" xfId="0" applyBorder="1" applyFont="1"/>
    <xf borderId="7" fillId="30" fontId="44" numFmtId="0" xfId="0" applyBorder="1" applyFill="1" applyFont="1"/>
    <xf borderId="70" fillId="0" fontId="32" numFmtId="0" xfId="0" applyAlignment="1" applyBorder="1" applyFont="1">
      <alignment vertical="center"/>
    </xf>
    <xf borderId="70" fillId="0" fontId="45" numFmtId="0" xfId="0" applyAlignment="1" applyBorder="1" applyFont="1">
      <alignment vertical="center"/>
    </xf>
    <xf borderId="69" fillId="0" fontId="46" numFmtId="0" xfId="0" applyAlignment="1" applyBorder="1" applyFont="1">
      <alignment vertical="center"/>
    </xf>
    <xf borderId="20" fillId="0" fontId="47" numFmtId="0" xfId="0" applyAlignment="1" applyBorder="1" applyFont="1">
      <alignment vertical="center"/>
    </xf>
    <xf borderId="13" fillId="0" fontId="32" numFmtId="168" xfId="0" applyAlignment="1" applyBorder="1" applyFont="1" applyNumberFormat="1">
      <alignment horizontal="right" vertical="center"/>
    </xf>
    <xf borderId="20" fillId="13" fontId="33" numFmtId="168" xfId="0" applyAlignment="1" applyBorder="1" applyFont="1" applyNumberFormat="1">
      <alignment horizontal="right" vertical="center"/>
    </xf>
    <xf borderId="70" fillId="0" fontId="32" numFmtId="2" xfId="0" applyAlignment="1" applyBorder="1" applyFont="1" applyNumberFormat="1">
      <alignment horizontal="right" vertical="center"/>
    </xf>
    <xf borderId="46" fillId="0" fontId="32" numFmtId="0" xfId="0" applyAlignment="1" applyBorder="1" applyFont="1">
      <alignment vertical="center"/>
    </xf>
    <xf borderId="70" fillId="0" fontId="32" numFmtId="168" xfId="0" applyAlignment="1" applyBorder="1" applyFont="1" applyNumberFormat="1">
      <alignment horizontal="right" vertical="center"/>
    </xf>
    <xf borderId="0" fillId="0" fontId="32" numFmtId="168" xfId="0" applyAlignment="1" applyFont="1" applyNumberFormat="1">
      <alignment horizontal="right" vertical="center"/>
    </xf>
    <xf borderId="0" fillId="0" fontId="32" numFmtId="0" xfId="0" applyAlignment="1" applyFont="1">
      <alignment vertical="center"/>
    </xf>
    <xf borderId="0" fillId="0" fontId="48" numFmtId="0" xfId="0" applyAlignment="1" applyFont="1">
      <alignment horizontal="right" vertical="center"/>
    </xf>
    <xf borderId="0" fillId="4" fontId="23" numFmtId="0" xfId="0" applyAlignment="1" applyFont="1">
      <alignment vertical="center"/>
    </xf>
    <xf borderId="102" fillId="4" fontId="32" numFmtId="2" xfId="0" applyAlignment="1" applyBorder="1" applyFont="1" applyNumberFormat="1">
      <alignment vertical="center"/>
    </xf>
    <xf borderId="0" fillId="4" fontId="32" numFmtId="2" xfId="0" applyAlignment="1" applyFont="1" applyNumberFormat="1">
      <alignment vertical="center"/>
    </xf>
    <xf borderId="102" fillId="6" fontId="32" numFmtId="2" xfId="0" applyAlignment="1" applyBorder="1" applyFont="1" applyNumberFormat="1">
      <alignment vertical="center"/>
    </xf>
    <xf borderId="102" fillId="13" fontId="32" numFmtId="2" xfId="0" applyAlignment="1" applyBorder="1" applyFont="1" applyNumberFormat="1">
      <alignment vertical="center"/>
    </xf>
    <xf borderId="0" fillId="29" fontId="23" numFmtId="0" xfId="0" applyAlignment="1" applyFont="1">
      <alignment vertical="center"/>
    </xf>
    <xf borderId="0" fillId="0" fontId="23" numFmtId="0" xfId="0" applyAlignment="1" applyFont="1">
      <alignment vertical="center"/>
    </xf>
    <xf borderId="102" fillId="0" fontId="32" numFmtId="2" xfId="0" applyAlignment="1" applyBorder="1" applyFont="1" applyNumberFormat="1">
      <alignment horizontal="right"/>
    </xf>
    <xf borderId="48" fillId="0" fontId="32" numFmtId="0" xfId="0" applyBorder="1" applyFont="1"/>
    <xf borderId="102" fillId="0" fontId="32" numFmtId="0" xfId="0" applyAlignment="1" applyBorder="1" applyFont="1">
      <alignment vertical="center"/>
    </xf>
    <xf borderId="102" fillId="0" fontId="32" numFmtId="0" xfId="0" applyAlignment="1" applyBorder="1" applyFont="1">
      <alignment horizontal="right"/>
    </xf>
    <xf borderId="40" fillId="0" fontId="32" numFmtId="0" xfId="0" applyBorder="1" applyFont="1"/>
    <xf borderId="70" fillId="0" fontId="33" numFmtId="0" xfId="0" applyBorder="1" applyFont="1"/>
    <xf borderId="70" fillId="13" fontId="33" numFmtId="168" xfId="0" applyAlignment="1" applyBorder="1" applyFont="1" applyNumberFormat="1">
      <alignment horizontal="right"/>
    </xf>
    <xf borderId="46" fillId="13" fontId="33" numFmtId="0" xfId="0" applyBorder="1" applyFont="1"/>
    <xf borderId="20" fillId="27" fontId="9" numFmtId="0" xfId="0" applyAlignment="1" applyBorder="1" applyFont="1">
      <alignment horizontal="center"/>
    </xf>
    <xf borderId="20" fillId="27" fontId="49" numFmtId="0" xfId="0" applyAlignment="1" applyBorder="1" applyFont="1">
      <alignment horizontal="center"/>
    </xf>
    <xf borderId="13" fillId="0" fontId="32" numFmtId="0" xfId="0" applyAlignment="1" applyBorder="1" applyFont="1">
      <alignment horizontal="center"/>
    </xf>
    <xf borderId="20" fillId="0" fontId="32" numFmtId="10" xfId="0" applyAlignment="1" applyBorder="1" applyFont="1" applyNumberFormat="1">
      <alignment horizontal="center"/>
    </xf>
    <xf borderId="0" fillId="0" fontId="32" numFmtId="10" xfId="0" applyAlignment="1" applyFont="1" applyNumberFormat="1">
      <alignment horizontal="center"/>
    </xf>
    <xf borderId="101" fillId="0" fontId="8" numFmtId="0" xfId="0" applyBorder="1" applyFont="1"/>
    <xf borderId="106" fillId="0" fontId="32" numFmtId="0" xfId="0" applyAlignment="1" applyBorder="1" applyFont="1">
      <alignment horizontal="left" vertical="center"/>
    </xf>
    <xf borderId="0" fillId="0" fontId="50" numFmtId="0" xfId="0" applyFont="1"/>
    <xf borderId="106" fillId="0" fontId="8" numFmtId="0" xfId="0" applyBorder="1" applyFont="1"/>
    <xf borderId="0" fillId="29" fontId="32" numFmtId="0" xfId="0" applyFont="1"/>
    <xf borderId="69" fillId="0" fontId="32" numFmtId="0" xfId="0" applyBorder="1" applyFont="1"/>
    <xf borderId="30" fillId="0" fontId="32" numFmtId="0" xfId="0" applyBorder="1" applyFont="1"/>
    <xf borderId="69" fillId="0" fontId="23" numFmtId="0" xfId="0" applyBorder="1" applyFont="1"/>
    <xf borderId="79" fillId="0" fontId="8" numFmtId="0" xfId="0" applyBorder="1" applyFont="1"/>
    <xf borderId="70" fillId="13" fontId="33" numFmtId="0" xfId="0" applyBorder="1" applyFont="1"/>
    <xf borderId="99" fillId="0" fontId="32" numFmtId="0" xfId="0" applyBorder="1" applyFont="1"/>
    <xf borderId="48" fillId="0" fontId="23" numFmtId="0" xfId="0" applyBorder="1" applyFont="1"/>
    <xf borderId="106" fillId="0" fontId="32" numFmtId="0" xfId="0" applyBorder="1" applyFont="1"/>
    <xf borderId="0" fillId="0" fontId="32" numFmtId="1" xfId="0" applyAlignment="1" applyFont="1" applyNumberFormat="1">
      <alignment horizontal="right"/>
    </xf>
    <xf borderId="0" fillId="0" fontId="32" numFmtId="0" xfId="0" applyAlignment="1" applyFont="1">
      <alignment shrinkToFit="0" wrapText="1"/>
    </xf>
    <xf borderId="40" fillId="0" fontId="8" numFmtId="0" xfId="0" applyBorder="1" applyFont="1"/>
    <xf borderId="79" fillId="0" fontId="32" numFmtId="0" xfId="0" applyBorder="1" applyFont="1"/>
    <xf borderId="30" fillId="0" fontId="8" numFmtId="0" xfId="0" applyBorder="1" applyFont="1"/>
    <xf borderId="0" fillId="0" fontId="32" numFmtId="168" xfId="0" applyFont="1" applyNumberFormat="1"/>
    <xf borderId="107" fillId="0" fontId="32" numFmtId="0" xfId="0" applyBorder="1" applyFont="1"/>
    <xf borderId="107" fillId="0" fontId="23" numFmtId="0" xfId="0" applyBorder="1" applyFont="1"/>
    <xf borderId="0" fillId="0" fontId="31" numFmtId="0" xfId="0" applyFont="1"/>
    <xf borderId="20" fillId="0" fontId="21" numFmtId="0" xfId="0" applyAlignment="1" applyBorder="1" applyFont="1">
      <alignment horizontal="center"/>
    </xf>
    <xf borderId="106" fillId="0" fontId="23" numFmtId="0" xfId="0" applyBorder="1" applyFont="1"/>
    <xf borderId="40" fillId="0" fontId="23" numFmtId="0" xfId="0" applyBorder="1" applyFont="1"/>
    <xf borderId="20" fillId="29" fontId="23" numFmtId="0" xfId="0" applyBorder="1" applyFont="1"/>
    <xf borderId="20" fillId="0" fontId="23" numFmtId="0" xfId="0" applyBorder="1" applyFont="1"/>
    <xf borderId="70" fillId="0" fontId="23" numFmtId="0" xfId="0" applyBorder="1" applyFont="1"/>
    <xf borderId="46" fillId="0" fontId="23" numFmtId="0" xfId="0" applyBorder="1" applyFont="1"/>
    <xf borderId="20" fillId="0" fontId="23" numFmtId="0" xfId="0" applyAlignment="1" applyBorder="1" applyFont="1">
      <alignment horizontal="right"/>
    </xf>
    <xf borderId="108" fillId="0" fontId="23" numFmtId="0" xfId="0" applyBorder="1" applyFont="1"/>
    <xf borderId="109" fillId="0" fontId="23" numFmtId="0" xfId="0" applyBorder="1" applyFont="1"/>
    <xf borderId="110" fillId="0" fontId="23" numFmtId="0" xfId="0" applyBorder="1" applyFont="1"/>
    <xf borderId="0" fillId="0" fontId="23" numFmtId="0" xfId="0" applyAlignment="1" applyFont="1">
      <alignment horizontal="center"/>
    </xf>
    <xf borderId="111" fillId="0" fontId="23" numFmtId="0" xfId="0" applyBorder="1" applyFont="1"/>
    <xf borderId="112" fillId="0" fontId="23" numFmtId="0" xfId="0" applyBorder="1" applyFont="1"/>
    <xf borderId="111" fillId="0" fontId="31" numFmtId="0" xfId="0" applyBorder="1" applyFont="1"/>
    <xf borderId="112" fillId="0" fontId="31" numFmtId="0" xfId="0" applyBorder="1" applyFont="1"/>
    <xf borderId="0" fillId="0" fontId="23" numFmtId="10" xfId="0" applyFont="1" applyNumberFormat="1"/>
    <xf borderId="0" fillId="0" fontId="51" numFmtId="0" xfId="0" applyFont="1"/>
    <xf borderId="113" fillId="0" fontId="23" numFmtId="0" xfId="0" applyBorder="1" applyFont="1"/>
    <xf borderId="114" fillId="0" fontId="23" numFmtId="0" xfId="0" applyBorder="1" applyFont="1"/>
    <xf borderId="115" fillId="0" fontId="23" numFmtId="0" xfId="0" applyBorder="1" applyFont="1"/>
    <xf borderId="79" fillId="0" fontId="23" numFmtId="0" xfId="0" applyBorder="1" applyFont="1"/>
    <xf borderId="30" fillId="0" fontId="23" numFmtId="0" xfId="0" applyBorder="1" applyFont="1"/>
    <xf borderId="16" fillId="0" fontId="23" numFmtId="0" xfId="0" applyBorder="1" applyFont="1"/>
    <xf borderId="0" fillId="0" fontId="52" numFmtId="0" xfId="0" applyFont="1"/>
    <xf borderId="31" fillId="0" fontId="8" numFmtId="0" xfId="0" applyBorder="1" applyFont="1"/>
    <xf borderId="99" fillId="0" fontId="23" numFmtId="0" xfId="0" applyBorder="1" applyFont="1"/>
    <xf borderId="102" fillId="0" fontId="23" numFmtId="0" xfId="0" applyAlignment="1" applyBorder="1" applyFont="1">
      <alignment shrinkToFit="0" vertical="center" wrapText="1"/>
    </xf>
    <xf borderId="102" fillId="0" fontId="8" numFmtId="0" xfId="0" applyBorder="1" applyFont="1"/>
    <xf borderId="48" fillId="0" fontId="8" numFmtId="0" xfId="0" applyBorder="1" applyFont="1"/>
    <xf borderId="0" fillId="0" fontId="53" numFmtId="0" xfId="0" applyAlignment="1" applyFont="1">
      <alignment horizontal="center"/>
    </xf>
    <xf borderId="0" fillId="0" fontId="53" numFmtId="0" xfId="0" applyFont="1"/>
    <xf borderId="0" fillId="0" fontId="23" numFmtId="169" xfId="0" applyFont="1" applyNumberFormat="1"/>
    <xf borderId="33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67" fillId="31" fontId="6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20" fillId="3" fontId="6" numFmtId="0" xfId="0" applyAlignment="1" applyBorder="1" applyFont="1">
      <alignment horizontal="center" shrinkToFit="0" vertical="center" wrapText="1"/>
    </xf>
    <xf borderId="0" fillId="11" fontId="23" numFmtId="0" xfId="0" applyAlignment="1" applyFont="1">
      <alignment horizontal="center"/>
    </xf>
    <xf borderId="65" fillId="0" fontId="3" numFmtId="0" xfId="0" applyAlignment="1" applyBorder="1" applyFont="1">
      <alignment horizontal="center"/>
    </xf>
    <xf borderId="35" fillId="11" fontId="3" numFmtId="0" xfId="0" applyAlignment="1" applyBorder="1" applyFont="1">
      <alignment horizontal="center"/>
    </xf>
    <xf borderId="66" fillId="0" fontId="3" numFmtId="0" xfId="0" applyAlignment="1" applyBorder="1" applyFont="1">
      <alignment horizontal="center"/>
    </xf>
    <xf borderId="66" fillId="0" fontId="3" numFmtId="2" xfId="0" applyAlignment="1" applyBorder="1" applyFont="1" applyNumberFormat="1">
      <alignment horizontal="center"/>
    </xf>
    <xf borderId="66" fillId="0" fontId="3" numFmtId="9" xfId="0" applyAlignment="1" applyBorder="1" applyFont="1" applyNumberFormat="1">
      <alignment horizontal="center"/>
    </xf>
    <xf borderId="66" fillId="0" fontId="3" numFmtId="0" xfId="0" applyBorder="1" applyFont="1"/>
    <xf borderId="67" fillId="0" fontId="3" numFmtId="2" xfId="0" applyBorder="1" applyFont="1" applyNumberFormat="1"/>
    <xf borderId="20" fillId="0" fontId="23" numFmtId="2" xfId="0" applyBorder="1" applyFont="1" applyNumberFormat="1"/>
    <xf borderId="20" fillId="0" fontId="3" numFmtId="2" xfId="0" applyBorder="1" applyFont="1" applyNumberFormat="1"/>
    <xf borderId="20" fillId="3" fontId="54" numFmtId="0" xfId="0" applyBorder="1" applyFont="1"/>
    <xf borderId="0" fillId="11" fontId="23" numFmtId="0" xfId="0" applyFont="1"/>
    <xf borderId="0" fillId="32" fontId="3" numFmtId="0" xfId="0" applyFill="1" applyFont="1"/>
    <xf borderId="19" fillId="0" fontId="3" numFmtId="0" xfId="0" applyAlignment="1" applyBorder="1" applyFont="1">
      <alignment horizontal="center"/>
    </xf>
    <xf borderId="20" fillId="0" fontId="3" numFmtId="0" xfId="0" applyBorder="1" applyFont="1"/>
    <xf borderId="20" fillId="0" fontId="3" numFmtId="2" xfId="0" applyAlignment="1" applyBorder="1" applyFont="1" applyNumberFormat="1">
      <alignment horizontal="center"/>
    </xf>
    <xf borderId="20" fillId="0" fontId="3" numFmtId="9" xfId="0" applyAlignment="1" applyBorder="1" applyFont="1" applyNumberFormat="1">
      <alignment horizontal="center"/>
    </xf>
    <xf borderId="20" fillId="31" fontId="3" numFmtId="2" xfId="0" applyAlignment="1" applyBorder="1" applyFont="1" applyNumberFormat="1">
      <alignment horizontal="center"/>
    </xf>
    <xf borderId="21" fillId="0" fontId="3" numFmtId="2" xfId="0" applyBorder="1" applyFont="1" applyNumberFormat="1"/>
    <xf borderId="0" fillId="0" fontId="28" numFmtId="0" xfId="0" applyAlignment="1" applyFont="1">
      <alignment horizontal="center"/>
    </xf>
    <xf borderId="26" fillId="0" fontId="3" numFmtId="0" xfId="0" applyAlignment="1" applyBorder="1" applyFont="1">
      <alignment horizontal="center"/>
    </xf>
    <xf borderId="27" fillId="0" fontId="3" numFmtId="0" xfId="0" applyBorder="1" applyFont="1"/>
    <xf borderId="27" fillId="4" fontId="3" numFmtId="2" xfId="0" applyAlignment="1" applyBorder="1" applyFont="1" applyNumberFormat="1">
      <alignment horizontal="center"/>
    </xf>
    <xf borderId="23" fillId="4" fontId="3" numFmtId="9" xfId="0" applyAlignment="1" applyBorder="1" applyFont="1" applyNumberFormat="1">
      <alignment horizontal="center"/>
    </xf>
    <xf borderId="23" fillId="4" fontId="3" numFmtId="2" xfId="0" applyAlignment="1" applyBorder="1" applyFont="1" applyNumberFormat="1">
      <alignment horizontal="center"/>
    </xf>
    <xf borderId="20" fillId="4" fontId="3" numFmtId="2" xfId="0" applyBorder="1" applyFont="1" applyNumberFormat="1"/>
    <xf borderId="27" fillId="31" fontId="3" numFmtId="2" xfId="0" applyAlignment="1" applyBorder="1" applyFont="1" applyNumberFormat="1">
      <alignment horizontal="center"/>
    </xf>
    <xf borderId="21" fillId="4" fontId="3" numFmtId="2" xfId="0" applyBorder="1" applyFont="1" applyNumberFormat="1"/>
    <xf borderId="0" fillId="4" fontId="55" numFmtId="0" xfId="0" applyAlignment="1" applyFont="1">
      <alignment horizontal="left"/>
    </xf>
    <xf borderId="0" fillId="0" fontId="56" numFmtId="0" xfId="0" applyAlignment="1" applyFont="1">
      <alignment horizontal="center"/>
    </xf>
    <xf borderId="0" fillId="6" fontId="6" numFmtId="0" xfId="0" applyAlignment="1" applyFont="1">
      <alignment horizontal="center"/>
    </xf>
    <xf borderId="35" fillId="3" fontId="3" numFmtId="0" xfId="0" applyAlignment="1" applyBorder="1" applyFont="1">
      <alignment horizontal="center" vertical="center"/>
    </xf>
    <xf borderId="66" fillId="3" fontId="3" numFmtId="0" xfId="0" applyAlignment="1" applyBorder="1" applyFont="1">
      <alignment horizontal="center" vertical="center"/>
    </xf>
    <xf borderId="66" fillId="3" fontId="3" numFmtId="2" xfId="0" applyAlignment="1" applyBorder="1" applyFont="1" applyNumberFormat="1">
      <alignment horizontal="center" vertical="center"/>
    </xf>
    <xf borderId="67" fillId="3" fontId="6" numFmtId="2" xfId="0" applyAlignment="1" applyBorder="1" applyFont="1" applyNumberFormat="1">
      <alignment horizontal="center" shrinkToFit="0" vertical="center" wrapText="1"/>
    </xf>
    <xf borderId="0" fillId="11" fontId="23" numFmtId="0" xfId="0" applyAlignment="1" applyFont="1">
      <alignment horizontal="center" shrinkToFit="0" vertical="center" wrapText="1"/>
    </xf>
    <xf borderId="0" fillId="32" fontId="23" numFmtId="0" xfId="0" applyAlignment="1" applyFont="1">
      <alignment horizontal="center" shrinkToFit="0" vertical="center" wrapText="1"/>
    </xf>
    <xf borderId="58" fillId="0" fontId="3" numFmtId="0" xfId="0" applyAlignment="1" applyBorder="1" applyFont="1">
      <alignment horizontal="center"/>
    </xf>
    <xf borderId="11" fillId="0" fontId="3" numFmtId="0" xfId="0" applyBorder="1" applyFont="1"/>
    <xf borderId="11" fillId="17" fontId="3" numFmtId="166" xfId="0" applyAlignment="1" applyBorder="1" applyFont="1" applyNumberFormat="1">
      <alignment horizontal="center"/>
    </xf>
    <xf borderId="11" fillId="0" fontId="3" numFmtId="9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11" fillId="0" fontId="3" numFmtId="2" xfId="0" applyAlignment="1" applyBorder="1" applyFont="1" applyNumberFormat="1">
      <alignment horizontal="center"/>
    </xf>
    <xf borderId="11" fillId="0" fontId="6" numFmtId="169" xfId="0" applyAlignment="1" applyBorder="1" applyFont="1" applyNumberFormat="1">
      <alignment horizontal="center"/>
    </xf>
    <xf borderId="0" fillId="31" fontId="23" numFmtId="2" xfId="0" applyFont="1" applyNumberFormat="1"/>
    <xf borderId="20" fillId="0" fontId="57" numFmtId="0" xfId="0" applyBorder="1" applyFont="1"/>
    <xf borderId="9" fillId="0" fontId="3" numFmtId="0" xfId="0" applyAlignment="1" applyBorder="1" applyFont="1">
      <alignment horizontal="center"/>
    </xf>
    <xf borderId="23" fillId="0" fontId="3" numFmtId="0" xfId="0" applyBorder="1" applyFont="1"/>
    <xf borderId="11" fillId="6" fontId="3" numFmtId="2" xfId="0" applyAlignment="1" applyBorder="1" applyFont="1" applyNumberFormat="1">
      <alignment horizontal="center"/>
    </xf>
    <xf borderId="7" fillId="0" fontId="12" numFmtId="0" xfId="0" applyAlignment="1" applyBorder="1" applyFont="1">
      <alignment horizontal="center"/>
    </xf>
    <xf borderId="58" fillId="0" fontId="12" numFmtId="0" xfId="0" applyBorder="1" applyFont="1"/>
    <xf borderId="22" fillId="0" fontId="3" numFmtId="0" xfId="0" applyAlignment="1" applyBorder="1" applyFont="1">
      <alignment horizontal="center"/>
    </xf>
    <xf borderId="23" fillId="0" fontId="3" numFmtId="9" xfId="0" applyAlignment="1" applyBorder="1" applyFont="1" applyNumberFormat="1">
      <alignment horizontal="center"/>
    </xf>
    <xf borderId="23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3" fillId="0" fontId="6" numFmtId="169" xfId="0" applyAlignment="1" applyBorder="1" applyFont="1" applyNumberFormat="1">
      <alignment horizontal="center"/>
    </xf>
    <xf borderId="19" fillId="0" fontId="12" numFmtId="0" xfId="0" applyAlignment="1" applyBorder="1" applyFont="1">
      <alignment horizontal="center"/>
    </xf>
    <xf borderId="46" fillId="0" fontId="12" numFmtId="0" xfId="0" applyBorder="1" applyFont="1"/>
    <xf borderId="22" fillId="0" fontId="12" numFmtId="0" xfId="0" applyAlignment="1" applyBorder="1" applyFont="1">
      <alignment horizontal="center"/>
    </xf>
    <xf borderId="54" fillId="0" fontId="12" numFmtId="0" xfId="0" applyBorder="1" applyFont="1"/>
    <xf borderId="20" fillId="6" fontId="3" numFmtId="2" xfId="0" applyAlignment="1" applyBorder="1" applyFont="1" applyNumberFormat="1">
      <alignment horizontal="center"/>
    </xf>
    <xf borderId="31" fillId="0" fontId="3" numFmtId="0" xfId="0" applyBorder="1" applyFont="1"/>
    <xf borderId="31" fillId="6" fontId="3" numFmtId="2" xfId="0" applyAlignment="1" applyBorder="1" applyFont="1" applyNumberFormat="1">
      <alignment horizontal="center"/>
    </xf>
    <xf borderId="31" fillId="0" fontId="3" numFmtId="0" xfId="0" applyAlignment="1" applyBorder="1" applyFont="1">
      <alignment horizontal="center"/>
    </xf>
    <xf borderId="31" fillId="0" fontId="3" numFmtId="2" xfId="0" applyAlignment="1" applyBorder="1" applyFont="1" applyNumberFormat="1">
      <alignment horizontal="center"/>
    </xf>
    <xf borderId="31" fillId="0" fontId="6" numFmtId="169" xfId="0" applyAlignment="1" applyBorder="1" applyFont="1" applyNumberFormat="1">
      <alignment horizontal="center"/>
    </xf>
    <xf borderId="27" fillId="0" fontId="3" numFmtId="9" xfId="0" applyAlignment="1" applyBorder="1" applyFont="1" applyNumberFormat="1">
      <alignment horizontal="center"/>
    </xf>
    <xf borderId="52" fillId="0" fontId="3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27" fillId="0" fontId="3" numFmtId="2" xfId="0" applyAlignment="1" applyBorder="1" applyFont="1" applyNumberFormat="1">
      <alignment horizontal="center"/>
    </xf>
    <xf borderId="27" fillId="0" fontId="6" numFmtId="169" xfId="0" applyAlignment="1" applyBorder="1" applyFont="1" applyNumberFormat="1">
      <alignment horizontal="center"/>
    </xf>
    <xf borderId="0" fillId="0" fontId="27" numFmtId="0" xfId="0" applyFont="1"/>
    <xf borderId="58" fillId="0" fontId="12" numFmtId="0" xfId="0" applyAlignment="1" applyBorder="1" applyFont="1">
      <alignment horizontal="center"/>
    </xf>
    <xf borderId="27" fillId="0" fontId="12" numFmtId="0" xfId="0" applyBorder="1" applyFont="1"/>
    <xf borderId="31" fillId="0" fontId="12" numFmtId="2" xfId="0" applyAlignment="1" applyBorder="1" applyFont="1" applyNumberFormat="1">
      <alignment horizontal="center"/>
    </xf>
    <xf borderId="31" fillId="0" fontId="12" numFmtId="0" xfId="0" applyAlignment="1" applyBorder="1" applyFont="1">
      <alignment horizontal="center"/>
    </xf>
    <xf borderId="31" fillId="33" fontId="3" numFmtId="2" xfId="0" applyAlignment="1" applyBorder="1" applyFill="1" applyFont="1" applyNumberFormat="1">
      <alignment horizontal="center"/>
    </xf>
    <xf borderId="31" fillId="5" fontId="14" numFmtId="2" xfId="0" applyAlignment="1" applyBorder="1" applyFont="1" applyNumberFormat="1">
      <alignment horizontal="center"/>
    </xf>
    <xf borderId="0" fillId="34" fontId="12" numFmtId="0" xfId="0" applyAlignment="1" applyFill="1" applyFont="1">
      <alignment horizontal="left"/>
    </xf>
    <xf borderId="20" fillId="0" fontId="27" numFmtId="0" xfId="0" applyBorder="1" applyFont="1"/>
    <xf borderId="0" fillId="11" fontId="27" numFmtId="0" xfId="0" applyFont="1"/>
    <xf borderId="0" fillId="0" fontId="3" numFmtId="9" xfId="0" applyAlignment="1" applyFont="1" applyNumberFormat="1">
      <alignment horizontal="center"/>
    </xf>
    <xf borderId="0" fillId="0" fontId="23" numFmtId="2" xfId="0" applyFont="1" applyNumberFormat="1"/>
    <xf borderId="1" fillId="0" fontId="3" numFmtId="0" xfId="0" applyAlignment="1" applyBorder="1" applyFont="1">
      <alignment horizontal="center"/>
    </xf>
    <xf borderId="2" fillId="0" fontId="3" numFmtId="0" xfId="0" applyBorder="1" applyFont="1"/>
    <xf borderId="3" fillId="0" fontId="12" numFmtId="0" xfId="0" applyAlignment="1" applyBorder="1" applyFont="1">
      <alignment horizontal="center"/>
    </xf>
    <xf borderId="3" fillId="0" fontId="3" numFmtId="9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2" xfId="0" applyAlignment="1" applyBorder="1" applyFont="1" applyNumberFormat="1">
      <alignment horizontal="center"/>
    </xf>
    <xf borderId="3" fillId="0" fontId="3" numFmtId="2" xfId="0" applyBorder="1" applyFont="1" applyNumberFormat="1"/>
    <xf borderId="4" fillId="5" fontId="6" numFmtId="2" xfId="0" applyAlignment="1" applyBorder="1" applyFont="1" applyNumberFormat="1">
      <alignment horizontal="center"/>
    </xf>
    <xf borderId="29" fillId="0" fontId="3" numFmtId="2" xfId="0" applyBorder="1" applyFont="1" applyNumberFormat="1"/>
    <xf borderId="20" fillId="0" fontId="3" numFmtId="0" xfId="0" applyAlignment="1" applyBorder="1" applyFont="1">
      <alignment horizontal="center"/>
    </xf>
    <xf borderId="20" fillId="4" fontId="3" numFmtId="0" xfId="0" applyAlignment="1" applyBorder="1" applyFont="1">
      <alignment horizontal="center"/>
    </xf>
    <xf borderId="20" fillId="11" fontId="6" numFmtId="2" xfId="0" applyAlignment="1" applyBorder="1" applyFont="1" applyNumberFormat="1">
      <alignment horizontal="center"/>
    </xf>
    <xf borderId="13" fillId="0" fontId="23" numFmtId="0" xfId="0" applyBorder="1" applyFont="1"/>
    <xf borderId="46" fillId="0" fontId="8" numFmtId="0" xfId="0" applyBorder="1" applyFont="1"/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6" fillId="0" fontId="3" numFmtId="2" xfId="0" applyAlignment="1" applyBorder="1" applyFont="1" applyNumberFormat="1">
      <alignment horizontal="center"/>
    </xf>
    <xf borderId="0" fillId="0" fontId="23" numFmtId="0" xfId="0" applyAlignment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3" fillId="3" fontId="3" numFmtId="2" xfId="0" applyAlignment="1" applyBorder="1" applyFont="1" applyNumberFormat="1">
      <alignment horizontal="center" shrinkToFit="0" vertical="center" wrapText="1"/>
    </xf>
    <xf borderId="4" fillId="3" fontId="3" numFmtId="2" xfId="0" applyAlignment="1" applyBorder="1" applyFont="1" applyNumberFormat="1">
      <alignment horizontal="center" vertical="center"/>
    </xf>
    <xf borderId="4" fillId="3" fontId="6" numFmtId="2" xfId="0" applyAlignment="1" applyBorder="1" applyFont="1" applyNumberFormat="1">
      <alignment horizontal="center" shrinkToFit="0" vertical="center" wrapText="1"/>
    </xf>
    <xf borderId="0" fillId="31" fontId="23" numFmtId="2" xfId="0" applyAlignment="1" applyFont="1" applyNumberFormat="1">
      <alignment horizontal="center" vertical="center"/>
    </xf>
    <xf borderId="20" fillId="0" fontId="23" numFmtId="0" xfId="0" applyAlignment="1" applyBorder="1" applyFont="1">
      <alignment horizontal="center" vertical="center"/>
    </xf>
    <xf borderId="20" fillId="0" fontId="23" numFmtId="169" xfId="0" applyAlignment="1" applyBorder="1" applyFont="1" applyNumberFormat="1">
      <alignment horizontal="center" vertical="center"/>
    </xf>
    <xf borderId="20" fillId="6" fontId="23" numFmtId="0" xfId="0" applyAlignment="1" applyBorder="1" applyFont="1">
      <alignment horizontal="center" vertical="center"/>
    </xf>
    <xf borderId="0" fillId="0" fontId="58" numFmtId="0" xfId="0" applyAlignment="1" applyFont="1">
      <alignment horizontal="center" vertical="center"/>
    </xf>
    <xf borderId="0" fillId="11" fontId="23" numFmtId="0" xfId="0" applyAlignment="1" applyFont="1">
      <alignment horizontal="center" vertical="center"/>
    </xf>
    <xf borderId="16" fillId="0" fontId="3" numFmtId="0" xfId="0" applyAlignment="1" applyBorder="1" applyFont="1">
      <alignment horizontal="center"/>
    </xf>
    <xf borderId="40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7" fillId="0" fontId="3" numFmtId="2" xfId="0" applyAlignment="1" applyBorder="1" applyFont="1" applyNumberFormat="1">
      <alignment horizontal="center"/>
    </xf>
    <xf borderId="67" fillId="0" fontId="6" numFmtId="2" xfId="0" applyAlignment="1" applyBorder="1" applyFont="1" applyNumberFormat="1">
      <alignment horizontal="center"/>
    </xf>
    <xf borderId="20" fillId="0" fontId="3" numFmtId="169" xfId="0" applyBorder="1" applyFont="1" applyNumberFormat="1"/>
    <xf borderId="20" fillId="3" fontId="3" numFmtId="0" xfId="0" applyBorder="1" applyFont="1"/>
    <xf borderId="0" fillId="11" fontId="3" numFmtId="0" xfId="0" applyFont="1"/>
    <xf borderId="10" fillId="6" fontId="3" numFmtId="0" xfId="0" applyBorder="1" applyFont="1"/>
    <xf borderId="11" fillId="6" fontId="3" numFmtId="9" xfId="0" applyAlignment="1" applyBorder="1" applyFont="1" applyNumberFormat="1">
      <alignment horizontal="center"/>
    </xf>
    <xf borderId="11" fillId="6" fontId="3" numFmtId="2" xfId="0" applyBorder="1" applyFont="1" applyNumberFormat="1"/>
    <xf borderId="12" fillId="6" fontId="6" numFmtId="2" xfId="0" applyAlignment="1" applyBorder="1" applyFont="1" applyNumberFormat="1">
      <alignment horizontal="center"/>
    </xf>
    <xf borderId="46" fillId="0" fontId="3" numFmtId="2" xfId="0" applyBorder="1" applyFont="1" applyNumberFormat="1"/>
    <xf borderId="20" fillId="33" fontId="3" numFmtId="2" xfId="0" applyBorder="1" applyFont="1" applyNumberFormat="1"/>
    <xf borderId="0" fillId="0" fontId="59" numFmtId="0" xfId="0" applyFont="1"/>
    <xf borderId="11" fillId="11" fontId="3" numFmtId="2" xfId="0" applyAlignment="1" applyBorder="1" applyFont="1" applyNumberFormat="1">
      <alignment horizontal="center"/>
    </xf>
    <xf borderId="46" fillId="6" fontId="3" numFmtId="0" xfId="0" applyBorder="1" applyFont="1"/>
    <xf borderId="20" fillId="6" fontId="3" numFmtId="9" xfId="0" applyAlignment="1" applyBorder="1" applyFont="1" applyNumberFormat="1">
      <alignment horizontal="center"/>
    </xf>
    <xf borderId="20" fillId="6" fontId="3" numFmtId="2" xfId="0" applyBorder="1" applyFont="1" applyNumberFormat="1"/>
    <xf borderId="73" fillId="6" fontId="6" numFmtId="2" xfId="0" applyAlignment="1" applyBorder="1" applyFont="1" applyNumberFormat="1">
      <alignment horizontal="center"/>
    </xf>
    <xf borderId="20" fillId="11" fontId="3" numFmtId="0" xfId="0" applyAlignment="1" applyBorder="1" applyFont="1">
      <alignment horizontal="center"/>
    </xf>
    <xf borderId="46" fillId="11" fontId="3" numFmtId="0" xfId="0" applyBorder="1" applyFont="1"/>
    <xf borderId="20" fillId="11" fontId="3" numFmtId="2" xfId="0" applyAlignment="1" applyBorder="1" applyFont="1" applyNumberFormat="1">
      <alignment horizontal="center"/>
    </xf>
    <xf borderId="20" fillId="11" fontId="3" numFmtId="9" xfId="0" applyAlignment="1" applyBorder="1" applyFont="1" applyNumberFormat="1">
      <alignment horizontal="center"/>
    </xf>
    <xf borderId="20" fillId="11" fontId="3" numFmtId="2" xfId="0" applyBorder="1" applyFont="1" applyNumberFormat="1"/>
    <xf borderId="73" fillId="11" fontId="6" numFmtId="2" xfId="0" applyAlignment="1" applyBorder="1" applyFont="1" applyNumberFormat="1">
      <alignment horizontal="center"/>
    </xf>
    <xf borderId="46" fillId="32" fontId="3" numFmtId="2" xfId="0" applyBorder="1" applyFont="1" applyNumberFormat="1"/>
    <xf borderId="0" fillId="32" fontId="23" numFmtId="0" xfId="0" applyAlignment="1" applyFont="1">
      <alignment horizontal="center"/>
    </xf>
    <xf borderId="20" fillId="32" fontId="3" numFmtId="0" xfId="0" applyAlignment="1" applyBorder="1" applyFont="1">
      <alignment horizontal="center"/>
    </xf>
    <xf borderId="20" fillId="32" fontId="23" numFmtId="2" xfId="0" applyBorder="1" applyFont="1" applyNumberFormat="1"/>
    <xf borderId="20" fillId="32" fontId="3" numFmtId="2" xfId="0" applyBorder="1" applyFont="1" applyNumberFormat="1"/>
    <xf borderId="0" fillId="32" fontId="23" numFmtId="0" xfId="0" applyFont="1"/>
    <xf borderId="20" fillId="32" fontId="60" numFmtId="0" xfId="0" applyBorder="1" applyFont="1"/>
    <xf borderId="15" fillId="6" fontId="3" numFmtId="0" xfId="0" applyAlignment="1" applyBorder="1" applyFont="1">
      <alignment horizontal="center"/>
    </xf>
    <xf borderId="48" fillId="6" fontId="3" numFmtId="0" xfId="0" applyBorder="1" applyFont="1"/>
    <xf borderId="16" fillId="6" fontId="3" numFmtId="2" xfId="0" applyAlignment="1" applyBorder="1" applyFont="1" applyNumberFormat="1">
      <alignment horizontal="center"/>
    </xf>
    <xf borderId="16" fillId="6" fontId="3" numFmtId="9" xfId="0" applyAlignment="1" applyBorder="1" applyFont="1" applyNumberFormat="1">
      <alignment horizontal="center"/>
    </xf>
    <xf borderId="16" fillId="6" fontId="3" numFmtId="2" xfId="0" applyBorder="1" applyFont="1" applyNumberFormat="1"/>
    <xf borderId="18" fillId="6" fontId="6" numFmtId="2" xfId="0" applyAlignment="1" applyBorder="1" applyFont="1" applyNumberFormat="1">
      <alignment horizontal="center"/>
    </xf>
    <xf borderId="23" fillId="32" fontId="3" numFmtId="0" xfId="0" applyAlignment="1" applyBorder="1" applyFont="1">
      <alignment horizontal="center"/>
    </xf>
    <xf borderId="69" fillId="32" fontId="23" numFmtId="0" xfId="0" applyBorder="1" applyFont="1"/>
    <xf borderId="16" fillId="32" fontId="3" numFmtId="0" xfId="0" applyAlignment="1" applyBorder="1" applyFont="1">
      <alignment horizontal="center"/>
    </xf>
    <xf borderId="0" fillId="15" fontId="23" numFmtId="0" xfId="0" applyFont="1"/>
    <xf borderId="11" fillId="11" fontId="3" numFmtId="0" xfId="0" applyBorder="1" applyFont="1"/>
    <xf borderId="11" fillId="11" fontId="3" numFmtId="9" xfId="0" applyAlignment="1" applyBorder="1" applyFont="1" applyNumberFormat="1">
      <alignment horizontal="center"/>
    </xf>
    <xf borderId="11" fillId="11" fontId="3" numFmtId="2" xfId="0" applyBorder="1" applyFont="1" applyNumberFormat="1"/>
    <xf borderId="12" fillId="11" fontId="6" numFmtId="2" xfId="0" applyAlignment="1" applyBorder="1" applyFont="1" applyNumberFormat="1">
      <alignment horizontal="center"/>
    </xf>
    <xf borderId="17" fillId="32" fontId="3" numFmtId="0" xfId="0" applyAlignment="1" applyBorder="1" applyFont="1">
      <alignment horizontal="center"/>
    </xf>
    <xf borderId="20" fillId="32" fontId="23" numFmtId="0" xfId="0" applyBorder="1" applyFont="1"/>
    <xf borderId="11" fillId="11" fontId="3" numFmtId="0" xfId="0" applyAlignment="1" applyBorder="1" applyFont="1">
      <alignment horizontal="center"/>
    </xf>
    <xf borderId="20" fillId="32" fontId="3" numFmtId="2" xfId="0" applyAlignment="1" applyBorder="1" applyFont="1" applyNumberFormat="1">
      <alignment horizontal="center"/>
    </xf>
    <xf borderId="20" fillId="32" fontId="3" numFmtId="9" xfId="0" applyAlignment="1" applyBorder="1" applyFont="1" applyNumberFormat="1">
      <alignment horizontal="center"/>
    </xf>
    <xf borderId="21" fillId="32" fontId="6" numFmtId="2" xfId="0" applyAlignment="1" applyBorder="1" applyFont="1" applyNumberFormat="1">
      <alignment horizontal="center"/>
    </xf>
    <xf borderId="23" fillId="32" fontId="3" numFmtId="2" xfId="0" applyAlignment="1" applyBorder="1" applyFont="1" applyNumberFormat="1">
      <alignment horizontal="center"/>
    </xf>
    <xf borderId="23" fillId="32" fontId="3" numFmtId="9" xfId="0" applyAlignment="1" applyBorder="1" applyFont="1" applyNumberFormat="1">
      <alignment horizontal="center"/>
    </xf>
    <xf borderId="23" fillId="32" fontId="3" numFmtId="2" xfId="0" applyBorder="1" applyFont="1" applyNumberFormat="1"/>
    <xf borderId="24" fillId="32" fontId="6" numFmtId="2" xfId="0" applyAlignment="1" applyBorder="1" applyFont="1" applyNumberFormat="1">
      <alignment horizontal="center"/>
    </xf>
    <xf borderId="30" fillId="6" fontId="3" numFmtId="0" xfId="0" applyBorder="1" applyFont="1"/>
    <xf borderId="31" fillId="6" fontId="3" numFmtId="9" xfId="0" applyAlignment="1" applyBorder="1" applyFont="1" applyNumberFormat="1">
      <alignment horizontal="center"/>
    </xf>
    <xf borderId="31" fillId="6" fontId="3" numFmtId="2" xfId="0" applyBorder="1" applyFont="1" applyNumberFormat="1"/>
    <xf borderId="41" fillId="6" fontId="6" numFmtId="2" xfId="0" applyAlignment="1" applyBorder="1" applyFont="1" applyNumberFormat="1">
      <alignment horizontal="center"/>
    </xf>
    <xf borderId="31" fillId="11" fontId="3" numFmtId="0" xfId="0" applyAlignment="1" applyBorder="1" applyFont="1">
      <alignment horizontal="center"/>
    </xf>
    <xf borderId="19" fillId="32" fontId="3" numFmtId="0" xfId="0" applyAlignment="1" applyBorder="1" applyFont="1">
      <alignment horizontal="center"/>
    </xf>
    <xf borderId="22" fillId="32" fontId="3" numFmtId="0" xfId="0" applyAlignment="1" applyBorder="1" applyFont="1">
      <alignment horizontal="center"/>
    </xf>
    <xf borderId="54" fillId="32" fontId="3" numFmtId="0" xfId="0" applyBorder="1" applyFont="1"/>
    <xf borderId="75" fillId="32" fontId="6" numFmtId="2" xfId="0" applyAlignment="1" applyBorder="1" applyFont="1" applyNumberFormat="1">
      <alignment horizontal="center"/>
    </xf>
    <xf borderId="54" fillId="0" fontId="3" numFmtId="0" xfId="0" applyBorder="1" applyFont="1"/>
    <xf borderId="23" fillId="0" fontId="3" numFmtId="2" xfId="0" applyBorder="1" applyFont="1" applyNumberFormat="1"/>
    <xf borderId="73" fillId="5" fontId="6" numFmtId="2" xfId="0" applyAlignment="1" applyBorder="1" applyFont="1" applyNumberFormat="1">
      <alignment horizontal="center"/>
    </xf>
    <xf borderId="22" fillId="4" fontId="3" numFmtId="0" xfId="0" applyAlignment="1" applyBorder="1" applyFont="1">
      <alignment horizontal="center"/>
    </xf>
    <xf borderId="54" fillId="4" fontId="3" numFmtId="0" xfId="0" applyBorder="1" applyFont="1"/>
    <xf borderId="17" fillId="4" fontId="3" numFmtId="0" xfId="0" applyAlignment="1" applyBorder="1" applyFont="1">
      <alignment horizontal="center"/>
    </xf>
    <xf borderId="20" fillId="4" fontId="23" numFmtId="2" xfId="0" applyBorder="1" applyFont="1" applyNumberFormat="1"/>
    <xf borderId="20" fillId="4" fontId="54" numFmtId="0" xfId="0" applyBorder="1" applyFont="1"/>
    <xf borderId="54" fillId="6" fontId="3" numFmtId="0" xfId="0" applyBorder="1" applyFont="1"/>
    <xf borderId="23" fillId="6" fontId="3" numFmtId="2" xfId="0" applyAlignment="1" applyBorder="1" applyFont="1" applyNumberFormat="1">
      <alignment horizontal="center"/>
    </xf>
    <xf borderId="23" fillId="6" fontId="3" numFmtId="9" xfId="0" applyAlignment="1" applyBorder="1" applyFont="1" applyNumberFormat="1">
      <alignment horizontal="center"/>
    </xf>
    <xf borderId="23" fillId="6" fontId="3" numFmtId="2" xfId="0" applyBorder="1" applyFont="1" applyNumberFormat="1"/>
    <xf borderId="75" fillId="6" fontId="6" numFmtId="2" xfId="0" applyAlignment="1" applyBorder="1" applyFont="1" applyNumberFormat="1">
      <alignment horizontal="center"/>
    </xf>
    <xf borderId="35" fillId="0" fontId="3" numFmtId="0" xfId="0" applyAlignment="1" applyBorder="1" applyFont="1">
      <alignment horizontal="center"/>
    </xf>
    <xf borderId="17" fillId="0" fontId="3" numFmtId="9" xfId="0" applyAlignment="1" applyBorder="1" applyFont="1" applyNumberFormat="1">
      <alignment horizontal="center"/>
    </xf>
    <xf borderId="66" fillId="0" fontId="3" numFmtId="2" xfId="0" applyBorder="1" applyFont="1" applyNumberFormat="1"/>
    <xf borderId="9" fillId="32" fontId="3" numFmtId="0" xfId="0" applyAlignment="1" applyBorder="1" applyFont="1">
      <alignment horizontal="center"/>
    </xf>
    <xf borderId="0" fillId="32" fontId="28" numFmtId="0" xfId="0" applyAlignment="1" applyFont="1">
      <alignment horizontal="center"/>
    </xf>
    <xf borderId="11" fillId="32" fontId="3" numFmtId="0" xfId="0" applyAlignment="1" applyBorder="1" applyFont="1">
      <alignment horizontal="center"/>
    </xf>
    <xf borderId="20" fillId="32" fontId="61" numFmtId="0" xfId="0" applyBorder="1" applyFont="1"/>
    <xf borderId="0" fillId="32" fontId="62" numFmtId="0" xfId="0" applyFont="1"/>
    <xf borderId="54" fillId="11" fontId="3" numFmtId="0" xfId="0" applyBorder="1" applyFont="1"/>
    <xf borderId="23" fillId="11" fontId="3" numFmtId="2" xfId="0" applyAlignment="1" applyBorder="1" applyFont="1" applyNumberFormat="1">
      <alignment horizontal="center"/>
    </xf>
    <xf borderId="23" fillId="11" fontId="3" numFmtId="9" xfId="0" applyAlignment="1" applyBorder="1" applyFont="1" applyNumberFormat="1">
      <alignment horizontal="center"/>
    </xf>
    <xf borderId="23" fillId="11" fontId="3" numFmtId="2" xfId="0" applyBorder="1" applyFont="1" applyNumberFormat="1"/>
    <xf borderId="24" fillId="11" fontId="6" numFmtId="2" xfId="0" applyAlignment="1" applyBorder="1" applyFont="1" applyNumberFormat="1">
      <alignment horizontal="center"/>
    </xf>
    <xf borderId="68" fillId="0" fontId="6" numFmtId="2" xfId="0" applyAlignment="1" applyBorder="1" applyFont="1" applyNumberFormat="1">
      <alignment horizontal="center"/>
    </xf>
    <xf borderId="1" fillId="32" fontId="3" numFmtId="0" xfId="0" applyAlignment="1" applyBorder="1" applyFont="1">
      <alignment horizontal="center"/>
    </xf>
    <xf borderId="2" fillId="6" fontId="3" numFmtId="0" xfId="0" applyBorder="1" applyFont="1"/>
    <xf borderId="3" fillId="6" fontId="3" numFmtId="2" xfId="0" applyAlignment="1" applyBorder="1" applyFont="1" applyNumberFormat="1">
      <alignment horizontal="center"/>
    </xf>
    <xf borderId="3" fillId="6" fontId="3" numFmtId="9" xfId="0" applyAlignment="1" applyBorder="1" applyFont="1" applyNumberFormat="1">
      <alignment horizontal="center"/>
    </xf>
    <xf borderId="3" fillId="6" fontId="3" numFmtId="2" xfId="0" applyBorder="1" applyFont="1" applyNumberFormat="1"/>
    <xf borderId="4" fillId="6" fontId="6" numFmtId="2" xfId="0" applyAlignment="1" applyBorder="1" applyFont="1" applyNumberFormat="1">
      <alignment horizontal="center"/>
    </xf>
    <xf borderId="3" fillId="32" fontId="3" numFmtId="0" xfId="0" applyAlignment="1" applyBorder="1" applyFont="1">
      <alignment horizontal="center"/>
    </xf>
    <xf borderId="2" fillId="32" fontId="3" numFmtId="0" xfId="0" applyBorder="1" applyFont="1"/>
    <xf borderId="3" fillId="32" fontId="3" numFmtId="2" xfId="0" applyAlignment="1" applyBorder="1" applyFont="1" applyNumberFormat="1">
      <alignment horizontal="center"/>
    </xf>
    <xf borderId="3" fillId="32" fontId="3" numFmtId="9" xfId="0" applyAlignment="1" applyBorder="1" applyFont="1" applyNumberFormat="1">
      <alignment horizontal="center"/>
    </xf>
    <xf borderId="3" fillId="32" fontId="3" numFmtId="2" xfId="0" applyBorder="1" applyFont="1" applyNumberFormat="1"/>
    <xf borderId="4" fillId="32" fontId="6" numFmtId="2" xfId="0" applyAlignment="1" applyBorder="1" applyFont="1" applyNumberFormat="1">
      <alignment horizontal="center"/>
    </xf>
    <xf borderId="0" fillId="5" fontId="23" numFmtId="0" xfId="0" applyFont="1"/>
    <xf borderId="1" fillId="5" fontId="3" numFmtId="0" xfId="0" applyAlignment="1" applyBorder="1" applyFont="1">
      <alignment horizontal="center"/>
    </xf>
    <xf borderId="2" fillId="5" fontId="3" numFmtId="0" xfId="0" applyBorder="1" applyFont="1"/>
    <xf borderId="3" fillId="5" fontId="3" numFmtId="2" xfId="0" applyAlignment="1" applyBorder="1" applyFont="1" applyNumberFormat="1">
      <alignment horizontal="center"/>
    </xf>
    <xf borderId="3" fillId="5" fontId="3" numFmtId="0" xfId="0" applyAlignment="1" applyBorder="1" applyFont="1">
      <alignment horizontal="center"/>
    </xf>
    <xf borderId="3" fillId="5" fontId="3" numFmtId="9" xfId="0" applyAlignment="1" applyBorder="1" applyFont="1" applyNumberFormat="1">
      <alignment horizontal="center"/>
    </xf>
    <xf borderId="3" fillId="5" fontId="3" numFmtId="2" xfId="0" applyBorder="1" applyFont="1" applyNumberFormat="1"/>
    <xf borderId="46" fillId="5" fontId="3" numFmtId="2" xfId="0" applyBorder="1" applyFont="1" applyNumberFormat="1"/>
    <xf borderId="0" fillId="5" fontId="28" numFmtId="0" xfId="0" applyAlignment="1" applyFont="1">
      <alignment horizontal="center"/>
    </xf>
    <xf borderId="20" fillId="5" fontId="23" numFmtId="2" xfId="0" applyBorder="1" applyFont="1" applyNumberFormat="1"/>
    <xf borderId="20" fillId="5" fontId="3" numFmtId="2" xfId="0" applyBorder="1" applyFont="1" applyNumberFormat="1"/>
    <xf borderId="20" fillId="5" fontId="63" numFmtId="0" xfId="0" applyBorder="1" applyFont="1"/>
    <xf borderId="17" fillId="0" fontId="3" numFmtId="2" xfId="0" applyBorder="1" applyFont="1" applyNumberFormat="1"/>
    <xf borderId="0" fillId="32" fontId="64" numFmtId="0" xfId="0" applyFont="1"/>
    <xf borderId="19" fillId="35" fontId="3" numFmtId="0" xfId="0" applyAlignment="1" applyBorder="1" applyFill="1" applyFont="1">
      <alignment horizontal="center"/>
    </xf>
    <xf borderId="46" fillId="35" fontId="3" numFmtId="2" xfId="0" applyBorder="1" applyFont="1" applyNumberFormat="1"/>
    <xf borderId="0" fillId="35" fontId="27" numFmtId="0" xfId="0" applyAlignment="1" applyFont="1">
      <alignment horizontal="center"/>
    </xf>
    <xf borderId="20" fillId="35" fontId="12" numFmtId="0" xfId="0" applyAlignment="1" applyBorder="1" applyFont="1">
      <alignment horizontal="center"/>
    </xf>
    <xf borderId="20" fillId="35" fontId="27" numFmtId="2" xfId="0" applyBorder="1" applyFont="1" applyNumberFormat="1"/>
    <xf borderId="20" fillId="35" fontId="12" numFmtId="2" xfId="0" applyBorder="1" applyFont="1" applyNumberFormat="1"/>
    <xf borderId="0" fillId="35" fontId="27" numFmtId="0" xfId="0" applyFont="1"/>
    <xf borderId="20" fillId="35" fontId="65" numFmtId="0" xfId="0" applyBorder="1" applyFont="1"/>
    <xf borderId="46" fillId="35" fontId="3" numFmtId="0" xfId="0" applyBorder="1" applyFont="1"/>
    <xf borderId="20" fillId="35" fontId="3" numFmtId="2" xfId="0" applyAlignment="1" applyBorder="1" applyFont="1" applyNumberFormat="1">
      <alignment horizontal="center"/>
    </xf>
    <xf borderId="20" fillId="35" fontId="3" numFmtId="9" xfId="0" applyAlignment="1" applyBorder="1" applyFont="1" applyNumberFormat="1">
      <alignment horizontal="center"/>
    </xf>
    <xf borderId="20" fillId="35" fontId="3" numFmtId="2" xfId="0" applyBorder="1" applyFont="1" applyNumberFormat="1"/>
    <xf borderId="73" fillId="35" fontId="6" numFmtId="2" xfId="0" applyAlignment="1" applyBorder="1" applyFont="1" applyNumberFormat="1">
      <alignment horizontal="center"/>
    </xf>
    <xf borderId="69" fillId="35" fontId="27" numFmtId="0" xfId="0" applyBorder="1" applyFont="1"/>
    <xf borderId="20" fillId="35" fontId="3" numFmtId="0" xfId="0" applyAlignment="1" applyBorder="1" applyFont="1">
      <alignment horizontal="center"/>
    </xf>
    <xf borderId="20" fillId="32" fontId="54" numFmtId="0" xfId="0" applyBorder="1" applyFont="1"/>
    <xf borderId="10" fillId="11" fontId="3" numFmtId="0" xfId="0" applyBorder="1" applyFont="1"/>
    <xf borderId="0" fillId="32" fontId="66" numFmtId="0" xfId="0" applyFont="1"/>
    <xf borderId="16" fillId="11" fontId="3" numFmtId="2" xfId="0" applyAlignment="1" applyBorder="1" applyFont="1" applyNumberFormat="1">
      <alignment horizontal="center"/>
    </xf>
    <xf borderId="16" fillId="11" fontId="3" numFmtId="9" xfId="0" applyAlignment="1" applyBorder="1" applyFont="1" applyNumberFormat="1">
      <alignment horizontal="center"/>
    </xf>
    <xf borderId="80" fillId="11" fontId="6" numFmtId="2" xfId="0" applyAlignment="1" applyBorder="1" applyFont="1" applyNumberFormat="1">
      <alignment horizontal="center"/>
    </xf>
    <xf borderId="16" fillId="11" fontId="3" numFmtId="0" xfId="0" applyAlignment="1" applyBorder="1" applyFont="1">
      <alignment horizontal="center"/>
    </xf>
    <xf borderId="21" fillId="6" fontId="6" numFmtId="2" xfId="0" applyAlignment="1" applyBorder="1" applyFont="1" applyNumberFormat="1">
      <alignment horizontal="center"/>
    </xf>
    <xf borderId="102" fillId="32" fontId="23" numFmtId="0" xfId="0" applyBorder="1" applyFont="1"/>
    <xf borderId="0" fillId="32" fontId="27" numFmtId="0" xfId="0" applyFont="1"/>
    <xf borderId="19" fillId="32" fontId="12" numFmtId="0" xfId="0" applyAlignment="1" applyBorder="1" applyFont="1">
      <alignment horizontal="center"/>
    </xf>
    <xf borderId="46" fillId="32" fontId="12" numFmtId="0" xfId="0" applyBorder="1" applyFont="1"/>
    <xf borderId="20" fillId="32" fontId="12" numFmtId="2" xfId="0" applyAlignment="1" applyBorder="1" applyFont="1" applyNumberFormat="1">
      <alignment horizontal="center"/>
    </xf>
    <xf borderId="20" fillId="32" fontId="12" numFmtId="9" xfId="0" applyAlignment="1" applyBorder="1" applyFont="1" applyNumberFormat="1">
      <alignment horizontal="center"/>
    </xf>
    <xf borderId="20" fillId="32" fontId="12" numFmtId="2" xfId="0" applyBorder="1" applyFont="1" applyNumberFormat="1"/>
    <xf borderId="73" fillId="32" fontId="14" numFmtId="2" xfId="0" applyAlignment="1" applyBorder="1" applyFont="1" applyNumberFormat="1">
      <alignment horizontal="center"/>
    </xf>
    <xf borderId="46" fillId="32" fontId="12" numFmtId="2" xfId="0" applyBorder="1" applyFont="1" applyNumberFormat="1"/>
    <xf borderId="20" fillId="32" fontId="12" numFmtId="0" xfId="0" applyAlignment="1" applyBorder="1" applyFont="1">
      <alignment horizontal="center"/>
    </xf>
    <xf borderId="20" fillId="32" fontId="27" numFmtId="2" xfId="0" applyBorder="1" applyFont="1" applyNumberFormat="1"/>
    <xf borderId="102" fillId="32" fontId="27" numFmtId="0" xfId="0" applyBorder="1" applyFont="1"/>
    <xf borderId="22" fillId="32" fontId="15" numFmtId="0" xfId="0" applyAlignment="1" applyBorder="1" applyFont="1">
      <alignment horizontal="center"/>
    </xf>
    <xf borderId="32" fillId="6" fontId="15" numFmtId="0" xfId="0" applyAlignment="1" applyBorder="1" applyFont="1">
      <alignment horizontal="left"/>
    </xf>
    <xf borderId="24" fillId="6" fontId="6" numFmtId="2" xfId="0" applyAlignment="1" applyBorder="1" applyFont="1" applyNumberFormat="1">
      <alignment horizontal="center"/>
    </xf>
    <xf borderId="6" fillId="32" fontId="15" numFmtId="0" xfId="0" applyAlignment="1" applyBorder="1" applyFont="1">
      <alignment horizontal="center"/>
    </xf>
    <xf borderId="6" fillId="11" fontId="15" numFmtId="0" xfId="0" applyAlignment="1" applyBorder="1" applyFont="1">
      <alignment horizontal="center"/>
    </xf>
    <xf borderId="10" fillId="32" fontId="3" numFmtId="0" xfId="0" applyBorder="1" applyFont="1"/>
    <xf borderId="11" fillId="32" fontId="3" numFmtId="2" xfId="0" applyAlignment="1" applyBorder="1" applyFont="1" applyNumberFormat="1">
      <alignment horizontal="center"/>
    </xf>
    <xf borderId="11" fillId="32" fontId="3" numFmtId="9" xfId="0" applyAlignment="1" applyBorder="1" applyFont="1" applyNumberFormat="1">
      <alignment horizontal="center"/>
    </xf>
    <xf borderId="11" fillId="32" fontId="3" numFmtId="2" xfId="0" applyBorder="1" applyFont="1" applyNumberFormat="1"/>
    <xf borderId="12" fillId="32" fontId="6" numFmtId="2" xfId="0" applyAlignment="1" applyBorder="1" applyFont="1" applyNumberFormat="1">
      <alignment horizontal="center"/>
    </xf>
    <xf borderId="31" fillId="32" fontId="3" numFmtId="0" xfId="0" applyAlignment="1" applyBorder="1" applyFont="1">
      <alignment horizontal="center"/>
    </xf>
    <xf borderId="46" fillId="32" fontId="3" numFmtId="0" xfId="0" applyBorder="1" applyFont="1"/>
    <xf borderId="73" fillId="32" fontId="6" numFmtId="2" xfId="0" applyAlignment="1" applyBorder="1" applyFont="1" applyNumberFormat="1">
      <alignment horizontal="center"/>
    </xf>
    <xf borderId="48" fillId="32" fontId="3" numFmtId="0" xfId="0" applyBorder="1" applyFont="1"/>
    <xf borderId="20" fillId="32" fontId="3" numFmtId="170" xfId="0" applyAlignment="1" applyBorder="1" applyFont="1" applyNumberFormat="1">
      <alignment horizontal="center"/>
    </xf>
    <xf borderId="20" fillId="32" fontId="3" numFmtId="170" xfId="0" applyBorder="1" applyFont="1" applyNumberFormat="1"/>
    <xf borderId="16" fillId="32" fontId="3" numFmtId="170" xfId="0" applyAlignment="1" applyBorder="1" applyFont="1" applyNumberFormat="1">
      <alignment horizontal="center"/>
    </xf>
    <xf borderId="20" fillId="0" fontId="54" numFmtId="0" xfId="0" applyBorder="1" applyFont="1"/>
    <xf borderId="12" fillId="0" fontId="3" numFmtId="2" xfId="0" applyBorder="1" applyFont="1" applyNumberFormat="1"/>
    <xf borderId="20" fillId="32" fontId="3" numFmtId="0" xfId="0" applyBorder="1" applyFont="1"/>
    <xf borderId="20" fillId="32" fontId="6" numFmtId="2" xfId="0" applyAlignment="1" applyBorder="1" applyFont="1" applyNumberFormat="1">
      <alignment horizontal="center"/>
    </xf>
    <xf borderId="21" fillId="32" fontId="3" numFmtId="2" xfId="0" applyBorder="1" applyFont="1" applyNumberFormat="1"/>
    <xf borderId="23" fillId="32" fontId="3" numFmtId="0" xfId="0" applyBorder="1" applyFont="1"/>
    <xf borderId="0" fillId="32" fontId="23" numFmtId="169" xfId="0" applyFont="1" applyNumberFormat="1"/>
    <xf borderId="23" fillId="32" fontId="3" numFmtId="10" xfId="0" applyAlignment="1" applyBorder="1" applyFont="1" applyNumberFormat="1">
      <alignment horizontal="center"/>
    </xf>
    <xf borderId="11" fillId="29" fontId="3" numFmtId="2" xfId="0" applyAlignment="1" applyBorder="1" applyFont="1" applyNumberFormat="1">
      <alignment horizontal="center"/>
    </xf>
    <xf borderId="0" fillId="32" fontId="3" numFmtId="2" xfId="0" applyFont="1" applyNumberFormat="1"/>
    <xf borderId="0" fillId="32" fontId="3" numFmtId="0" xfId="0" applyAlignment="1" applyFont="1">
      <alignment horizontal="center"/>
    </xf>
    <xf borderId="0" fillId="32" fontId="23" numFmtId="2" xfId="0" applyFont="1" applyNumberFormat="1"/>
    <xf borderId="0" fillId="32" fontId="54" numFmtId="0" xfId="0" applyFont="1"/>
    <xf borderId="0" fillId="0" fontId="54" numFmtId="0" xfId="0" applyFont="1"/>
    <xf borderId="20" fillId="0" fontId="6" numFmtId="2" xfId="0" applyAlignment="1" applyBorder="1" applyFont="1" applyNumberFormat="1">
      <alignment horizontal="center"/>
    </xf>
    <xf borderId="20" fillId="32" fontId="3" numFmtId="10" xfId="0" applyAlignment="1" applyBorder="1" applyFont="1" applyNumberFormat="1">
      <alignment horizontal="center"/>
    </xf>
    <xf borderId="0" fillId="6" fontId="23" numFmtId="0" xfId="0" applyFont="1"/>
    <xf borderId="19" fillId="6" fontId="3" numFmtId="0" xfId="0" applyAlignment="1" applyBorder="1" applyFont="1">
      <alignment horizontal="center"/>
    </xf>
    <xf borderId="58" fillId="2" fontId="67" numFmtId="0" xfId="0" applyAlignment="1" applyBorder="1" applyFont="1">
      <alignment horizontal="center" vertical="center"/>
    </xf>
    <xf borderId="6" fillId="0" fontId="23" numFmtId="0" xfId="0" applyBorder="1" applyFont="1"/>
    <xf borderId="7" fillId="3" fontId="3" numFmtId="0" xfId="0" applyAlignment="1" applyBorder="1" applyFont="1">
      <alignment horizontal="center" vertical="center"/>
    </xf>
    <xf borderId="3" fillId="3" fontId="3" numFmtId="2" xfId="0" applyAlignment="1" applyBorder="1" applyFont="1" applyNumberFormat="1">
      <alignment horizontal="center" vertical="center"/>
    </xf>
    <xf borderId="4" fillId="31" fontId="6" numFmtId="0" xfId="0" applyAlignment="1" applyBorder="1" applyFont="1">
      <alignment horizontal="center" shrinkToFit="0" vertical="center" wrapText="1"/>
    </xf>
    <xf borderId="0" fillId="0" fontId="23" numFmtId="2" xfId="0" applyAlignment="1" applyFont="1" applyNumberFormat="1">
      <alignment horizontal="center"/>
    </xf>
    <xf borderId="0" fillId="31" fontId="23" numFmtId="2" xfId="0" applyAlignment="1" applyFont="1" applyNumberFormat="1">
      <alignment horizontal="center"/>
    </xf>
    <xf borderId="0" fillId="31" fontId="23" numFmtId="0" xfId="0" applyAlignment="1" applyFont="1">
      <alignment horizontal="center"/>
    </xf>
    <xf borderId="58" fillId="36" fontId="6" numFmtId="0" xfId="0" applyAlignment="1" applyBorder="1" applyFill="1" applyFont="1">
      <alignment horizontal="center"/>
    </xf>
    <xf borderId="26" fillId="3" fontId="3" numFmtId="0" xfId="0" applyAlignment="1" applyBorder="1" applyFont="1">
      <alignment horizontal="center"/>
    </xf>
    <xf borderId="27" fillId="3" fontId="3" numFmtId="0" xfId="0" applyAlignment="1" applyBorder="1" applyFont="1">
      <alignment horizontal="center"/>
    </xf>
    <xf borderId="28" fillId="3" fontId="6" numFmtId="0" xfId="0" applyAlignment="1" applyBorder="1" applyFont="1">
      <alignment horizontal="center"/>
    </xf>
    <xf borderId="58" fillId="0" fontId="6" numFmtId="0" xfId="0" applyAlignment="1" applyBorder="1" applyFont="1">
      <alignment horizontal="center"/>
    </xf>
    <xf borderId="31" fillId="5" fontId="6" numFmtId="169" xfId="0" applyAlignment="1" applyBorder="1" applyFont="1" applyNumberFormat="1">
      <alignment horizontal="right"/>
    </xf>
    <xf borderId="20" fillId="34" fontId="15" numFmtId="0" xfId="0" applyAlignment="1" applyBorder="1" applyFont="1">
      <alignment horizontal="center"/>
    </xf>
    <xf borderId="20" fillId="34" fontId="15" numFmtId="4" xfId="0" applyAlignment="1" applyBorder="1" applyFont="1" applyNumberFormat="1">
      <alignment horizontal="center"/>
    </xf>
    <xf borderId="20" fillId="5" fontId="6" numFmtId="169" xfId="0" applyAlignment="1" applyBorder="1" applyFont="1" applyNumberFormat="1">
      <alignment horizontal="right"/>
    </xf>
    <xf borderId="20" fillId="4" fontId="3" numFmtId="0" xfId="0" applyBorder="1" applyFont="1"/>
    <xf borderId="20" fillId="34" fontId="15" numFmtId="0" xfId="0" applyAlignment="1" applyBorder="1" applyFont="1">
      <alignment horizontal="left"/>
    </xf>
    <xf borderId="23" fillId="0" fontId="3" numFmtId="0" xfId="0" applyAlignment="1" applyBorder="1" applyFont="1">
      <alignment vertical="bottom"/>
    </xf>
    <xf borderId="23" fillId="34" fontId="15" numFmtId="4" xfId="0" applyAlignment="1" applyBorder="1" applyFont="1" applyNumberFormat="1">
      <alignment horizontal="center"/>
    </xf>
    <xf borderId="27" fillId="0" fontId="3" numFmtId="10" xfId="0" applyAlignment="1" applyBorder="1" applyFont="1" applyNumberFormat="1">
      <alignment horizontal="center"/>
    </xf>
    <xf borderId="23" fillId="5" fontId="6" numFmtId="169" xfId="0" applyAlignment="1" applyBorder="1" applyFont="1" applyNumberFormat="1">
      <alignment horizontal="right"/>
    </xf>
    <xf borderId="46" fillId="0" fontId="3" numFmtId="0" xfId="0" applyBorder="1" applyFont="1"/>
    <xf borderId="46" fillId="4" fontId="3" numFmtId="0" xfId="0" applyBorder="1" applyFont="1"/>
    <xf borderId="30" fillId="0" fontId="3" numFmtId="0" xfId="0" applyBorder="1" applyFont="1"/>
    <xf borderId="30" fillId="4" fontId="3" numFmtId="0" xfId="0" applyBorder="1" applyFont="1"/>
    <xf borderId="17" fillId="0" fontId="3" numFmtId="0" xfId="0" applyBorder="1" applyFont="1"/>
    <xf borderId="17" fillId="0" fontId="3" numFmtId="10" xfId="0" applyAlignment="1" applyBorder="1" applyFont="1" applyNumberFormat="1">
      <alignment horizontal="center"/>
    </xf>
    <xf borderId="17" fillId="5" fontId="6" numFmtId="169" xfId="0" applyAlignment="1" applyBorder="1" applyFont="1" applyNumberFormat="1">
      <alignment horizontal="right"/>
    </xf>
    <xf borderId="31" fillId="34" fontId="15" numFmtId="0" xfId="0" applyAlignment="1" applyBorder="1" applyFont="1">
      <alignment horizontal="center"/>
    </xf>
    <xf borderId="31" fillId="4" fontId="3" numFmtId="0" xfId="0" applyBorder="1" applyFont="1"/>
    <xf borderId="31" fillId="34" fontId="15" numFmtId="4" xfId="0" applyAlignment="1" applyBorder="1" applyFont="1" applyNumberFormat="1">
      <alignment horizontal="center"/>
    </xf>
    <xf borderId="20" fillId="5" fontId="6" numFmtId="4" xfId="0" applyAlignment="1" applyBorder="1" applyFont="1" applyNumberFormat="1">
      <alignment horizontal="right"/>
    </xf>
    <xf borderId="20" fillId="0" fontId="23" numFmtId="0" xfId="0" applyAlignment="1" applyBorder="1" applyFont="1">
      <alignment horizontal="center"/>
    </xf>
    <xf borderId="31" fillId="0" fontId="23" numFmtId="0" xfId="0" applyBorder="1" applyFont="1"/>
    <xf borderId="20" fillId="4" fontId="23" numFmtId="0" xfId="0" applyBorder="1" applyFont="1"/>
    <xf borderId="0" fillId="4" fontId="23" numFmtId="2" xfId="0" applyFont="1" applyNumberFormat="1"/>
    <xf borderId="0" fillId="29" fontId="23" numFmtId="2" xfId="0" applyFont="1" applyNumberFormat="1"/>
    <xf borderId="20" fillId="0" fontId="23" numFmtId="10" xfId="0" applyAlignment="1" applyBorder="1" applyFont="1" applyNumberFormat="1">
      <alignment horizontal="center"/>
    </xf>
    <xf borderId="0" fillId="0" fontId="23" numFmtId="171" xfId="0" applyFont="1" applyNumberFormat="1"/>
    <xf borderId="7" fillId="3" fontId="3" numFmtId="0" xfId="0" applyAlignment="1" applyBorder="1" applyFont="1">
      <alignment horizontal="center"/>
    </xf>
    <xf borderId="7" fillId="3" fontId="3" numFmtId="164" xfId="0" applyAlignment="1" applyBorder="1" applyFont="1" applyNumberFormat="1">
      <alignment horizontal="center"/>
    </xf>
    <xf borderId="7" fillId="3" fontId="3" numFmtId="171" xfId="0" applyAlignment="1" applyBorder="1" applyFont="1" applyNumberFormat="1">
      <alignment horizontal="center"/>
    </xf>
    <xf borderId="7" fillId="3" fontId="3" numFmtId="2" xfId="0" applyAlignment="1" applyBorder="1" applyFont="1" applyNumberFormat="1">
      <alignment horizontal="center"/>
    </xf>
    <xf borderId="1" fillId="11" fontId="6" numFmtId="4" xfId="0" applyAlignment="1" applyBorder="1" applyFont="1" applyNumberFormat="1">
      <alignment horizontal="center"/>
    </xf>
    <xf borderId="31" fillId="0" fontId="23" numFmtId="171" xfId="0" applyBorder="1" applyFont="1" applyNumberFormat="1"/>
    <xf borderId="20" fillId="0" fontId="3" numFmtId="171" xfId="0" applyBorder="1" applyFont="1" applyNumberFormat="1"/>
    <xf borderId="20" fillId="0" fontId="3" numFmtId="169" xfId="0" applyAlignment="1" applyBorder="1" applyFont="1" applyNumberFormat="1">
      <alignment horizontal="center"/>
    </xf>
    <xf borderId="20" fillId="11" fontId="6" numFmtId="171" xfId="0" applyAlignment="1" applyBorder="1" applyFont="1" applyNumberFormat="1">
      <alignment horizontal="center"/>
    </xf>
    <xf borderId="102" fillId="0" fontId="23" numFmtId="172" xfId="0" applyBorder="1" applyFont="1" applyNumberFormat="1"/>
    <xf borderId="102" fillId="0" fontId="23" numFmtId="0" xfId="0" applyAlignment="1" applyBorder="1" applyFont="1">
      <alignment horizontal="center"/>
    </xf>
    <xf borderId="102" fillId="0" fontId="23" numFmtId="171" xfId="0" applyBorder="1" applyFont="1" applyNumberFormat="1"/>
    <xf borderId="69" fillId="0" fontId="23" numFmtId="171" xfId="0" applyBorder="1" applyFont="1" applyNumberFormat="1"/>
    <xf borderId="116" fillId="0" fontId="23" numFmtId="0" xfId="0" applyBorder="1" applyFont="1"/>
    <xf borderId="117" fillId="0" fontId="23" numFmtId="0" xfId="0" applyBorder="1" applyFont="1"/>
    <xf borderId="118" fillId="0" fontId="23" numFmtId="0" xfId="0" applyBorder="1" applyFont="1"/>
    <xf borderId="118" fillId="0" fontId="23" numFmtId="171" xfId="0" applyBorder="1" applyFont="1" applyNumberFormat="1"/>
    <xf borderId="102" fillId="0" fontId="31" numFmtId="9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19" fillId="0" fontId="23" numFmtId="0" xfId="0" applyBorder="1" applyFont="1"/>
    <xf borderId="58" fillId="11" fontId="6" numFmtId="4" xfId="0" applyAlignment="1" applyBorder="1" applyFont="1" applyNumberFormat="1">
      <alignment horizontal="center"/>
    </xf>
    <xf borderId="20" fillId="0" fontId="12" numFmtId="2" xfId="0" applyAlignment="1" applyBorder="1" applyFont="1" applyNumberFormat="1">
      <alignment horizontal="center"/>
    </xf>
    <xf borderId="20" fillId="11" fontId="6" numFmtId="4" xfId="0" applyAlignment="1" applyBorder="1" applyFont="1" applyNumberFormat="1">
      <alignment horizontal="center"/>
    </xf>
    <xf borderId="0" fillId="0" fontId="68" numFmtId="0" xfId="0" applyAlignment="1" applyFont="1">
      <alignment horizontal="right"/>
    </xf>
    <xf borderId="120" fillId="0" fontId="23" numFmtId="0" xfId="0" applyBorder="1" applyFont="1"/>
    <xf borderId="121" fillId="0" fontId="23" numFmtId="0" xfId="0" applyBorder="1" applyFont="1"/>
    <xf borderId="121" fillId="0" fontId="23" numFmtId="171" xfId="0" applyBorder="1" applyFont="1" applyNumberFormat="1"/>
    <xf borderId="122" fillId="0" fontId="23" numFmtId="0" xfId="0" applyBorder="1" applyFont="1"/>
    <xf borderId="123" fillId="0" fontId="23" numFmtId="0" xfId="0" applyBorder="1" applyFont="1"/>
    <xf borderId="124" fillId="0" fontId="8" numFmtId="0" xfId="0" applyBorder="1" applyFont="1"/>
    <xf borderId="124" fillId="0" fontId="23" numFmtId="0" xfId="0" applyBorder="1" applyFont="1"/>
    <xf borderId="125" fillId="0" fontId="23" numFmtId="171" xfId="0" applyAlignment="1" applyBorder="1" applyFont="1" applyNumberFormat="1">
      <alignment horizontal="center"/>
    </xf>
    <xf borderId="126" fillId="0" fontId="23" numFmtId="0" xfId="0" applyBorder="1" applyFont="1"/>
    <xf borderId="127" fillId="0" fontId="23" numFmtId="171" xfId="0" applyBorder="1" applyFont="1" applyNumberFormat="1"/>
    <xf borderId="99" fillId="0" fontId="31" numFmtId="0" xfId="0" applyBorder="1" applyFont="1"/>
    <xf borderId="106" fillId="0" fontId="23" numFmtId="173" xfId="0" applyBorder="1" applyFont="1" applyNumberFormat="1"/>
    <xf borderId="128" fillId="0" fontId="23" numFmtId="0" xfId="0" applyBorder="1" applyFont="1"/>
    <xf borderId="129" fillId="0" fontId="23" numFmtId="0" xfId="0" applyBorder="1" applyFont="1"/>
    <xf borderId="129" fillId="0" fontId="3" numFmtId="4" xfId="0" applyAlignment="1" applyBorder="1" applyFont="1" applyNumberFormat="1">
      <alignment horizontal="center"/>
    </xf>
    <xf borderId="130" fillId="0" fontId="23" numFmtId="171" xfId="0" applyBorder="1" applyFont="1" applyNumberFormat="1"/>
    <xf borderId="131" fillId="0" fontId="69" numFmtId="3" xfId="0" applyAlignment="1" applyBorder="1" applyFont="1" applyNumberFormat="1">
      <alignment horizontal="center"/>
    </xf>
    <xf borderId="118" fillId="11" fontId="31" numFmtId="9" xfId="0" applyAlignment="1" applyBorder="1" applyFont="1" applyNumberFormat="1">
      <alignment horizontal="center"/>
    </xf>
    <xf borderId="132" fillId="32" fontId="31" numFmtId="0" xfId="0" applyAlignment="1" applyBorder="1" applyFont="1">
      <alignment horizontal="center"/>
    </xf>
    <xf borderId="7" fillId="11" fontId="6" numFmtId="4" xfId="0" applyAlignment="1" applyBorder="1" applyFont="1" applyNumberFormat="1">
      <alignment horizontal="center"/>
    </xf>
    <xf borderId="7" fillId="32" fontId="6" numFmtId="4" xfId="0" applyAlignment="1" applyBorder="1" applyFont="1" applyNumberFormat="1">
      <alignment horizontal="center"/>
    </xf>
    <xf borderId="31" fillId="0" fontId="31" numFmtId="0" xfId="0" applyBorder="1" applyFont="1"/>
    <xf borderId="20" fillId="0" fontId="23" numFmtId="171" xfId="0" applyBorder="1" applyFont="1" applyNumberFormat="1"/>
    <xf borderId="20" fillId="32" fontId="14" numFmtId="4" xfId="0" applyAlignment="1" applyBorder="1" applyFont="1" applyNumberFormat="1">
      <alignment horizontal="center"/>
    </xf>
    <xf borderId="133" fillId="3" fontId="3" numFmtId="0" xfId="0" applyAlignment="1" applyBorder="1" applyFont="1">
      <alignment horizontal="center"/>
    </xf>
    <xf borderId="134" fillId="3" fontId="3" numFmtId="0" xfId="0" applyAlignment="1" applyBorder="1" applyFont="1">
      <alignment horizontal="center"/>
    </xf>
    <xf borderId="135" fillId="3" fontId="3" numFmtId="0" xfId="0" applyAlignment="1" applyBorder="1" applyFont="1">
      <alignment horizontal="center"/>
    </xf>
    <xf borderId="75" fillId="3" fontId="6" numFmtId="2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/>
    </xf>
    <xf borderId="136" fillId="0" fontId="3" numFmtId="0" xfId="0" applyAlignment="1" applyBorder="1" applyFont="1">
      <alignment horizontal="center"/>
    </xf>
    <xf borderId="136" fillId="0" fontId="3" numFmtId="0" xfId="0" applyBorder="1" applyFont="1"/>
    <xf borderId="136" fillId="0" fontId="3" numFmtId="4" xfId="0" applyAlignment="1" applyBorder="1" applyFont="1" applyNumberFormat="1">
      <alignment horizontal="center"/>
    </xf>
    <xf borderId="136" fillId="0" fontId="14" numFmtId="10" xfId="0" applyAlignment="1" applyBorder="1" applyFont="1" applyNumberFormat="1">
      <alignment horizontal="center"/>
    </xf>
    <xf borderId="136" fillId="5" fontId="6" numFmtId="2" xfId="0" applyAlignment="1" applyBorder="1" applyFont="1" applyNumberFormat="1">
      <alignment horizontal="right"/>
    </xf>
    <xf borderId="31" fillId="0" fontId="14" numFmtId="10" xfId="0" applyAlignment="1" applyBorder="1" applyFont="1" applyNumberFormat="1">
      <alignment horizontal="center"/>
    </xf>
    <xf borderId="137" fillId="0" fontId="3" numFmtId="0" xfId="0" applyAlignment="1" applyBorder="1" applyFont="1">
      <alignment horizontal="center"/>
    </xf>
    <xf borderId="137" fillId="0" fontId="3" numFmtId="0" xfId="0" applyBorder="1" applyFont="1"/>
    <xf borderId="137" fillId="0" fontId="3" numFmtId="4" xfId="0" applyAlignment="1" applyBorder="1" applyFont="1" applyNumberFormat="1">
      <alignment horizontal="center"/>
    </xf>
    <xf borderId="137" fillId="0" fontId="14" numFmtId="10" xfId="0" applyAlignment="1" applyBorder="1" applyFont="1" applyNumberFormat="1">
      <alignment horizontal="center"/>
    </xf>
    <xf borderId="137" fillId="5" fontId="6" numFmtId="2" xfId="0" applyAlignment="1" applyBorder="1" applyFont="1" applyNumberFormat="1">
      <alignment horizontal="right"/>
    </xf>
    <xf borderId="137" fillId="4" fontId="3" numFmtId="4" xfId="0" applyAlignment="1" applyBorder="1" applyFont="1" applyNumberFormat="1">
      <alignment horizontal="center"/>
    </xf>
    <xf borderId="0" fillId="37" fontId="70" numFmtId="0" xfId="0" applyAlignment="1" applyFill="1" applyFont="1">
      <alignment horizontal="center" shrinkToFit="0" wrapText="0"/>
    </xf>
    <xf borderId="0" fillId="0" fontId="71" numFmtId="0" xfId="0" applyFont="1"/>
    <xf borderId="58" fillId="32" fontId="21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/>
    </xf>
    <xf borderId="70" fillId="3" fontId="3" numFmtId="2" xfId="0" applyAlignment="1" applyBorder="1" applyFont="1" applyNumberFormat="1">
      <alignment horizontal="center"/>
    </xf>
    <xf borderId="70" fillId="3" fontId="3" numFmtId="0" xfId="0" applyAlignment="1" applyBorder="1" applyFont="1">
      <alignment horizontal="center"/>
    </xf>
    <xf borderId="46" fillId="3" fontId="6" numFmtId="2" xfId="0" applyAlignment="1" applyBorder="1" applyFont="1" applyNumberFormat="1">
      <alignment horizontal="center"/>
    </xf>
    <xf borderId="27" fillId="3" fontId="3" numFmtId="2" xfId="0" applyAlignment="1" applyBorder="1" applyFont="1" applyNumberFormat="1">
      <alignment horizontal="center"/>
    </xf>
    <xf borderId="77" fillId="3" fontId="3" numFmtId="2" xfId="0" applyAlignment="1" applyBorder="1" applyFont="1" applyNumberFormat="1">
      <alignment horizontal="center"/>
    </xf>
    <xf borderId="28" fillId="3" fontId="6" numFmtId="2" xfId="0" applyAlignment="1" applyBorder="1" applyFont="1" applyNumberFormat="1">
      <alignment horizontal="center"/>
    </xf>
    <xf borderId="70" fillId="3" fontId="6" numFmtId="2" xfId="0" applyAlignment="1" applyBorder="1" applyFont="1" applyNumberFormat="1">
      <alignment horizontal="center"/>
    </xf>
    <xf borderId="16" fillId="3" fontId="6" numFmtId="2" xfId="0" applyAlignment="1" applyBorder="1" applyFont="1" applyNumberFormat="1">
      <alignment horizontal="center"/>
    </xf>
    <xf borderId="138" fillId="3" fontId="6" numFmtId="2" xfId="0" applyAlignment="1" applyBorder="1" applyFont="1" applyNumberFormat="1">
      <alignment horizontal="center"/>
    </xf>
    <xf borderId="31" fillId="3" fontId="6" numFmtId="2" xfId="0" applyAlignment="1" applyBorder="1" applyFont="1" applyNumberFormat="1">
      <alignment horizontal="center"/>
    </xf>
    <xf borderId="57" fillId="4" fontId="6" numFmtId="2" xfId="0" applyAlignment="1" applyBorder="1" applyFont="1" applyNumberFormat="1">
      <alignment horizontal="right"/>
    </xf>
    <xf borderId="0" fillId="0" fontId="23" numFmtId="174" xfId="0" applyFont="1" applyNumberFormat="1"/>
    <xf borderId="13" fillId="3" fontId="3" numFmtId="0" xfId="0" applyAlignment="1" applyBorder="1" applyFont="1">
      <alignment horizontal="left"/>
    </xf>
    <xf borderId="70" fillId="0" fontId="8" numFmtId="0" xfId="0" applyBorder="1" applyFont="1"/>
    <xf borderId="31" fillId="0" fontId="6" numFmtId="2" xfId="0" applyAlignment="1" applyBorder="1" applyFont="1" applyNumberFormat="1">
      <alignment horizontal="right"/>
    </xf>
    <xf borderId="17" fillId="0" fontId="23" numFmtId="0" xfId="0" applyBorder="1" applyFont="1"/>
    <xf borderId="13" fillId="0" fontId="23" numFmtId="0" xfId="0" applyAlignment="1" applyBorder="1" applyFont="1">
      <alignment horizontal="center"/>
    </xf>
    <xf borderId="13" fillId="0" fontId="31" numFmtId="0" xfId="0" applyAlignment="1" applyBorder="1" applyFont="1">
      <alignment horizontal="center"/>
    </xf>
    <xf borderId="20" fillId="11" fontId="23" numFmtId="0" xfId="0" applyAlignment="1" applyBorder="1" applyFont="1">
      <alignment horizontal="center"/>
    </xf>
    <xf borderId="20" fillId="6" fontId="23" numFmtId="0" xfId="0" applyAlignment="1" applyBorder="1" applyFont="1">
      <alignment horizontal="center"/>
    </xf>
    <xf borderId="20" fillId="17" fontId="23" numFmtId="0" xfId="0" applyAlignment="1" applyBorder="1" applyFont="1">
      <alignment horizontal="center"/>
    </xf>
    <xf borderId="79" fillId="0" fontId="72" numFmtId="0" xfId="0" applyBorder="1" applyFont="1"/>
    <xf borderId="69" fillId="0" fontId="23" numFmtId="0" xfId="0" applyAlignment="1" applyBorder="1" applyFont="1">
      <alignment horizontal="center"/>
    </xf>
    <xf borderId="0" fillId="4" fontId="27" numFmtId="0" xfId="0" applyFont="1"/>
    <xf borderId="0" fillId="11" fontId="31" numFmtId="0" xfId="0" applyFont="1"/>
    <xf borderId="0" fillId="17" fontId="23" numFmtId="0" xfId="0" applyFont="1"/>
    <xf borderId="58" fillId="32" fontId="6" numFmtId="0" xfId="0" applyAlignment="1" applyBorder="1" applyFont="1">
      <alignment horizontal="center"/>
    </xf>
    <xf borderId="139" fillId="3" fontId="3" numFmtId="0" xfId="0" applyAlignment="1" applyBorder="1" applyFont="1">
      <alignment horizontal="center"/>
    </xf>
    <xf borderId="140" fillId="3" fontId="3" numFmtId="0" xfId="0" applyAlignment="1" applyBorder="1" applyFont="1">
      <alignment horizontal="center"/>
    </xf>
    <xf borderId="141" fillId="3" fontId="3" numFmtId="0" xfId="0" applyAlignment="1" applyBorder="1" applyFont="1">
      <alignment horizontal="center"/>
    </xf>
    <xf borderId="142" fillId="3" fontId="6" numFmtId="0" xfId="0" applyAlignment="1" applyBorder="1" applyFont="1">
      <alignment horizontal="center"/>
    </xf>
    <xf borderId="20" fillId="0" fontId="3" numFmtId="1" xfId="0" applyAlignment="1" applyBorder="1" applyFont="1" applyNumberFormat="1">
      <alignment horizontal="center"/>
    </xf>
    <xf borderId="20" fillId="5" fontId="6" numFmtId="1" xfId="0" applyAlignment="1" applyBorder="1" applyFont="1" applyNumberFormat="1">
      <alignment horizontal="right"/>
    </xf>
    <xf borderId="0" fillId="0" fontId="3" numFmtId="1" xfId="0" applyAlignment="1" applyFont="1" applyNumberFormat="1">
      <alignment horizontal="center"/>
    </xf>
    <xf borderId="0" fillId="0" fontId="6" numFmtId="1" xfId="0" applyAlignment="1" applyFont="1" applyNumberFormat="1">
      <alignment horizontal="right"/>
    </xf>
    <xf borderId="0" fillId="13" fontId="23" numFmtId="0" xfId="0" applyFont="1"/>
    <xf borderId="58" fillId="38" fontId="6" numFmtId="0" xfId="0" applyAlignment="1" applyBorder="1" applyFill="1" applyFont="1">
      <alignment horizontal="center"/>
    </xf>
    <xf borderId="75" fillId="3" fontId="6" numFmtId="0" xfId="0" applyAlignment="1" applyBorder="1" applyFont="1">
      <alignment horizontal="center"/>
    </xf>
    <xf borderId="31" fillId="0" fontId="3" numFmtId="0" xfId="0" applyAlignment="1" applyBorder="1" applyFont="1">
      <alignment horizontal="left"/>
    </xf>
    <xf borderId="57" fillId="5" fontId="6" numFmtId="4" xfId="0" applyAlignment="1" applyBorder="1" applyFont="1" applyNumberFormat="1">
      <alignment horizontal="right"/>
    </xf>
    <xf borderId="0" fillId="0" fontId="23" numFmtId="0" xfId="0" applyAlignment="1" applyFont="1">
      <alignment horizontal="left"/>
    </xf>
    <xf borderId="20" fillId="0" fontId="3" numFmtId="0" xfId="0" applyAlignment="1" applyBorder="1" applyFont="1">
      <alignment horizontal="left"/>
    </xf>
    <xf borderId="58" fillId="3" fontId="3" numFmtId="0" xfId="0" applyAlignment="1" applyBorder="1" applyFont="1">
      <alignment horizontal="center"/>
    </xf>
    <xf borderId="77" fillId="3" fontId="3" numFmtId="0" xfId="0" applyAlignment="1" applyBorder="1" applyFont="1">
      <alignment horizontal="center"/>
    </xf>
    <xf borderId="57" fillId="5" fontId="6" numFmtId="169" xfId="0" applyAlignment="1" applyBorder="1" applyFont="1" applyNumberFormat="1">
      <alignment horizontal="right"/>
    </xf>
    <xf borderId="27" fillId="0" fontId="3" numFmtId="166" xfId="0" applyAlignment="1" applyBorder="1" applyFont="1" applyNumberFormat="1">
      <alignment horizontal="center"/>
    </xf>
    <xf borderId="134" fillId="5" fontId="6" numFmtId="169" xfId="0" applyAlignment="1" applyBorder="1" applyFont="1" applyNumberFormat="1">
      <alignment horizontal="right"/>
    </xf>
    <xf borderId="27" fillId="5" fontId="6" numFmtId="169" xfId="0" applyAlignment="1" applyBorder="1" applyFont="1" applyNumberFormat="1">
      <alignment horizontal="right"/>
    </xf>
    <xf borderId="0" fillId="0" fontId="3" numFmtId="0" xfId="0" applyAlignment="1" applyFont="1">
      <alignment vertical="bottom"/>
    </xf>
    <xf borderId="58" fillId="18" fontId="6" numFmtId="166" xfId="0" applyAlignment="1" applyBorder="1" applyFont="1" applyNumberFormat="1">
      <alignment horizontal="center"/>
    </xf>
    <xf borderId="133" fillId="3" fontId="3" numFmtId="166" xfId="0" applyAlignment="1" applyBorder="1" applyFont="1" applyNumberFormat="1">
      <alignment horizontal="center"/>
    </xf>
    <xf borderId="134" fillId="3" fontId="3" numFmtId="166" xfId="0" applyAlignment="1" applyBorder="1" applyFont="1" applyNumberFormat="1">
      <alignment horizontal="center"/>
    </xf>
    <xf borderId="135" fillId="3" fontId="3" numFmtId="166" xfId="0" applyAlignment="1" applyBorder="1" applyFont="1" applyNumberFormat="1">
      <alignment horizontal="center"/>
    </xf>
    <xf borderId="75" fillId="3" fontId="6" numFmtId="166" xfId="0" applyAlignment="1" applyBorder="1" applyFont="1" applyNumberFormat="1">
      <alignment horizontal="center"/>
    </xf>
    <xf borderId="57" fillId="5" fontId="6" numFmtId="166" xfId="0" applyAlignment="1" applyBorder="1" applyFont="1" applyNumberFormat="1">
      <alignment horizontal="right"/>
    </xf>
    <xf borderId="20" fillId="3" fontId="3" numFmtId="166" xfId="0" applyAlignment="1" applyBorder="1" applyFont="1" applyNumberFormat="1">
      <alignment horizontal="center"/>
    </xf>
    <xf borderId="143" fillId="3" fontId="3" numFmtId="166" xfId="0" applyAlignment="1" applyBorder="1" applyFont="1" applyNumberFormat="1">
      <alignment horizontal="center"/>
    </xf>
    <xf borderId="20" fillId="3" fontId="6" numFmtId="166" xfId="0" applyAlignment="1" applyBorder="1" applyFont="1" applyNumberFormat="1">
      <alignment horizontal="center"/>
    </xf>
    <xf borderId="31" fillId="5" fontId="6" numFmtId="166" xfId="0" applyAlignment="1" applyBorder="1" applyFont="1" applyNumberFormat="1">
      <alignment horizontal="right"/>
    </xf>
    <xf borderId="58" fillId="18" fontId="6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1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31</xdr:row>
      <xdr:rowOff>0</xdr:rowOff>
    </xdr:from>
    <xdr:ext cx="6029325" cy="1981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117</xdr:row>
      <xdr:rowOff>38100</xdr:rowOff>
    </xdr:from>
    <xdr:ext cx="1419225" cy="12668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125</xdr:row>
      <xdr:rowOff>19050</xdr:rowOff>
    </xdr:from>
    <xdr:ext cx="1266825" cy="125730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132</xdr:row>
      <xdr:rowOff>180975</xdr:rowOff>
    </xdr:from>
    <xdr:ext cx="1514475" cy="14859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141</xdr:row>
      <xdr:rowOff>190500</xdr:rowOff>
    </xdr:from>
    <xdr:ext cx="1419225" cy="148590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333375</xdr:colOff>
      <xdr:row>117</xdr:row>
      <xdr:rowOff>38100</xdr:rowOff>
    </xdr:from>
    <xdr:ext cx="6229350" cy="5734050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158</xdr:row>
      <xdr:rowOff>104775</xdr:rowOff>
    </xdr:from>
    <xdr:ext cx="3219450" cy="529590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409575</xdr:colOff>
      <xdr:row>24</xdr:row>
      <xdr:rowOff>200025</xdr:rowOff>
    </xdr:from>
    <xdr:ext cx="10439400" cy="58483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3190875</xdr:colOff>
      <xdr:row>44</xdr:row>
      <xdr:rowOff>133350</xdr:rowOff>
    </xdr:from>
    <xdr:ext cx="10887075" cy="1005840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44</xdr:row>
      <xdr:rowOff>133350</xdr:rowOff>
    </xdr:from>
    <xdr:ext cx="10067925" cy="1053465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371475" cy="1905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962025" cy="180975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drive.google.com/file/d/18OC_u9ew9d-EQaFWQaPfCqFqfYWEiq1C/view?usp=drive_link" TargetMode="External"/><Relationship Id="rId10" Type="http://schemas.openxmlformats.org/officeDocument/2006/relationships/hyperlink" Target="https://drive.google.com/file/d/18OC_u9ew9d-EQaFWQaPfCqFqfYWEiq1C/view?usp=drive_link" TargetMode="External"/><Relationship Id="rId13" Type="http://schemas.openxmlformats.org/officeDocument/2006/relationships/hyperlink" Target="https://drive.google.com/file/d/18OC_u9ew9d-EQaFWQaPfCqFqfYWEiq1C/view?usp=drive_link" TargetMode="External"/><Relationship Id="rId12" Type="http://schemas.openxmlformats.org/officeDocument/2006/relationships/hyperlink" Target="https://drive.google.com/file/d/18OC_u9ew9d-EQaFWQaPfCqFqfYWEiq1C/view?usp=drive_link" TargetMode="External"/><Relationship Id="rId1" Type="http://schemas.openxmlformats.org/officeDocument/2006/relationships/hyperlink" Target="https://drive.google.com/file/d/1xO_we1LZiN-3H5p6eZ9VjHihwgqY3X2K/view?usp=sharing" TargetMode="External"/><Relationship Id="rId2" Type="http://schemas.openxmlformats.org/officeDocument/2006/relationships/hyperlink" Target="https://drive.google.com/file/d/16G3zTUUINt3-1_0WyGn8rZILgNP6EoOH/view?usp=sharing" TargetMode="External"/><Relationship Id="rId3" Type="http://schemas.openxmlformats.org/officeDocument/2006/relationships/hyperlink" Target="https://drive.google.com/file/d/16G3zTUUINt3-1_0WyGn8rZILgNP6EoOH/view?usp=sharing" TargetMode="External"/><Relationship Id="rId4" Type="http://schemas.openxmlformats.org/officeDocument/2006/relationships/hyperlink" Target="https://drive.google.com/file/d/1sg79ZGsy1TrjRFpgHtqpsU1OLhXpHV0L/view?usp=drive_link" TargetMode="External"/><Relationship Id="rId9" Type="http://schemas.openxmlformats.org/officeDocument/2006/relationships/hyperlink" Target="https://drive.google.com/file/d/18OC_u9ew9d-EQaFWQaPfCqFqfYWEiq1C/view?usp=drive_link" TargetMode="External"/><Relationship Id="rId15" Type="http://schemas.openxmlformats.org/officeDocument/2006/relationships/hyperlink" Target="https://drive.google.com/file/d/1dEy9j775c2HAPoT28AQE88SglE2EvPen/view?usp=sharing" TargetMode="External"/><Relationship Id="rId14" Type="http://schemas.openxmlformats.org/officeDocument/2006/relationships/hyperlink" Target="https://drive.google.com/file/d/18OC_u9ew9d-EQaFWQaPfCqFqfYWEiq1C/view?usp=drive_link" TargetMode="External"/><Relationship Id="rId17" Type="http://schemas.openxmlformats.org/officeDocument/2006/relationships/hyperlink" Target="https://drive.google.com/file/d/148aTvnAlplDzFi7Yv77nEqJOEioTdeoR/view?usp=drive_link" TargetMode="External"/><Relationship Id="rId16" Type="http://schemas.openxmlformats.org/officeDocument/2006/relationships/hyperlink" Target="https://drive.google.com/file/d/148aTvnAlplDzFi7Yv77nEqJOEioTdeoR/view?usp=drive_link" TargetMode="External"/><Relationship Id="rId5" Type="http://schemas.openxmlformats.org/officeDocument/2006/relationships/hyperlink" Target="https://drive.google.com/file/d/1sg79ZGsy1TrjRFpgHtqpsU1OLhXpHV0L/view?usp=drive_link" TargetMode="External"/><Relationship Id="rId19" Type="http://schemas.openxmlformats.org/officeDocument/2006/relationships/hyperlink" Target="https://www.titantool.com/powrcoat-940.html" TargetMode="External"/><Relationship Id="rId6" Type="http://schemas.openxmlformats.org/officeDocument/2006/relationships/hyperlink" Target="https://drive.google.com/file/d/1sg79ZGsy1TrjRFpgHtqpsU1OLhXpHV0L/view?usp=drive_link" TargetMode="External"/><Relationship Id="rId18" Type="http://schemas.openxmlformats.org/officeDocument/2006/relationships/hyperlink" Target="https://drive.google.com/file/d/1EDsnJtX_JEoF7Gc2hgBlPXCFGfF7mTQa/view?usp=drive_link" TargetMode="External"/><Relationship Id="rId7" Type="http://schemas.openxmlformats.org/officeDocument/2006/relationships/hyperlink" Target="https://drive.google.com/file/d/18OC_u9ew9d-EQaFWQaPfCqFqfYWEiq1C/view?usp=drive_link" TargetMode="External"/><Relationship Id="rId8" Type="http://schemas.openxmlformats.org/officeDocument/2006/relationships/hyperlink" Target="https://drive.google.com/file/d/18OC_u9ew9d-EQaFWQaPfCqFqfYWEiq1C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ibb.co/rM8LzNR" TargetMode="External"/><Relationship Id="rId42" Type="http://schemas.openxmlformats.org/officeDocument/2006/relationships/hyperlink" Target="https://ibb.co/FsdSf6s" TargetMode="External"/><Relationship Id="rId41" Type="http://schemas.openxmlformats.org/officeDocument/2006/relationships/hyperlink" Target="https://ibb.co/VJj302h" TargetMode="External"/><Relationship Id="rId44" Type="http://schemas.openxmlformats.org/officeDocument/2006/relationships/hyperlink" Target="https://ibb.co/zFjBMXR" TargetMode="External"/><Relationship Id="rId43" Type="http://schemas.openxmlformats.org/officeDocument/2006/relationships/hyperlink" Target="https://ibb.co/XWJyFXm" TargetMode="External"/><Relationship Id="rId46" Type="http://schemas.openxmlformats.org/officeDocument/2006/relationships/hyperlink" Target="https://ibb.co/dpc1b3j" TargetMode="External"/><Relationship Id="rId45" Type="http://schemas.openxmlformats.org/officeDocument/2006/relationships/hyperlink" Target="https://ibb.co/GVvKc4v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ibb.co/SJmhCp0" TargetMode="External"/><Relationship Id="rId3" Type="http://schemas.openxmlformats.org/officeDocument/2006/relationships/hyperlink" Target="https://ibb.co/6YsM1f6" TargetMode="External"/><Relationship Id="rId4" Type="http://schemas.openxmlformats.org/officeDocument/2006/relationships/hyperlink" Target="https://ibb.co/cYvmTWV" TargetMode="External"/><Relationship Id="rId9" Type="http://schemas.openxmlformats.org/officeDocument/2006/relationships/hyperlink" Target="https://ibb.co/gWmX62y" TargetMode="External"/><Relationship Id="rId48" Type="http://schemas.openxmlformats.org/officeDocument/2006/relationships/hyperlink" Target="https://ibb.co/tw6hmC2" TargetMode="External"/><Relationship Id="rId47" Type="http://schemas.openxmlformats.org/officeDocument/2006/relationships/hyperlink" Target="https://ibb.co/829ZZxd" TargetMode="External"/><Relationship Id="rId49" Type="http://schemas.openxmlformats.org/officeDocument/2006/relationships/hyperlink" Target="https://ibb.co/HHdRzJJ" TargetMode="External"/><Relationship Id="rId5" Type="http://schemas.openxmlformats.org/officeDocument/2006/relationships/hyperlink" Target="https://ibb.co/gWmX62y" TargetMode="External"/><Relationship Id="rId6" Type="http://schemas.openxmlformats.org/officeDocument/2006/relationships/hyperlink" Target="https://ibb.co/SJmhCp0" TargetMode="External"/><Relationship Id="rId7" Type="http://schemas.openxmlformats.org/officeDocument/2006/relationships/hyperlink" Target="https://ibb.co/6YsM1f6" TargetMode="External"/><Relationship Id="rId8" Type="http://schemas.openxmlformats.org/officeDocument/2006/relationships/hyperlink" Target="https://ibb.co/cYvmTWV" TargetMode="External"/><Relationship Id="rId73" Type="http://schemas.openxmlformats.org/officeDocument/2006/relationships/vmlDrawing" Target="../drawings/vmlDrawing2.vml"/><Relationship Id="rId72" Type="http://schemas.openxmlformats.org/officeDocument/2006/relationships/drawing" Target="../drawings/drawing7.xml"/><Relationship Id="rId31" Type="http://schemas.openxmlformats.org/officeDocument/2006/relationships/hyperlink" Target="https://ibb.co/cXXmh3z" TargetMode="External"/><Relationship Id="rId30" Type="http://schemas.openxmlformats.org/officeDocument/2006/relationships/hyperlink" Target="https://ibb.co/m6SMJWt" TargetMode="External"/><Relationship Id="rId33" Type="http://schemas.openxmlformats.org/officeDocument/2006/relationships/hyperlink" Target="https://ibb.co/yRhNqHS" TargetMode="External"/><Relationship Id="rId32" Type="http://schemas.openxmlformats.org/officeDocument/2006/relationships/hyperlink" Target="https://ibb.co/PgQ6xYn" TargetMode="External"/><Relationship Id="rId35" Type="http://schemas.openxmlformats.org/officeDocument/2006/relationships/hyperlink" Target="https://ibb.co/XjJFh9N" TargetMode="External"/><Relationship Id="rId34" Type="http://schemas.openxmlformats.org/officeDocument/2006/relationships/hyperlink" Target="https://ibb.co/pQz2ZG4" TargetMode="External"/><Relationship Id="rId71" Type="http://schemas.openxmlformats.org/officeDocument/2006/relationships/hyperlink" Target="https://ibb.co/zW37Xfm" TargetMode="External"/><Relationship Id="rId70" Type="http://schemas.openxmlformats.org/officeDocument/2006/relationships/hyperlink" Target="https://ibb.co/XFnhLLD" TargetMode="External"/><Relationship Id="rId37" Type="http://schemas.openxmlformats.org/officeDocument/2006/relationships/hyperlink" Target="https://ibb.co/jWJVCq9" TargetMode="External"/><Relationship Id="rId36" Type="http://schemas.openxmlformats.org/officeDocument/2006/relationships/hyperlink" Target="https://ibb.co/9hbT79F" TargetMode="External"/><Relationship Id="rId39" Type="http://schemas.openxmlformats.org/officeDocument/2006/relationships/hyperlink" Target="https://ibb.co/tK0NTnn" TargetMode="External"/><Relationship Id="rId38" Type="http://schemas.openxmlformats.org/officeDocument/2006/relationships/hyperlink" Target="https://ibb.co/BcvRWy0" TargetMode="External"/><Relationship Id="rId62" Type="http://schemas.openxmlformats.org/officeDocument/2006/relationships/hyperlink" Target="https://ibb.co/1bSnWtz" TargetMode="External"/><Relationship Id="rId61" Type="http://schemas.openxmlformats.org/officeDocument/2006/relationships/hyperlink" Target="https://ibb.co/zmwgQRk" TargetMode="External"/><Relationship Id="rId20" Type="http://schemas.openxmlformats.org/officeDocument/2006/relationships/hyperlink" Target="https://ibb.co/cYvmTWV" TargetMode="External"/><Relationship Id="rId64" Type="http://schemas.openxmlformats.org/officeDocument/2006/relationships/hyperlink" Target="https://ibb.co/XFnhLLD" TargetMode="External"/><Relationship Id="rId63" Type="http://schemas.openxmlformats.org/officeDocument/2006/relationships/hyperlink" Target="https://ibb.co/WcMC9Q0" TargetMode="External"/><Relationship Id="rId22" Type="http://schemas.openxmlformats.org/officeDocument/2006/relationships/hyperlink" Target="https://ibb.co/cYvmTWV" TargetMode="External"/><Relationship Id="rId66" Type="http://schemas.openxmlformats.org/officeDocument/2006/relationships/hyperlink" Target="https://ibb.co/G2Rgyrp" TargetMode="External"/><Relationship Id="rId21" Type="http://schemas.openxmlformats.org/officeDocument/2006/relationships/hyperlink" Target="https://ibb.co/gWmX62y" TargetMode="External"/><Relationship Id="rId65" Type="http://schemas.openxmlformats.org/officeDocument/2006/relationships/hyperlink" Target="https://ibb.co/zW37Xfm" TargetMode="External"/><Relationship Id="rId24" Type="http://schemas.openxmlformats.org/officeDocument/2006/relationships/hyperlink" Target="https://ibb.co/cYvmTWV" TargetMode="External"/><Relationship Id="rId68" Type="http://schemas.openxmlformats.org/officeDocument/2006/relationships/hyperlink" Target="https://ibb.co/7Xkgm0J" TargetMode="External"/><Relationship Id="rId23" Type="http://schemas.openxmlformats.org/officeDocument/2006/relationships/hyperlink" Target="https://ibb.co/gWmX62y" TargetMode="External"/><Relationship Id="rId67" Type="http://schemas.openxmlformats.org/officeDocument/2006/relationships/hyperlink" Target="https://ibb.co/6D5GCzM" TargetMode="External"/><Relationship Id="rId60" Type="http://schemas.openxmlformats.org/officeDocument/2006/relationships/hyperlink" Target="https://ibb.co/NVXbqxc" TargetMode="External"/><Relationship Id="rId26" Type="http://schemas.openxmlformats.org/officeDocument/2006/relationships/hyperlink" Target="https://ibb.co/cYvmTWV" TargetMode="External"/><Relationship Id="rId25" Type="http://schemas.openxmlformats.org/officeDocument/2006/relationships/hyperlink" Target="https://ibb.co/gWmX62y" TargetMode="External"/><Relationship Id="rId69" Type="http://schemas.openxmlformats.org/officeDocument/2006/relationships/hyperlink" Target="https://ibb.co/7Xkgm0J" TargetMode="External"/><Relationship Id="rId28" Type="http://schemas.openxmlformats.org/officeDocument/2006/relationships/hyperlink" Target="https://ibb.co/LYRx5bg" TargetMode="External"/><Relationship Id="rId27" Type="http://schemas.openxmlformats.org/officeDocument/2006/relationships/hyperlink" Target="https://ibb.co/gWmX62y" TargetMode="External"/><Relationship Id="rId29" Type="http://schemas.openxmlformats.org/officeDocument/2006/relationships/hyperlink" Target="https://ibb.co/0DzHGqG" TargetMode="External"/><Relationship Id="rId51" Type="http://schemas.openxmlformats.org/officeDocument/2006/relationships/hyperlink" Target="https://ibb.co/HGby6xS" TargetMode="External"/><Relationship Id="rId50" Type="http://schemas.openxmlformats.org/officeDocument/2006/relationships/hyperlink" Target="https://ibb.co/kGLnhFw" TargetMode="External"/><Relationship Id="rId53" Type="http://schemas.openxmlformats.org/officeDocument/2006/relationships/hyperlink" Target="https://ibb.co/vZpWRqK" TargetMode="External"/><Relationship Id="rId52" Type="http://schemas.openxmlformats.org/officeDocument/2006/relationships/hyperlink" Target="https://ibb.co/HGby6xS" TargetMode="External"/><Relationship Id="rId11" Type="http://schemas.openxmlformats.org/officeDocument/2006/relationships/hyperlink" Target="https://ibb.co/6YsM1f6" TargetMode="External"/><Relationship Id="rId55" Type="http://schemas.openxmlformats.org/officeDocument/2006/relationships/hyperlink" Target="https://ibb.co/0F1p1T7" TargetMode="External"/><Relationship Id="rId10" Type="http://schemas.openxmlformats.org/officeDocument/2006/relationships/hyperlink" Target="https://ibb.co/SJmhCp0" TargetMode="External"/><Relationship Id="rId54" Type="http://schemas.openxmlformats.org/officeDocument/2006/relationships/hyperlink" Target="https://ibb.co/W0ckTTJ" TargetMode="External"/><Relationship Id="rId13" Type="http://schemas.openxmlformats.org/officeDocument/2006/relationships/hyperlink" Target="https://ibb.co/gWmX62y" TargetMode="External"/><Relationship Id="rId57" Type="http://schemas.openxmlformats.org/officeDocument/2006/relationships/hyperlink" Target="https://ibb.co/sCf8bGb" TargetMode="External"/><Relationship Id="rId12" Type="http://schemas.openxmlformats.org/officeDocument/2006/relationships/hyperlink" Target="https://ibb.co/cYvmTWV" TargetMode="External"/><Relationship Id="rId56" Type="http://schemas.openxmlformats.org/officeDocument/2006/relationships/hyperlink" Target="https://ibb.co/18BqdjM" TargetMode="External"/><Relationship Id="rId15" Type="http://schemas.openxmlformats.org/officeDocument/2006/relationships/hyperlink" Target="https://ibb.co/6YsM1f6" TargetMode="External"/><Relationship Id="rId59" Type="http://schemas.openxmlformats.org/officeDocument/2006/relationships/hyperlink" Target="https://ibb.co/0F1p1T7" TargetMode="External"/><Relationship Id="rId14" Type="http://schemas.openxmlformats.org/officeDocument/2006/relationships/hyperlink" Target="https://ibb.co/SJmhCp0" TargetMode="External"/><Relationship Id="rId58" Type="http://schemas.openxmlformats.org/officeDocument/2006/relationships/hyperlink" Target="https://ibb.co/ThKkyrc" TargetMode="External"/><Relationship Id="rId17" Type="http://schemas.openxmlformats.org/officeDocument/2006/relationships/hyperlink" Target="https://ibb.co/gWmX62y" TargetMode="External"/><Relationship Id="rId16" Type="http://schemas.openxmlformats.org/officeDocument/2006/relationships/hyperlink" Target="https://ibb.co/cYvmTWV" TargetMode="External"/><Relationship Id="rId19" Type="http://schemas.openxmlformats.org/officeDocument/2006/relationships/hyperlink" Target="https://ibb.co/6YsM1f6" TargetMode="External"/><Relationship Id="rId18" Type="http://schemas.openxmlformats.org/officeDocument/2006/relationships/hyperlink" Target="https://ibb.co/SJmhCp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66.57"/>
    <col customWidth="1" min="3" max="3" width="20.71"/>
    <col customWidth="1" min="4" max="4" width="17.71"/>
    <col customWidth="1" min="5" max="5" width="23.86"/>
    <col customWidth="1" min="6" max="10" width="17.71"/>
    <col customWidth="1" min="11" max="11" width="11.29"/>
    <col customWidth="1" min="12" max="12" width="21.29"/>
    <col customWidth="1" min="13" max="13" width="16.14"/>
    <col customWidth="1" min="14" max="14" width="17.57"/>
    <col customWidth="1" min="15" max="15" width="10.71"/>
    <col customWidth="1" min="16" max="16" width="21.43"/>
    <col customWidth="1" min="17" max="19" width="10.71"/>
    <col customWidth="1" min="20" max="20" width="40.43"/>
    <col customWidth="1" min="21" max="38" width="10.71"/>
  </cols>
  <sheetData>
    <row r="1" ht="24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4"/>
      <c r="N2" s="14"/>
      <c r="O2" s="14"/>
      <c r="P2" s="15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ht="14.25" customHeight="1">
      <c r="A3" s="16"/>
      <c r="B3" s="17" t="s">
        <v>14</v>
      </c>
      <c r="C3" s="18"/>
      <c r="D3" s="18"/>
      <c r="E3" s="19"/>
      <c r="F3" s="19"/>
      <c r="G3" s="19"/>
      <c r="H3" s="19"/>
      <c r="I3" s="18"/>
      <c r="J3" s="18"/>
      <c r="K3" s="20"/>
      <c r="L3" s="18"/>
      <c r="M3" s="13"/>
      <c r="N3" s="13"/>
      <c r="O3" s="13"/>
      <c r="P3" s="21"/>
      <c r="Q3" s="21"/>
      <c r="R3" s="21"/>
      <c r="S3" s="21"/>
      <c r="T3" s="22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14"/>
    </row>
    <row r="4">
      <c r="A4" s="23" t="s">
        <v>15</v>
      </c>
      <c r="B4" s="24" t="s">
        <v>16</v>
      </c>
      <c r="C4" s="25">
        <v>30.0</v>
      </c>
      <c r="D4" s="25" t="s">
        <v>17</v>
      </c>
      <c r="E4" s="26" t="s">
        <v>18</v>
      </c>
      <c r="F4" s="26" t="s">
        <v>19</v>
      </c>
      <c r="G4" s="26" t="s">
        <v>20</v>
      </c>
      <c r="H4" s="26" t="s">
        <v>21</v>
      </c>
      <c r="I4" s="26" t="s">
        <v>22</v>
      </c>
      <c r="J4" s="27">
        <v>28.14</v>
      </c>
      <c r="K4" s="28">
        <f t="shared" ref="K4:K12" si="1">J4*1.15</f>
        <v>32.361</v>
      </c>
      <c r="L4" s="29">
        <f t="shared" ref="L4:L12" si="2">K4*1.22</f>
        <v>39.48042</v>
      </c>
      <c r="M4" s="30">
        <f t="shared" ref="M4:M10" si="3">K4</f>
        <v>32.361</v>
      </c>
      <c r="N4" s="30">
        <f t="shared" ref="N4:N12" si="4">M4*1.22</f>
        <v>39.48042</v>
      </c>
      <c r="O4" s="31"/>
      <c r="P4" s="21"/>
      <c r="Q4" s="21"/>
      <c r="R4" s="21"/>
      <c r="S4" s="21"/>
      <c r="T4" s="22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14"/>
    </row>
    <row r="5">
      <c r="A5" s="32" t="s">
        <v>23</v>
      </c>
      <c r="B5" s="33" t="s">
        <v>24</v>
      </c>
      <c r="C5" s="25">
        <v>50.0</v>
      </c>
      <c r="D5" s="25" t="s">
        <v>17</v>
      </c>
      <c r="E5" s="26" t="s">
        <v>18</v>
      </c>
      <c r="F5" s="26" t="s">
        <v>19</v>
      </c>
      <c r="G5" s="26" t="s">
        <v>20</v>
      </c>
      <c r="H5" s="26" t="s">
        <v>21</v>
      </c>
      <c r="I5" s="26" t="s">
        <v>22</v>
      </c>
      <c r="J5" s="34">
        <v>31.9</v>
      </c>
      <c r="K5" s="35">
        <f t="shared" si="1"/>
        <v>36.685</v>
      </c>
      <c r="L5" s="36">
        <f t="shared" si="2"/>
        <v>44.7557</v>
      </c>
      <c r="M5" s="30">
        <f t="shared" si="3"/>
        <v>36.685</v>
      </c>
      <c r="N5" s="30">
        <f t="shared" si="4"/>
        <v>44.7557</v>
      </c>
      <c r="O5" s="31"/>
      <c r="P5" s="21"/>
      <c r="Q5" s="21"/>
      <c r="R5" s="21"/>
      <c r="S5" s="21"/>
      <c r="T5" s="22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10"/>
    </row>
    <row r="6">
      <c r="A6" s="37" t="s">
        <v>25</v>
      </c>
      <c r="B6" s="38" t="s">
        <v>26</v>
      </c>
      <c r="C6" s="25">
        <v>30.0</v>
      </c>
      <c r="D6" s="25" t="s">
        <v>17</v>
      </c>
      <c r="E6" s="26" t="s">
        <v>18</v>
      </c>
      <c r="F6" s="26" t="s">
        <v>27</v>
      </c>
      <c r="G6" s="26" t="s">
        <v>20</v>
      </c>
      <c r="H6" s="26" t="s">
        <v>21</v>
      </c>
      <c r="I6" s="26" t="s">
        <v>22</v>
      </c>
      <c r="J6" s="27">
        <f>33.45*1.0385</f>
        <v>34.737825</v>
      </c>
      <c r="K6" s="28">
        <f t="shared" si="1"/>
        <v>39.94849875</v>
      </c>
      <c r="L6" s="39">
        <f t="shared" si="2"/>
        <v>48.73716848</v>
      </c>
      <c r="M6" s="30">
        <f t="shared" si="3"/>
        <v>39.94849875</v>
      </c>
      <c r="N6" s="30">
        <f t="shared" si="4"/>
        <v>48.73716848</v>
      </c>
      <c r="O6" s="31"/>
      <c r="P6" s="21"/>
      <c r="Q6" s="21"/>
      <c r="R6" s="21"/>
      <c r="S6" s="21"/>
      <c r="T6" s="22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10"/>
    </row>
    <row r="7">
      <c r="A7" s="37" t="s">
        <v>28</v>
      </c>
      <c r="B7" s="40" t="s">
        <v>29</v>
      </c>
      <c r="C7" s="25">
        <v>40.0</v>
      </c>
      <c r="D7" s="25" t="s">
        <v>17</v>
      </c>
      <c r="E7" s="26" t="s">
        <v>18</v>
      </c>
      <c r="F7" s="26" t="s">
        <v>27</v>
      </c>
      <c r="G7" s="26" t="s">
        <v>20</v>
      </c>
      <c r="H7" s="26" t="s">
        <v>21</v>
      </c>
      <c r="I7" s="26" t="s">
        <v>22</v>
      </c>
      <c r="J7" s="27">
        <v>36.5</v>
      </c>
      <c r="K7" s="41">
        <f t="shared" si="1"/>
        <v>41.975</v>
      </c>
      <c r="L7" s="42">
        <f t="shared" si="2"/>
        <v>51.2095</v>
      </c>
      <c r="M7" s="30">
        <f t="shared" si="3"/>
        <v>41.975</v>
      </c>
      <c r="N7" s="30">
        <f t="shared" si="4"/>
        <v>51.2095</v>
      </c>
      <c r="O7" s="31"/>
      <c r="P7" s="21"/>
      <c r="Q7" s="21"/>
      <c r="R7" s="21"/>
      <c r="S7" s="21"/>
      <c r="T7" s="22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14"/>
    </row>
    <row r="8">
      <c r="A8" s="43" t="s">
        <v>30</v>
      </c>
      <c r="B8" s="44" t="s">
        <v>31</v>
      </c>
      <c r="C8" s="25">
        <v>50.0</v>
      </c>
      <c r="D8" s="25" t="s">
        <v>17</v>
      </c>
      <c r="E8" s="26" t="s">
        <v>18</v>
      </c>
      <c r="F8" s="26" t="s">
        <v>27</v>
      </c>
      <c r="G8" s="26" t="s">
        <v>20</v>
      </c>
      <c r="H8" s="26" t="s">
        <v>21</v>
      </c>
      <c r="I8" s="26" t="s">
        <v>22</v>
      </c>
      <c r="J8" s="45">
        <f>36.84*1.0385</f>
        <v>38.25834</v>
      </c>
      <c r="K8" s="46">
        <f t="shared" si="1"/>
        <v>43.997091</v>
      </c>
      <c r="L8" s="47">
        <f t="shared" si="2"/>
        <v>53.67645102</v>
      </c>
      <c r="M8" s="30">
        <f t="shared" si="3"/>
        <v>43.997091</v>
      </c>
      <c r="N8" s="30">
        <f t="shared" si="4"/>
        <v>53.67645102</v>
      </c>
      <c r="O8" s="31"/>
      <c r="P8" s="21"/>
      <c r="Q8" s="21"/>
      <c r="R8" s="21"/>
      <c r="S8" s="21"/>
      <c r="T8" s="22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14"/>
    </row>
    <row r="9">
      <c r="A9" s="48" t="s">
        <v>32</v>
      </c>
      <c r="B9" s="49" t="s">
        <v>33</v>
      </c>
      <c r="C9" s="25">
        <v>80.0</v>
      </c>
      <c r="D9" s="25" t="s">
        <v>17</v>
      </c>
      <c r="E9" s="26" t="s">
        <v>18</v>
      </c>
      <c r="F9" s="26" t="s">
        <v>27</v>
      </c>
      <c r="G9" s="26" t="s">
        <v>20</v>
      </c>
      <c r="H9" s="26" t="s">
        <v>21</v>
      </c>
      <c r="I9" s="26" t="s">
        <v>22</v>
      </c>
      <c r="J9" s="50">
        <f>43.19*1.0415</f>
        <v>44.982385</v>
      </c>
      <c r="K9" s="51">
        <f t="shared" si="1"/>
        <v>51.72974275</v>
      </c>
      <c r="L9" s="52">
        <f t="shared" si="2"/>
        <v>63.11028616</v>
      </c>
      <c r="M9" s="30">
        <f t="shared" si="3"/>
        <v>51.72974275</v>
      </c>
      <c r="N9" s="30">
        <f t="shared" si="4"/>
        <v>63.11028616</v>
      </c>
      <c r="O9" s="31"/>
      <c r="P9" s="21"/>
      <c r="Q9" s="21"/>
      <c r="R9" s="21"/>
      <c r="S9" s="21"/>
      <c r="T9" s="22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14"/>
    </row>
    <row r="10">
      <c r="A10" s="48" t="s">
        <v>34</v>
      </c>
      <c r="B10" s="49" t="s">
        <v>35</v>
      </c>
      <c r="C10" s="25">
        <v>100.0</v>
      </c>
      <c r="D10" s="25" t="s">
        <v>17</v>
      </c>
      <c r="E10" s="26" t="s">
        <v>18</v>
      </c>
      <c r="F10" s="26" t="s">
        <v>27</v>
      </c>
      <c r="G10" s="26" t="s">
        <v>20</v>
      </c>
      <c r="H10" s="26" t="s">
        <v>21</v>
      </c>
      <c r="I10" s="26" t="s">
        <v>22</v>
      </c>
      <c r="J10" s="50">
        <v>49.39</v>
      </c>
      <c r="K10" s="51">
        <f t="shared" si="1"/>
        <v>56.7985</v>
      </c>
      <c r="L10" s="52">
        <f t="shared" si="2"/>
        <v>69.29417</v>
      </c>
      <c r="M10" s="30">
        <f t="shared" si="3"/>
        <v>56.7985</v>
      </c>
      <c r="N10" s="30">
        <f t="shared" si="4"/>
        <v>69.29417</v>
      </c>
      <c r="O10" s="31"/>
      <c r="P10" s="21"/>
      <c r="Q10" s="21"/>
      <c r="R10" s="21"/>
      <c r="S10" s="21"/>
      <c r="T10" s="22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14"/>
    </row>
    <row r="11">
      <c r="A11" s="48" t="s">
        <v>36</v>
      </c>
      <c r="B11" s="49" t="s">
        <v>37</v>
      </c>
      <c r="C11" s="25">
        <v>50.0</v>
      </c>
      <c r="D11" s="25" t="s">
        <v>17</v>
      </c>
      <c r="E11" s="26" t="s">
        <v>18</v>
      </c>
      <c r="F11" s="26" t="s">
        <v>27</v>
      </c>
      <c r="G11" s="26" t="s">
        <v>20</v>
      </c>
      <c r="H11" s="26" t="s">
        <v>21</v>
      </c>
      <c r="I11" s="26" t="s">
        <v>22</v>
      </c>
      <c r="J11" s="50">
        <v>43.53</v>
      </c>
      <c r="K11" s="51">
        <f t="shared" si="1"/>
        <v>50.0595</v>
      </c>
      <c r="L11" s="53">
        <f t="shared" si="2"/>
        <v>61.07259</v>
      </c>
      <c r="M11" s="30">
        <f>J11*1.4</f>
        <v>60.942</v>
      </c>
      <c r="N11" s="30">
        <f t="shared" si="4"/>
        <v>74.34924</v>
      </c>
      <c r="O11" s="31"/>
      <c r="P11" s="21"/>
      <c r="Q11" s="21"/>
      <c r="R11" s="21"/>
      <c r="S11" s="21"/>
      <c r="T11" s="22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14"/>
    </row>
    <row r="12">
      <c r="A12" s="48" t="s">
        <v>38</v>
      </c>
      <c r="B12" s="49" t="s">
        <v>39</v>
      </c>
      <c r="C12" s="25">
        <v>80.0</v>
      </c>
      <c r="D12" s="25" t="s">
        <v>17</v>
      </c>
      <c r="E12" s="26" t="s">
        <v>18</v>
      </c>
      <c r="F12" s="26" t="s">
        <v>27</v>
      </c>
      <c r="G12" s="26" t="s">
        <v>20</v>
      </c>
      <c r="H12" s="26" t="s">
        <v>21</v>
      </c>
      <c r="I12" s="26" t="s">
        <v>22</v>
      </c>
      <c r="J12" s="50">
        <f>49.11*1.0415</f>
        <v>51.148065</v>
      </c>
      <c r="K12" s="51">
        <f t="shared" si="1"/>
        <v>58.82027475</v>
      </c>
      <c r="L12" s="53">
        <f t="shared" si="2"/>
        <v>71.7607352</v>
      </c>
      <c r="M12" s="30">
        <f>K12</f>
        <v>58.82027475</v>
      </c>
      <c r="N12" s="30">
        <f t="shared" si="4"/>
        <v>71.7607352</v>
      </c>
      <c r="O12" s="31"/>
      <c r="P12" s="21"/>
      <c r="Q12" s="21"/>
      <c r="R12" s="21"/>
      <c r="S12" s="21"/>
      <c r="T12" s="22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14"/>
    </row>
    <row r="13">
      <c r="A13" s="16"/>
      <c r="B13" s="17" t="s">
        <v>40</v>
      </c>
      <c r="C13" s="25"/>
      <c r="D13" s="25"/>
      <c r="E13" s="54"/>
      <c r="F13" s="54"/>
      <c r="G13" s="54"/>
      <c r="H13" s="54"/>
      <c r="I13" s="54"/>
      <c r="J13" s="54"/>
      <c r="K13" s="20"/>
      <c r="L13" s="18"/>
      <c r="M13" s="30"/>
      <c r="N13" s="30"/>
      <c r="O13" s="14"/>
      <c r="P13" s="21"/>
      <c r="Q13" s="21"/>
      <c r="R13" s="21"/>
      <c r="S13" s="21"/>
      <c r="T13" s="22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4"/>
    </row>
    <row r="14">
      <c r="A14" s="23"/>
      <c r="B14" s="24" t="s">
        <v>41</v>
      </c>
      <c r="C14" s="25">
        <v>40.0</v>
      </c>
      <c r="D14" s="25" t="s">
        <v>42</v>
      </c>
      <c r="E14" s="26" t="s">
        <v>18</v>
      </c>
      <c r="F14" s="26" t="s">
        <v>43</v>
      </c>
      <c r="G14" s="55" t="s">
        <v>44</v>
      </c>
      <c r="H14" s="26" t="s">
        <v>21</v>
      </c>
      <c r="I14" s="25" t="s">
        <v>42</v>
      </c>
      <c r="J14" s="27">
        <v>53.97</v>
      </c>
      <c r="K14" s="28">
        <f t="shared" ref="K14:K16" si="5">J14*1.15</f>
        <v>62.0655</v>
      </c>
      <c r="L14" s="29">
        <f t="shared" ref="L14:L19" si="6">K14*1.22</f>
        <v>75.71991</v>
      </c>
      <c r="M14" s="28">
        <f t="shared" ref="M14:M15" si="7">K14</f>
        <v>62.0655</v>
      </c>
      <c r="N14" s="30">
        <f t="shared" ref="N14:N19" si="8">M14*1.22</f>
        <v>75.71991</v>
      </c>
      <c r="O14" s="14"/>
      <c r="P14" s="21"/>
      <c r="Q14" s="21"/>
      <c r="R14" s="21"/>
      <c r="S14" s="21"/>
      <c r="T14" s="22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14"/>
    </row>
    <row r="15">
      <c r="A15" s="56"/>
      <c r="B15" s="24" t="s">
        <v>41</v>
      </c>
      <c r="C15" s="25">
        <v>40.0</v>
      </c>
      <c r="D15" s="25">
        <v>7.0</v>
      </c>
      <c r="E15" s="26" t="s">
        <v>18</v>
      </c>
      <c r="F15" s="26" t="s">
        <v>43</v>
      </c>
      <c r="G15" s="26" t="s">
        <v>44</v>
      </c>
      <c r="H15" s="26" t="s">
        <v>21</v>
      </c>
      <c r="I15" s="25">
        <v>7.0</v>
      </c>
      <c r="J15" s="27">
        <v>53.97</v>
      </c>
      <c r="K15" s="28">
        <f t="shared" si="5"/>
        <v>62.0655</v>
      </c>
      <c r="L15" s="29">
        <f t="shared" si="6"/>
        <v>75.71991</v>
      </c>
      <c r="M15" s="28">
        <f t="shared" si="7"/>
        <v>62.0655</v>
      </c>
      <c r="N15" s="30">
        <f t="shared" si="8"/>
        <v>75.71991</v>
      </c>
      <c r="O15" s="14"/>
      <c r="P15" s="10"/>
      <c r="Q15" s="14"/>
      <c r="R15" s="14"/>
      <c r="S15" s="14"/>
      <c r="T15" s="22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57" t="s">
        <v>45</v>
      </c>
      <c r="B16" s="58" t="s">
        <v>46</v>
      </c>
      <c r="C16" s="59" t="s">
        <v>47</v>
      </c>
      <c r="D16" s="25" t="s">
        <v>48</v>
      </c>
      <c r="E16" s="60" t="s">
        <v>49</v>
      </c>
      <c r="F16" s="60" t="s">
        <v>50</v>
      </c>
      <c r="G16" s="60" t="s">
        <v>50</v>
      </c>
      <c r="H16" s="60" t="s">
        <v>51</v>
      </c>
      <c r="I16" s="60" t="s">
        <v>52</v>
      </c>
      <c r="J16" s="61">
        <v>12.95</v>
      </c>
      <c r="K16" s="62">
        <f t="shared" si="5"/>
        <v>14.8925</v>
      </c>
      <c r="L16" s="53">
        <f t="shared" si="6"/>
        <v>18.16885</v>
      </c>
      <c r="M16" s="30">
        <f t="shared" ref="M16:M19" si="9">J16*1.4</f>
        <v>18.13</v>
      </c>
      <c r="N16" s="30">
        <f t="shared" si="8"/>
        <v>22.1186</v>
      </c>
      <c r="O16" s="14"/>
      <c r="P16" s="10"/>
      <c r="Q16" s="14"/>
      <c r="R16" s="14"/>
      <c r="S16" s="14"/>
      <c r="T16" s="22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57" t="s">
        <v>53</v>
      </c>
      <c r="B17" s="58" t="s">
        <v>54</v>
      </c>
      <c r="C17" s="59" t="s">
        <v>47</v>
      </c>
      <c r="D17" s="25" t="s">
        <v>55</v>
      </c>
      <c r="E17" s="63" t="s">
        <v>56</v>
      </c>
      <c r="F17" s="64" t="s">
        <v>27</v>
      </c>
      <c r="G17" s="26" t="s">
        <v>20</v>
      </c>
      <c r="H17" s="60" t="s">
        <v>51</v>
      </c>
      <c r="I17" s="60" t="s">
        <v>52</v>
      </c>
      <c r="J17" s="45">
        <v>0.33</v>
      </c>
      <c r="K17" s="62">
        <f>J17*1.5</f>
        <v>0.495</v>
      </c>
      <c r="L17" s="53">
        <f t="shared" si="6"/>
        <v>0.6039</v>
      </c>
      <c r="M17" s="30">
        <f t="shared" si="9"/>
        <v>0.462</v>
      </c>
      <c r="N17" s="30">
        <f t="shared" si="8"/>
        <v>0.56364</v>
      </c>
      <c r="O17" s="14"/>
      <c r="P17" s="10"/>
      <c r="Q17" s="14"/>
      <c r="R17" s="14"/>
      <c r="S17" s="14"/>
      <c r="T17" s="22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57" t="s">
        <v>57</v>
      </c>
      <c r="B18" s="58" t="s">
        <v>58</v>
      </c>
      <c r="C18" s="59" t="s">
        <v>47</v>
      </c>
      <c r="D18" s="25" t="s">
        <v>55</v>
      </c>
      <c r="E18" s="60" t="s">
        <v>49</v>
      </c>
      <c r="F18" s="60" t="s">
        <v>50</v>
      </c>
      <c r="G18" s="60" t="s">
        <v>50</v>
      </c>
      <c r="H18" s="60" t="s">
        <v>51</v>
      </c>
      <c r="I18" s="60" t="s">
        <v>52</v>
      </c>
      <c r="J18" s="61">
        <v>7.91</v>
      </c>
      <c r="K18" s="62">
        <f>J18*1.2</f>
        <v>9.492</v>
      </c>
      <c r="L18" s="53">
        <f t="shared" si="6"/>
        <v>11.58024</v>
      </c>
      <c r="M18" s="30">
        <f t="shared" si="9"/>
        <v>11.074</v>
      </c>
      <c r="N18" s="30">
        <f t="shared" si="8"/>
        <v>13.51028</v>
      </c>
      <c r="O18" s="14"/>
      <c r="P18" s="10"/>
      <c r="Q18" s="14"/>
      <c r="R18" s="14"/>
      <c r="S18" s="14"/>
      <c r="T18" s="22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65"/>
      <c r="B19" s="66" t="s">
        <v>59</v>
      </c>
      <c r="C19" s="59" t="s">
        <v>47</v>
      </c>
      <c r="D19" s="25" t="s">
        <v>55</v>
      </c>
      <c r="E19" s="60" t="s">
        <v>49</v>
      </c>
      <c r="F19" s="60" t="s">
        <v>50</v>
      </c>
      <c r="G19" s="60" t="s">
        <v>50</v>
      </c>
      <c r="H19" s="60" t="s">
        <v>51</v>
      </c>
      <c r="I19" s="60" t="s">
        <v>52</v>
      </c>
      <c r="J19" s="67">
        <f>(25.29)*1.19</f>
        <v>30.0951</v>
      </c>
      <c r="K19" s="68">
        <f>J19*1.25</f>
        <v>37.618875</v>
      </c>
      <c r="L19" s="69">
        <f t="shared" si="6"/>
        <v>45.8950275</v>
      </c>
      <c r="M19" s="30">
        <f t="shared" si="9"/>
        <v>42.13314</v>
      </c>
      <c r="N19" s="30">
        <f t="shared" si="8"/>
        <v>51.4024308</v>
      </c>
      <c r="O19" s="65"/>
      <c r="P19" s="65"/>
      <c r="Q19" s="65"/>
      <c r="R19" s="65"/>
      <c r="S19" s="65"/>
      <c r="T19" s="70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</row>
    <row r="20">
      <c r="A20" s="56"/>
      <c r="B20" s="14"/>
      <c r="C20" s="25"/>
      <c r="D20" s="25"/>
      <c r="E20" s="12"/>
      <c r="F20" s="12"/>
      <c r="G20" s="12"/>
      <c r="H20" s="12"/>
      <c r="I20" s="12"/>
      <c r="J20" s="12"/>
      <c r="K20" s="13"/>
      <c r="L20" s="12"/>
      <c r="M20" s="12"/>
      <c r="N20" s="12"/>
      <c r="O20" s="12"/>
      <c r="P20" s="10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ht="15.75" customHeight="1">
      <c r="A21" s="16"/>
      <c r="B21" s="71" t="s">
        <v>60</v>
      </c>
      <c r="C21" s="25"/>
      <c r="D21" s="25"/>
      <c r="E21" s="12"/>
      <c r="F21" s="12"/>
      <c r="G21" s="12"/>
      <c r="H21" s="12"/>
      <c r="I21" s="12"/>
      <c r="J21" s="12"/>
      <c r="K21" s="13"/>
      <c r="L21" s="12"/>
      <c r="M21" s="12"/>
      <c r="N21" s="12"/>
      <c r="O21" s="12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ht="15.75" customHeight="1">
      <c r="A22" s="72" t="s">
        <v>61</v>
      </c>
      <c r="B22" s="38" t="s">
        <v>62</v>
      </c>
      <c r="C22" s="25">
        <v>30.0</v>
      </c>
      <c r="D22" s="25">
        <v>3.03</v>
      </c>
      <c r="E22" s="26" t="s">
        <v>63</v>
      </c>
      <c r="F22" s="26" t="s">
        <v>27</v>
      </c>
      <c r="G22" s="73" t="s">
        <v>64</v>
      </c>
      <c r="H22" s="60" t="s">
        <v>51</v>
      </c>
      <c r="I22" s="74">
        <f t="shared" ref="I22:I31" si="10">D22</f>
        <v>3.03</v>
      </c>
      <c r="J22" s="27">
        <v>13.19</v>
      </c>
      <c r="K22" s="28">
        <f t="shared" ref="K22:K28" si="11">J22*1.2</f>
        <v>15.828</v>
      </c>
      <c r="L22" s="29">
        <f t="shared" ref="L22:L31" si="12">K22*1.22</f>
        <v>19.31016</v>
      </c>
      <c r="M22" s="30">
        <f t="shared" ref="M22:M31" si="13">J22*1.4</f>
        <v>18.466</v>
      </c>
      <c r="N22" s="30">
        <f t="shared" ref="N22:N31" si="14">M22*1.22</f>
        <v>22.52852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ht="15.75" customHeight="1">
      <c r="A23" s="75" t="s">
        <v>65</v>
      </c>
      <c r="B23" s="40" t="s">
        <v>66</v>
      </c>
      <c r="C23" s="76">
        <v>50.0</v>
      </c>
      <c r="D23" s="25">
        <v>3.03</v>
      </c>
      <c r="E23" s="26" t="s">
        <v>63</v>
      </c>
      <c r="F23" s="26" t="s">
        <v>27</v>
      </c>
      <c r="G23" s="73" t="s">
        <v>64</v>
      </c>
      <c r="H23" s="60" t="s">
        <v>51</v>
      </c>
      <c r="I23" s="74">
        <f t="shared" si="10"/>
        <v>3.03</v>
      </c>
      <c r="J23" s="77">
        <v>13.97</v>
      </c>
      <c r="K23" s="41">
        <f t="shared" si="11"/>
        <v>16.764</v>
      </c>
      <c r="L23" s="42">
        <f t="shared" si="12"/>
        <v>20.45208</v>
      </c>
      <c r="M23" s="30">
        <f t="shared" si="13"/>
        <v>19.558</v>
      </c>
      <c r="N23" s="30">
        <f t="shared" si="14"/>
        <v>23.86076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ht="15.75" customHeight="1">
      <c r="A24" s="78" t="s">
        <v>67</v>
      </c>
      <c r="B24" s="79" t="s">
        <v>68</v>
      </c>
      <c r="C24" s="80">
        <v>80.0</v>
      </c>
      <c r="D24" s="25">
        <v>3.03</v>
      </c>
      <c r="E24" s="26" t="s">
        <v>63</v>
      </c>
      <c r="F24" s="26" t="s">
        <v>27</v>
      </c>
      <c r="G24" s="73" t="s">
        <v>64</v>
      </c>
      <c r="H24" s="60" t="s">
        <v>51</v>
      </c>
      <c r="I24" s="74">
        <f t="shared" si="10"/>
        <v>3.03</v>
      </c>
      <c r="J24" s="34">
        <v>14.69</v>
      </c>
      <c r="K24" s="81">
        <f t="shared" si="11"/>
        <v>17.628</v>
      </c>
      <c r="L24" s="36">
        <f t="shared" si="12"/>
        <v>21.50616</v>
      </c>
      <c r="M24" s="30">
        <f t="shared" si="13"/>
        <v>20.566</v>
      </c>
      <c r="N24" s="30">
        <f t="shared" si="14"/>
        <v>25.09052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ht="15.75" customHeight="1">
      <c r="A25" s="72" t="s">
        <v>69</v>
      </c>
      <c r="B25" s="38" t="s">
        <v>70</v>
      </c>
      <c r="C25" s="26">
        <v>30.0</v>
      </c>
      <c r="D25" s="25">
        <v>3.03</v>
      </c>
      <c r="E25" s="26" t="s">
        <v>63</v>
      </c>
      <c r="F25" s="26" t="s">
        <v>27</v>
      </c>
      <c r="G25" s="73" t="s">
        <v>64</v>
      </c>
      <c r="H25" s="60" t="s">
        <v>51</v>
      </c>
      <c r="I25" s="74">
        <f t="shared" si="10"/>
        <v>3.03</v>
      </c>
      <c r="J25" s="27">
        <v>23.51</v>
      </c>
      <c r="K25" s="28">
        <f t="shared" si="11"/>
        <v>28.212</v>
      </c>
      <c r="L25" s="29">
        <f t="shared" si="12"/>
        <v>34.41864</v>
      </c>
      <c r="M25" s="30">
        <f t="shared" si="13"/>
        <v>32.914</v>
      </c>
      <c r="N25" s="30">
        <f t="shared" si="14"/>
        <v>40.15508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ht="15.75" customHeight="1">
      <c r="A26" s="82" t="s">
        <v>71</v>
      </c>
      <c r="B26" s="83" t="s">
        <v>72</v>
      </c>
      <c r="C26" s="76">
        <v>40.0</v>
      </c>
      <c r="D26" s="25">
        <v>3.03</v>
      </c>
      <c r="E26" s="26" t="s">
        <v>63</v>
      </c>
      <c r="F26" s="26" t="s">
        <v>27</v>
      </c>
      <c r="G26" s="73" t="s">
        <v>64</v>
      </c>
      <c r="H26" s="60" t="s">
        <v>51</v>
      </c>
      <c r="I26" s="74">
        <f t="shared" si="10"/>
        <v>3.03</v>
      </c>
      <c r="J26" s="77">
        <v>21.3</v>
      </c>
      <c r="K26" s="41">
        <f t="shared" si="11"/>
        <v>25.56</v>
      </c>
      <c r="L26" s="42">
        <f t="shared" si="12"/>
        <v>31.1832</v>
      </c>
      <c r="M26" s="30">
        <f t="shared" si="13"/>
        <v>29.82</v>
      </c>
      <c r="N26" s="30">
        <f t="shared" si="14"/>
        <v>36.3804</v>
      </c>
      <c r="O26" s="10"/>
      <c r="P26" s="56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ht="15.75" customHeight="1">
      <c r="A27" s="82" t="s">
        <v>73</v>
      </c>
      <c r="B27" s="40" t="s">
        <v>74</v>
      </c>
      <c r="C27" s="76">
        <v>50.0</v>
      </c>
      <c r="D27" s="25">
        <v>3.03</v>
      </c>
      <c r="E27" s="26" t="s">
        <v>63</v>
      </c>
      <c r="F27" s="26" t="s">
        <v>27</v>
      </c>
      <c r="G27" s="73" t="s">
        <v>64</v>
      </c>
      <c r="H27" s="60" t="s">
        <v>51</v>
      </c>
      <c r="I27" s="74">
        <f t="shared" si="10"/>
        <v>3.03</v>
      </c>
      <c r="J27" s="77">
        <v>24.23</v>
      </c>
      <c r="K27" s="41">
        <f t="shared" si="11"/>
        <v>29.076</v>
      </c>
      <c r="L27" s="42">
        <f t="shared" si="12"/>
        <v>35.47272</v>
      </c>
      <c r="M27" s="30">
        <f t="shared" si="13"/>
        <v>33.922</v>
      </c>
      <c r="N27" s="30">
        <f t="shared" si="14"/>
        <v>41.38484</v>
      </c>
      <c r="O27" s="10"/>
      <c r="P27" s="10"/>
      <c r="Q27" s="10"/>
      <c r="R27" s="10"/>
      <c r="T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ht="15.75" customHeight="1">
      <c r="A28" s="84" t="s">
        <v>75</v>
      </c>
      <c r="B28" s="44" t="s">
        <v>76</v>
      </c>
      <c r="C28" s="85">
        <v>80.0</v>
      </c>
      <c r="D28" s="25">
        <v>3.03</v>
      </c>
      <c r="E28" s="26" t="s">
        <v>63</v>
      </c>
      <c r="F28" s="26" t="s">
        <v>27</v>
      </c>
      <c r="G28" s="73" t="s">
        <v>64</v>
      </c>
      <c r="H28" s="60" t="s">
        <v>51</v>
      </c>
      <c r="I28" s="74">
        <f t="shared" si="10"/>
        <v>3.03</v>
      </c>
      <c r="J28" s="86">
        <v>25.7</v>
      </c>
      <c r="K28" s="46">
        <f t="shared" si="11"/>
        <v>30.84</v>
      </c>
      <c r="L28" s="47">
        <f t="shared" si="12"/>
        <v>37.6248</v>
      </c>
      <c r="M28" s="30">
        <f t="shared" si="13"/>
        <v>35.98</v>
      </c>
      <c r="N28" s="30">
        <f t="shared" si="14"/>
        <v>43.8956</v>
      </c>
      <c r="O28" s="10"/>
      <c r="P28" s="87"/>
      <c r="Q28" s="88"/>
      <c r="R28" s="88"/>
      <c r="S28" s="88"/>
      <c r="T28" s="10"/>
      <c r="U28" s="10"/>
      <c r="V28" s="10"/>
      <c r="W28" s="12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ht="15.75" customHeight="1">
      <c r="A29" s="89" t="s">
        <v>77</v>
      </c>
      <c r="B29" s="90" t="s">
        <v>78</v>
      </c>
      <c r="C29" s="91" t="s">
        <v>79</v>
      </c>
      <c r="D29" s="25">
        <v>3.03</v>
      </c>
      <c r="E29" s="26" t="s">
        <v>63</v>
      </c>
      <c r="F29" s="26" t="s">
        <v>27</v>
      </c>
      <c r="G29" s="73" t="s">
        <v>64</v>
      </c>
      <c r="H29" s="60" t="s">
        <v>51</v>
      </c>
      <c r="I29" s="74">
        <f t="shared" si="10"/>
        <v>3.03</v>
      </c>
      <c r="J29" s="92">
        <v>13.84</v>
      </c>
      <c r="K29" s="51">
        <f>J29*1.3</f>
        <v>17.992</v>
      </c>
      <c r="L29" s="52">
        <f t="shared" si="12"/>
        <v>21.95024</v>
      </c>
      <c r="M29" s="30">
        <f t="shared" si="13"/>
        <v>19.376</v>
      </c>
      <c r="N29" s="30">
        <f t="shared" si="14"/>
        <v>23.63872</v>
      </c>
      <c r="O29" s="10"/>
      <c r="P29" s="87"/>
      <c r="Q29" s="88"/>
      <c r="R29" s="88"/>
      <c r="S29" s="88"/>
      <c r="T29" s="10"/>
      <c r="U29" s="10"/>
      <c r="V29" s="10"/>
      <c r="W29" s="12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ht="15.75" customHeight="1">
      <c r="A30" s="93" t="s">
        <v>80</v>
      </c>
      <c r="B30" s="40" t="s">
        <v>81</v>
      </c>
      <c r="C30" s="76">
        <v>50.0</v>
      </c>
      <c r="D30" s="25">
        <v>3.03</v>
      </c>
      <c r="E30" s="26" t="s">
        <v>63</v>
      </c>
      <c r="F30" s="26" t="s">
        <v>82</v>
      </c>
      <c r="G30" s="73" t="s">
        <v>64</v>
      </c>
      <c r="H30" s="60" t="s">
        <v>51</v>
      </c>
      <c r="I30" s="74">
        <f t="shared" si="10"/>
        <v>3.03</v>
      </c>
      <c r="J30" s="77">
        <v>22.77</v>
      </c>
      <c r="K30" s="41">
        <f t="shared" ref="K30:K31" si="15">J30*1.2</f>
        <v>27.324</v>
      </c>
      <c r="L30" s="42">
        <f t="shared" si="12"/>
        <v>33.33528</v>
      </c>
      <c r="M30" s="30">
        <f t="shared" si="13"/>
        <v>31.878</v>
      </c>
      <c r="N30" s="30">
        <f t="shared" si="14"/>
        <v>38.89116</v>
      </c>
      <c r="O30" s="10"/>
      <c r="P30" s="87"/>
      <c r="Q30" s="88"/>
      <c r="R30" s="88"/>
      <c r="S30" s="88"/>
      <c r="T30" s="10"/>
      <c r="U30" s="10"/>
      <c r="V30" s="10"/>
      <c r="W30" s="12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ht="15.75" customHeight="1">
      <c r="A31" s="93" t="s">
        <v>83</v>
      </c>
      <c r="B31" s="40" t="s">
        <v>84</v>
      </c>
      <c r="C31" s="76">
        <v>80.0</v>
      </c>
      <c r="D31" s="25">
        <v>3.03</v>
      </c>
      <c r="E31" s="26" t="s">
        <v>63</v>
      </c>
      <c r="F31" s="26" t="s">
        <v>82</v>
      </c>
      <c r="G31" s="73" t="s">
        <v>64</v>
      </c>
      <c r="H31" s="60" t="s">
        <v>51</v>
      </c>
      <c r="I31" s="74">
        <f t="shared" si="10"/>
        <v>3.03</v>
      </c>
      <c r="J31" s="77">
        <v>24.95</v>
      </c>
      <c r="K31" s="41">
        <f t="shared" si="15"/>
        <v>29.94</v>
      </c>
      <c r="L31" s="42">
        <f t="shared" si="12"/>
        <v>36.5268</v>
      </c>
      <c r="M31" s="30">
        <f t="shared" si="13"/>
        <v>34.93</v>
      </c>
      <c r="N31" s="30">
        <f t="shared" si="14"/>
        <v>42.6146</v>
      </c>
      <c r="O31" s="10"/>
      <c r="P31" s="88"/>
      <c r="Q31" s="88"/>
      <c r="R31" s="88"/>
      <c r="S31" s="88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ht="15.75" customHeight="1">
      <c r="A32" s="10"/>
      <c r="B32" s="10"/>
      <c r="C32" s="22"/>
      <c r="D32" s="25"/>
      <c r="E32" s="22"/>
      <c r="F32" s="22"/>
      <c r="G32" s="22"/>
      <c r="H32" s="22"/>
      <c r="I32" s="22"/>
      <c r="J32" s="22"/>
      <c r="K32" s="88"/>
      <c r="L32" s="22"/>
      <c r="M32" s="22"/>
      <c r="N32" s="22"/>
      <c r="O32" s="22"/>
      <c r="P32" s="13"/>
      <c r="T32" s="22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ht="15.75" customHeight="1">
      <c r="A33" s="56"/>
      <c r="B33" s="71" t="s">
        <v>85</v>
      </c>
      <c r="C33" s="12"/>
      <c r="D33" s="25"/>
      <c r="E33" s="12"/>
      <c r="F33" s="12"/>
      <c r="G33" s="12"/>
      <c r="H33" s="12"/>
      <c r="I33" s="12"/>
      <c r="J33" s="12"/>
      <c r="K33" s="13"/>
      <c r="L33" s="12"/>
      <c r="M33" s="12"/>
      <c r="N33" s="12"/>
      <c r="O33" s="12"/>
      <c r="P33" s="88"/>
      <c r="Q33" s="88"/>
      <c r="R33" s="88"/>
      <c r="S33" s="88"/>
      <c r="T33" s="12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ht="15.75" customHeight="1">
      <c r="A34" s="94" t="s">
        <v>86</v>
      </c>
      <c r="B34" s="40" t="s">
        <v>87</v>
      </c>
      <c r="C34" s="76">
        <v>30.0</v>
      </c>
      <c r="D34" s="25">
        <v>3.0</v>
      </c>
      <c r="E34" s="26" t="s">
        <v>63</v>
      </c>
      <c r="F34" s="26" t="s">
        <v>27</v>
      </c>
      <c r="G34" s="73" t="s">
        <v>88</v>
      </c>
      <c r="H34" s="60" t="s">
        <v>51</v>
      </c>
      <c r="I34" s="74">
        <f t="shared" ref="I34:I39" si="16">D34</f>
        <v>3</v>
      </c>
      <c r="J34" s="77">
        <v>18.19</v>
      </c>
      <c r="K34" s="41">
        <f t="shared" ref="K34:K39" si="17">J34*1.2</f>
        <v>21.828</v>
      </c>
      <c r="L34" s="77">
        <f t="shared" ref="L34:L39" si="18">K34*1.22</f>
        <v>26.63016</v>
      </c>
      <c r="M34" s="30">
        <f t="shared" ref="M34:M39" si="19">J34*1.4</f>
        <v>25.466</v>
      </c>
      <c r="N34" s="30">
        <f t="shared" ref="N34:N39" si="20">M34*1.22</f>
        <v>31.06852</v>
      </c>
      <c r="O34" s="10"/>
      <c r="P34" s="87"/>
      <c r="Q34" s="88"/>
      <c r="R34" s="88"/>
      <c r="S34" s="88"/>
      <c r="T34" s="10"/>
      <c r="U34" s="10"/>
      <c r="V34" s="10"/>
      <c r="W34" s="12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ht="15.75" customHeight="1">
      <c r="A35" s="95" t="s">
        <v>89</v>
      </c>
      <c r="B35" s="40" t="s">
        <v>90</v>
      </c>
      <c r="C35" s="76">
        <v>40.0</v>
      </c>
      <c r="D35" s="25">
        <v>3.0</v>
      </c>
      <c r="E35" s="26" t="s">
        <v>63</v>
      </c>
      <c r="F35" s="26" t="s">
        <v>27</v>
      </c>
      <c r="G35" s="73" t="s">
        <v>88</v>
      </c>
      <c r="H35" s="60" t="s">
        <v>51</v>
      </c>
      <c r="I35" s="74">
        <f t="shared" si="16"/>
        <v>3</v>
      </c>
      <c r="J35" s="77">
        <v>18.9</v>
      </c>
      <c r="K35" s="41">
        <f t="shared" si="17"/>
        <v>22.68</v>
      </c>
      <c r="L35" s="77">
        <f t="shared" si="18"/>
        <v>27.6696</v>
      </c>
      <c r="M35" s="30">
        <f t="shared" si="19"/>
        <v>26.46</v>
      </c>
      <c r="N35" s="30">
        <f t="shared" si="20"/>
        <v>32.2812</v>
      </c>
      <c r="O35" s="10"/>
      <c r="P35" s="87"/>
      <c r="Q35" s="88"/>
      <c r="R35" s="88"/>
      <c r="S35" s="88"/>
      <c r="T35" s="10"/>
      <c r="U35" s="10"/>
      <c r="V35" s="10"/>
      <c r="W35" s="12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ht="15.75" customHeight="1">
      <c r="A36" s="95" t="s">
        <v>91</v>
      </c>
      <c r="B36" s="40" t="s">
        <v>92</v>
      </c>
      <c r="C36" s="76">
        <v>50.0</v>
      </c>
      <c r="D36" s="25">
        <v>3.0</v>
      </c>
      <c r="E36" s="26" t="s">
        <v>63</v>
      </c>
      <c r="F36" s="26" t="s">
        <v>27</v>
      </c>
      <c r="G36" s="73" t="s">
        <v>88</v>
      </c>
      <c r="H36" s="60" t="s">
        <v>51</v>
      </c>
      <c r="I36" s="74">
        <f t="shared" si="16"/>
        <v>3</v>
      </c>
      <c r="J36" s="77">
        <v>19.64</v>
      </c>
      <c r="K36" s="41">
        <f t="shared" si="17"/>
        <v>23.568</v>
      </c>
      <c r="L36" s="77">
        <f t="shared" si="18"/>
        <v>28.75296</v>
      </c>
      <c r="M36" s="30">
        <f t="shared" si="19"/>
        <v>27.496</v>
      </c>
      <c r="N36" s="30">
        <f t="shared" si="20"/>
        <v>33.54512</v>
      </c>
      <c r="O36" s="10"/>
      <c r="P36" s="87"/>
      <c r="Q36" s="88"/>
      <c r="R36" s="88"/>
      <c r="S36" s="88"/>
      <c r="T36" s="10"/>
      <c r="U36" s="10"/>
      <c r="V36" s="10"/>
      <c r="W36" s="12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ht="15.75" customHeight="1">
      <c r="A37" s="95" t="s">
        <v>93</v>
      </c>
      <c r="B37" s="40" t="s">
        <v>94</v>
      </c>
      <c r="C37" s="76">
        <v>80.0</v>
      </c>
      <c r="D37" s="25">
        <v>3.0</v>
      </c>
      <c r="E37" s="26" t="s">
        <v>63</v>
      </c>
      <c r="F37" s="26" t="s">
        <v>27</v>
      </c>
      <c r="G37" s="73" t="s">
        <v>88</v>
      </c>
      <c r="H37" s="60" t="s">
        <v>51</v>
      </c>
      <c r="I37" s="74">
        <f t="shared" si="16"/>
        <v>3</v>
      </c>
      <c r="J37" s="77">
        <v>21.09</v>
      </c>
      <c r="K37" s="41">
        <f t="shared" si="17"/>
        <v>25.308</v>
      </c>
      <c r="L37" s="77">
        <f t="shared" si="18"/>
        <v>30.87576</v>
      </c>
      <c r="M37" s="30">
        <f t="shared" si="19"/>
        <v>29.526</v>
      </c>
      <c r="N37" s="30">
        <f t="shared" si="20"/>
        <v>36.02172</v>
      </c>
      <c r="O37" s="10"/>
      <c r="P37" s="87"/>
      <c r="Q37" s="88"/>
      <c r="R37" s="88"/>
      <c r="S37" s="88"/>
      <c r="T37" s="10"/>
      <c r="U37" s="10"/>
      <c r="V37" s="10"/>
      <c r="W37" s="12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ht="15.75" customHeight="1">
      <c r="A38" s="95" t="s">
        <v>95</v>
      </c>
      <c r="B38" s="40" t="s">
        <v>96</v>
      </c>
      <c r="C38" s="76">
        <v>50.0</v>
      </c>
      <c r="D38" s="25">
        <v>3.0</v>
      </c>
      <c r="E38" s="26" t="s">
        <v>63</v>
      </c>
      <c r="F38" s="26" t="s">
        <v>27</v>
      </c>
      <c r="G38" s="73" t="s">
        <v>88</v>
      </c>
      <c r="H38" s="60" t="s">
        <v>51</v>
      </c>
      <c r="I38" s="74">
        <f t="shared" si="16"/>
        <v>3</v>
      </c>
      <c r="J38" s="77">
        <v>18.6</v>
      </c>
      <c r="K38" s="41">
        <f t="shared" si="17"/>
        <v>22.32</v>
      </c>
      <c r="L38" s="77">
        <f t="shared" si="18"/>
        <v>27.2304</v>
      </c>
      <c r="M38" s="30">
        <f t="shared" si="19"/>
        <v>26.04</v>
      </c>
      <c r="N38" s="30">
        <f t="shared" si="20"/>
        <v>31.7688</v>
      </c>
      <c r="O38" s="10"/>
      <c r="P38" s="88"/>
      <c r="Q38" s="88"/>
      <c r="R38" s="88"/>
      <c r="S38" s="8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ht="15.75" customHeight="1">
      <c r="A39" s="95" t="s">
        <v>97</v>
      </c>
      <c r="B39" s="40" t="s">
        <v>98</v>
      </c>
      <c r="C39" s="76">
        <v>80.0</v>
      </c>
      <c r="D39" s="25">
        <v>3.0</v>
      </c>
      <c r="E39" s="26" t="s">
        <v>63</v>
      </c>
      <c r="F39" s="26" t="s">
        <v>27</v>
      </c>
      <c r="G39" s="73" t="s">
        <v>88</v>
      </c>
      <c r="H39" s="60" t="s">
        <v>51</v>
      </c>
      <c r="I39" s="74">
        <f t="shared" si="16"/>
        <v>3</v>
      </c>
      <c r="J39" s="77">
        <v>20.92</v>
      </c>
      <c r="K39" s="41">
        <f t="shared" si="17"/>
        <v>25.104</v>
      </c>
      <c r="L39" s="77">
        <f t="shared" si="18"/>
        <v>30.62688</v>
      </c>
      <c r="M39" s="30">
        <f t="shared" si="19"/>
        <v>29.288</v>
      </c>
      <c r="N39" s="30">
        <f t="shared" si="20"/>
        <v>35.73136</v>
      </c>
      <c r="O39" s="10"/>
      <c r="P39" s="13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ht="15.75" customHeight="1">
      <c r="A40" s="10"/>
      <c r="B40" s="10"/>
      <c r="C40" s="22"/>
      <c r="D40" s="22"/>
      <c r="E40" s="22"/>
      <c r="F40" s="22"/>
      <c r="G40" s="22"/>
      <c r="H40" s="22"/>
      <c r="I40" s="22"/>
      <c r="J40" s="22"/>
      <c r="K40" s="88"/>
      <c r="L40" s="22"/>
      <c r="M40" s="22"/>
      <c r="N40" s="22"/>
      <c r="O40" s="22"/>
      <c r="P40" s="88"/>
      <c r="Q40" s="88"/>
      <c r="R40" s="88"/>
      <c r="S40" s="88"/>
      <c r="T40" s="22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ht="15.75" customHeight="1">
      <c r="A41" s="16"/>
      <c r="B41" s="71" t="s">
        <v>99</v>
      </c>
      <c r="C41" s="12"/>
      <c r="D41" s="12"/>
      <c r="E41" s="12"/>
      <c r="F41" s="12"/>
      <c r="G41" s="12"/>
      <c r="H41" s="12"/>
      <c r="I41" s="12"/>
      <c r="J41" s="18"/>
      <c r="K41" s="13"/>
      <c r="L41" s="12"/>
      <c r="M41" s="12"/>
      <c r="N41" s="12"/>
      <c r="O41" s="12"/>
      <c r="P41" s="96"/>
      <c r="Q41" s="88"/>
      <c r="R41" s="88"/>
      <c r="S41" s="88"/>
      <c r="T41" s="12"/>
      <c r="U41" s="10"/>
      <c r="V41" s="10"/>
      <c r="W41" s="12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ht="15.75" customHeight="1">
      <c r="A42" s="75" t="s">
        <v>100</v>
      </c>
      <c r="B42" s="40" t="s">
        <v>101</v>
      </c>
      <c r="C42" s="63" t="s">
        <v>47</v>
      </c>
      <c r="D42" s="63">
        <v>3.03</v>
      </c>
      <c r="E42" s="26" t="s">
        <v>63</v>
      </c>
      <c r="F42" s="26" t="s">
        <v>27</v>
      </c>
      <c r="G42" s="73" t="s">
        <v>102</v>
      </c>
      <c r="H42" s="60" t="s">
        <v>51</v>
      </c>
      <c r="I42" s="97">
        <v>3.03</v>
      </c>
      <c r="J42" s="98">
        <v>19.78</v>
      </c>
      <c r="K42" s="28">
        <f t="shared" ref="K42:K45" si="21">J42*1.2</f>
        <v>23.736</v>
      </c>
      <c r="L42" s="29">
        <f t="shared" ref="L42:L45" si="22">K42*1.22</f>
        <v>28.95792</v>
      </c>
      <c r="M42" s="30">
        <f t="shared" ref="M42:M45" si="23">J42*1.4</f>
        <v>27.692</v>
      </c>
      <c r="N42" s="30">
        <f t="shared" ref="N42:N45" si="24">M42*1.22</f>
        <v>33.78424</v>
      </c>
      <c r="O42" s="10"/>
      <c r="P42" s="96"/>
      <c r="Q42" s="88"/>
      <c r="R42" s="88"/>
      <c r="S42" s="88"/>
      <c r="T42" s="10"/>
      <c r="U42" s="10"/>
      <c r="V42" s="10"/>
      <c r="W42" s="12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 ht="15.75" customHeight="1">
      <c r="A43" s="99" t="s">
        <v>103</v>
      </c>
      <c r="B43" s="40" t="s">
        <v>104</v>
      </c>
      <c r="C43" s="63" t="s">
        <v>47</v>
      </c>
      <c r="D43" s="63">
        <v>3.03</v>
      </c>
      <c r="E43" s="26" t="s">
        <v>63</v>
      </c>
      <c r="F43" s="26" t="s">
        <v>27</v>
      </c>
      <c r="G43" s="73" t="s">
        <v>102</v>
      </c>
      <c r="H43" s="60" t="s">
        <v>51</v>
      </c>
      <c r="I43" s="97">
        <v>3.03</v>
      </c>
      <c r="J43" s="77">
        <v>19.06</v>
      </c>
      <c r="K43" s="41">
        <f t="shared" si="21"/>
        <v>22.872</v>
      </c>
      <c r="L43" s="42">
        <f t="shared" si="22"/>
        <v>27.90384</v>
      </c>
      <c r="M43" s="30">
        <f t="shared" si="23"/>
        <v>26.684</v>
      </c>
      <c r="N43" s="30">
        <f t="shared" si="24"/>
        <v>32.55448</v>
      </c>
      <c r="O43" s="10"/>
      <c r="P43" s="96"/>
      <c r="Q43" s="88"/>
      <c r="R43" s="88"/>
      <c r="S43" s="88"/>
      <c r="T43" s="10"/>
      <c r="U43" s="10"/>
      <c r="V43" s="10"/>
      <c r="W43" s="12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ht="15.75" customHeight="1">
      <c r="A44" s="99" t="s">
        <v>105</v>
      </c>
      <c r="B44" s="40" t="s">
        <v>106</v>
      </c>
      <c r="C44" s="63" t="s">
        <v>47</v>
      </c>
      <c r="D44" s="76">
        <v>3.0</v>
      </c>
      <c r="E44" s="26" t="s">
        <v>63</v>
      </c>
      <c r="F44" s="26" t="s">
        <v>27</v>
      </c>
      <c r="G44" s="73" t="s">
        <v>102</v>
      </c>
      <c r="H44" s="60" t="s">
        <v>51</v>
      </c>
      <c r="I44" s="97">
        <v>3.03</v>
      </c>
      <c r="J44" s="77">
        <v>12.0</v>
      </c>
      <c r="K44" s="41">
        <f t="shared" si="21"/>
        <v>14.4</v>
      </c>
      <c r="L44" s="42">
        <f t="shared" si="22"/>
        <v>17.568</v>
      </c>
      <c r="M44" s="30">
        <f t="shared" si="23"/>
        <v>16.8</v>
      </c>
      <c r="N44" s="30">
        <f t="shared" si="24"/>
        <v>20.496</v>
      </c>
      <c r="O44" s="10"/>
      <c r="P44" s="88"/>
      <c r="Q44" s="88"/>
      <c r="R44" s="88"/>
      <c r="S44" s="88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ht="15.75" customHeight="1">
      <c r="A45" s="99" t="s">
        <v>105</v>
      </c>
      <c r="B45" s="40" t="s">
        <v>107</v>
      </c>
      <c r="C45" s="63" t="s">
        <v>47</v>
      </c>
      <c r="D45" s="76">
        <v>3.0</v>
      </c>
      <c r="E45" s="26" t="s">
        <v>63</v>
      </c>
      <c r="F45" s="26" t="s">
        <v>27</v>
      </c>
      <c r="G45" s="73" t="s">
        <v>102</v>
      </c>
      <c r="H45" s="60" t="s">
        <v>51</v>
      </c>
      <c r="I45" s="97">
        <v>3.03</v>
      </c>
      <c r="J45" s="77">
        <v>10.54</v>
      </c>
      <c r="K45" s="41">
        <f t="shared" si="21"/>
        <v>12.648</v>
      </c>
      <c r="L45" s="42">
        <f t="shared" si="22"/>
        <v>15.43056</v>
      </c>
      <c r="M45" s="30">
        <f t="shared" si="23"/>
        <v>14.756</v>
      </c>
      <c r="N45" s="30">
        <f t="shared" si="24"/>
        <v>18.00232</v>
      </c>
      <c r="O45" s="10"/>
      <c r="P45" s="88"/>
      <c r="Q45" s="88"/>
      <c r="R45" s="88"/>
      <c r="S45" s="88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ht="15.75" customHeight="1">
      <c r="A46" s="10"/>
      <c r="B46" s="10"/>
      <c r="C46" s="22"/>
      <c r="D46" s="22"/>
      <c r="E46" s="22"/>
      <c r="F46" s="22"/>
      <c r="G46" s="22"/>
      <c r="H46" s="22"/>
      <c r="I46" s="97"/>
      <c r="J46" s="22"/>
      <c r="K46" s="88"/>
      <c r="L46" s="22"/>
      <c r="M46" s="22"/>
      <c r="N46" s="22"/>
      <c r="O46" s="22"/>
      <c r="P46" s="13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ht="15.75" customHeight="1">
      <c r="A47" s="16"/>
      <c r="B47" s="71" t="s">
        <v>108</v>
      </c>
      <c r="C47" s="12"/>
      <c r="D47" s="12"/>
      <c r="E47" s="12"/>
      <c r="F47" s="12"/>
      <c r="G47" s="12"/>
      <c r="H47" s="12"/>
      <c r="I47" s="97"/>
      <c r="J47" s="12"/>
      <c r="K47" s="13"/>
      <c r="L47" s="12"/>
      <c r="M47" s="12"/>
      <c r="N47" s="12"/>
      <c r="O47" s="12"/>
      <c r="P47" s="88"/>
      <c r="R47" s="88"/>
      <c r="S47" s="88"/>
      <c r="T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ht="15.75" customHeight="1">
      <c r="A48" s="72" t="s">
        <v>109</v>
      </c>
      <c r="B48" s="38" t="s">
        <v>110</v>
      </c>
      <c r="C48" s="26">
        <v>30.0</v>
      </c>
      <c r="D48" s="63">
        <v>3.03</v>
      </c>
      <c r="E48" s="26" t="s">
        <v>63</v>
      </c>
      <c r="F48" s="26" t="s">
        <v>27</v>
      </c>
      <c r="G48" s="73" t="s">
        <v>111</v>
      </c>
      <c r="H48" s="60" t="s">
        <v>51</v>
      </c>
      <c r="I48" s="97">
        <v>3.03</v>
      </c>
      <c r="J48" s="27">
        <v>59.86</v>
      </c>
      <c r="K48" s="28">
        <f t="shared" ref="K48:K51" si="25">J48*1.2</f>
        <v>71.832</v>
      </c>
      <c r="L48" s="29">
        <f t="shared" ref="L48:L51" si="26">K48*1.22</f>
        <v>87.63504</v>
      </c>
      <c r="M48" s="30">
        <f t="shared" ref="M48:M51" si="27">J48*1.4</f>
        <v>83.804</v>
      </c>
      <c r="N48" s="30">
        <f t="shared" ref="N48:N51" si="28">M48*1.22</f>
        <v>102.24088</v>
      </c>
      <c r="O48" s="10"/>
      <c r="P48" s="96"/>
      <c r="R48" s="88"/>
      <c r="S48" s="88"/>
      <c r="T48" s="10"/>
      <c r="U48" s="10"/>
      <c r="V48" s="10"/>
      <c r="W48" s="12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ht="15.75" customHeight="1">
      <c r="A49" s="75" t="s">
        <v>112</v>
      </c>
      <c r="B49" s="40" t="s">
        <v>113</v>
      </c>
      <c r="C49" s="76">
        <v>50.0</v>
      </c>
      <c r="D49" s="63">
        <v>3.03</v>
      </c>
      <c r="E49" s="26" t="s">
        <v>63</v>
      </c>
      <c r="F49" s="26" t="s">
        <v>27</v>
      </c>
      <c r="G49" s="73" t="s">
        <v>111</v>
      </c>
      <c r="H49" s="60" t="s">
        <v>51</v>
      </c>
      <c r="I49" s="97">
        <v>3.03</v>
      </c>
      <c r="J49" s="77">
        <v>60.99</v>
      </c>
      <c r="K49" s="41">
        <f t="shared" si="25"/>
        <v>73.188</v>
      </c>
      <c r="L49" s="42">
        <f t="shared" si="26"/>
        <v>89.28936</v>
      </c>
      <c r="M49" s="30">
        <f t="shared" si="27"/>
        <v>85.386</v>
      </c>
      <c r="N49" s="30">
        <f t="shared" si="28"/>
        <v>104.17092</v>
      </c>
      <c r="O49" s="10"/>
      <c r="P49" s="96"/>
      <c r="R49" s="88"/>
      <c r="S49" s="88"/>
      <c r="T49" s="10"/>
      <c r="U49" s="10"/>
      <c r="V49" s="10"/>
      <c r="W49" s="12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ht="15.75" customHeight="1">
      <c r="A50" s="75" t="s">
        <v>114</v>
      </c>
      <c r="B50" s="40" t="s">
        <v>115</v>
      </c>
      <c r="C50" s="76">
        <v>80.0</v>
      </c>
      <c r="D50" s="63">
        <v>3.03</v>
      </c>
      <c r="E50" s="26" t="s">
        <v>63</v>
      </c>
      <c r="F50" s="26" t="s">
        <v>27</v>
      </c>
      <c r="G50" s="73" t="s">
        <v>111</v>
      </c>
      <c r="H50" s="60" t="s">
        <v>51</v>
      </c>
      <c r="I50" s="97">
        <v>3.03</v>
      </c>
      <c r="J50" s="77">
        <v>61.85</v>
      </c>
      <c r="K50" s="41">
        <f t="shared" si="25"/>
        <v>74.22</v>
      </c>
      <c r="L50" s="42">
        <f t="shared" si="26"/>
        <v>90.5484</v>
      </c>
      <c r="M50" s="30">
        <f t="shared" si="27"/>
        <v>86.59</v>
      </c>
      <c r="N50" s="30">
        <f t="shared" si="28"/>
        <v>105.6398</v>
      </c>
      <c r="O50" s="10"/>
      <c r="P50" s="96"/>
      <c r="R50" s="88"/>
      <c r="S50" s="88"/>
      <c r="T50" s="10"/>
      <c r="U50" s="10"/>
      <c r="V50" s="10"/>
      <c r="W50" s="12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ht="15.75" customHeight="1">
      <c r="A51" s="99" t="s">
        <v>116</v>
      </c>
      <c r="B51" s="40" t="s">
        <v>117</v>
      </c>
      <c r="C51" s="63" t="s">
        <v>47</v>
      </c>
      <c r="D51" s="76">
        <v>3.0</v>
      </c>
      <c r="E51" s="26" t="s">
        <v>63</v>
      </c>
      <c r="F51" s="26" t="s">
        <v>27</v>
      </c>
      <c r="G51" s="73" t="s">
        <v>111</v>
      </c>
      <c r="H51" s="60" t="s">
        <v>51</v>
      </c>
      <c r="I51" s="100"/>
      <c r="J51" s="77">
        <v>10.93</v>
      </c>
      <c r="K51" s="41">
        <f t="shared" si="25"/>
        <v>13.116</v>
      </c>
      <c r="L51" s="42">
        <f t="shared" si="26"/>
        <v>16.00152</v>
      </c>
      <c r="M51" s="30">
        <f t="shared" si="27"/>
        <v>15.302</v>
      </c>
      <c r="N51" s="30">
        <f t="shared" si="28"/>
        <v>18.66844</v>
      </c>
      <c r="O51" s="10"/>
      <c r="P51" s="96"/>
      <c r="R51" s="88"/>
      <c r="S51" s="88"/>
      <c r="T51" s="10"/>
      <c r="U51" s="10"/>
      <c r="V51" s="10"/>
      <c r="W51" s="21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ht="15.75" customHeight="1">
      <c r="A52" s="10"/>
      <c r="B52" s="10"/>
      <c r="C52" s="22"/>
      <c r="D52" s="22"/>
      <c r="E52" s="22"/>
      <c r="F52" s="22"/>
      <c r="G52" s="22"/>
      <c r="H52" s="22"/>
      <c r="I52" s="22"/>
      <c r="J52" s="22"/>
      <c r="K52" s="88"/>
      <c r="L52" s="22"/>
      <c r="M52" s="22"/>
      <c r="N52" s="22"/>
      <c r="O52" s="22"/>
      <c r="P52" s="96"/>
      <c r="R52" s="88"/>
      <c r="S52" s="88"/>
      <c r="T52" s="22"/>
      <c r="U52" s="10"/>
      <c r="V52" s="10"/>
      <c r="W52" s="21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ht="15.75" customHeight="1">
      <c r="A53" s="16"/>
      <c r="B53" s="71" t="s">
        <v>118</v>
      </c>
      <c r="C53" s="12"/>
      <c r="D53" s="12"/>
      <c r="E53" s="18"/>
      <c r="F53" s="18"/>
      <c r="G53" s="18"/>
      <c r="H53" s="18"/>
      <c r="I53" s="18"/>
      <c r="J53" s="18"/>
      <c r="K53" s="20"/>
      <c r="L53" s="18"/>
      <c r="M53" s="12"/>
      <c r="N53" s="12"/>
      <c r="O53" s="12"/>
      <c r="P53" s="96"/>
      <c r="R53" s="88"/>
      <c r="S53" s="88"/>
      <c r="T53" s="12"/>
      <c r="U53" s="10"/>
      <c r="V53" s="10"/>
      <c r="W53" s="21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ht="15.75" customHeight="1">
      <c r="A54" s="75" t="s">
        <v>119</v>
      </c>
      <c r="B54" s="40" t="s">
        <v>120</v>
      </c>
      <c r="C54" s="63" t="s">
        <v>47</v>
      </c>
      <c r="D54" s="63">
        <v>3.0</v>
      </c>
      <c r="E54" s="26" t="s">
        <v>63</v>
      </c>
      <c r="F54" s="26" t="s">
        <v>27</v>
      </c>
      <c r="G54" s="73" t="s">
        <v>121</v>
      </c>
      <c r="H54" s="60" t="s">
        <v>51</v>
      </c>
      <c r="I54" s="100"/>
      <c r="J54" s="98">
        <v>29.35</v>
      </c>
      <c r="K54" s="101">
        <f t="shared" ref="K54:K55" si="29">J54*1.2</f>
        <v>35.22</v>
      </c>
      <c r="L54" s="102">
        <f t="shared" ref="L54:L55" si="30">K54*1.22</f>
        <v>42.9684</v>
      </c>
      <c r="M54" s="30">
        <f t="shared" ref="M54:M55" si="31">J54*1.4</f>
        <v>41.09</v>
      </c>
      <c r="N54" s="30">
        <f t="shared" ref="N54:N55" si="32">M54*1.22</f>
        <v>50.1298</v>
      </c>
      <c r="O54" s="10"/>
      <c r="P54" s="96"/>
      <c r="R54" s="88"/>
      <c r="S54" s="88"/>
      <c r="T54" s="10"/>
      <c r="U54" s="10"/>
      <c r="V54" s="10"/>
      <c r="W54" s="21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  <row r="55" ht="29.25" customHeight="1">
      <c r="A55" s="75" t="s">
        <v>119</v>
      </c>
      <c r="B55" s="40" t="s">
        <v>122</v>
      </c>
      <c r="C55" s="63" t="s">
        <v>47</v>
      </c>
      <c r="D55" s="63">
        <v>2.2</v>
      </c>
      <c r="E55" s="26" t="s">
        <v>63</v>
      </c>
      <c r="F55" s="26" t="s">
        <v>123</v>
      </c>
      <c r="G55" s="73" t="s">
        <v>121</v>
      </c>
      <c r="H55" s="60" t="s">
        <v>51</v>
      </c>
      <c r="I55" s="100"/>
      <c r="J55" s="98">
        <f>(68.53)*1.19</f>
        <v>81.5507</v>
      </c>
      <c r="K55" s="101">
        <f t="shared" si="29"/>
        <v>97.86084</v>
      </c>
      <c r="L55" s="102">
        <f t="shared" si="30"/>
        <v>119.3902248</v>
      </c>
      <c r="M55" s="30">
        <f t="shared" si="31"/>
        <v>114.17098</v>
      </c>
      <c r="N55" s="30">
        <f t="shared" si="32"/>
        <v>139.2885956</v>
      </c>
      <c r="O55" s="10"/>
      <c r="P55" s="96"/>
      <c r="R55" s="88"/>
      <c r="S55" s="88"/>
      <c r="T55" s="10"/>
      <c r="U55" s="10"/>
      <c r="V55" s="10"/>
      <c r="W55" s="21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</row>
    <row r="56">
      <c r="A56" s="56"/>
      <c r="B56" s="14"/>
      <c r="C56" s="12"/>
      <c r="D56" s="12"/>
      <c r="E56" s="12"/>
      <c r="F56" s="12"/>
      <c r="G56" s="12"/>
      <c r="H56" s="12"/>
      <c r="I56" s="12"/>
      <c r="J56" s="12"/>
      <c r="K56" s="13"/>
      <c r="L56" s="12"/>
      <c r="M56" s="12"/>
      <c r="N56" s="12"/>
      <c r="O56" s="12"/>
      <c r="P56" s="96"/>
      <c r="Q56" s="96"/>
      <c r="R56" s="96"/>
      <c r="S56" s="96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>
      <c r="A57" s="16"/>
      <c r="B57" s="71" t="s">
        <v>124</v>
      </c>
      <c r="C57" s="12"/>
      <c r="D57" s="12"/>
      <c r="E57" s="12"/>
      <c r="F57" s="12"/>
      <c r="G57" s="12"/>
      <c r="H57" s="12"/>
      <c r="I57" s="12"/>
      <c r="J57" s="12"/>
      <c r="K57" s="13"/>
      <c r="L57" s="12"/>
      <c r="M57" s="12"/>
      <c r="N57" s="12"/>
      <c r="O57" s="12"/>
      <c r="P57" s="96"/>
      <c r="Q57" s="96"/>
      <c r="R57" s="96"/>
      <c r="S57" s="96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>
      <c r="A58" s="72" t="s">
        <v>125</v>
      </c>
      <c r="B58" s="40" t="s">
        <v>126</v>
      </c>
      <c r="C58" s="76">
        <v>50.0</v>
      </c>
      <c r="D58" s="25" t="s">
        <v>17</v>
      </c>
      <c r="E58" s="26" t="s">
        <v>18</v>
      </c>
      <c r="F58" s="63" t="s">
        <v>124</v>
      </c>
      <c r="G58" s="26" t="s">
        <v>20</v>
      </c>
      <c r="H58" s="63" t="s">
        <v>127</v>
      </c>
      <c r="I58" s="63" t="s">
        <v>128</v>
      </c>
      <c r="J58" s="77">
        <f>37.51*1.0385</f>
        <v>38.954135</v>
      </c>
      <c r="K58" s="28">
        <f t="shared" ref="K58:K59" si="33">J58*1.2</f>
        <v>46.744962</v>
      </c>
      <c r="L58" s="29">
        <f t="shared" ref="L58:L62" si="34">K58*1.22</f>
        <v>57.02885364</v>
      </c>
      <c r="M58" s="30">
        <f t="shared" ref="M58:M62" si="35">K58</f>
        <v>46.744962</v>
      </c>
      <c r="N58" s="30">
        <f t="shared" ref="N58:N62" si="36">M58*1.22</f>
        <v>57.02885364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>
      <c r="A59" s="75" t="s">
        <v>125</v>
      </c>
      <c r="B59" s="40" t="s">
        <v>129</v>
      </c>
      <c r="C59" s="76">
        <v>80.0</v>
      </c>
      <c r="D59" s="25" t="s">
        <v>17</v>
      </c>
      <c r="E59" s="26" t="s">
        <v>18</v>
      </c>
      <c r="F59" s="63" t="s">
        <v>124</v>
      </c>
      <c r="G59" s="26" t="s">
        <v>20</v>
      </c>
      <c r="H59" s="63" t="s">
        <v>127</v>
      </c>
      <c r="I59" s="63" t="s">
        <v>128</v>
      </c>
      <c r="J59" s="77">
        <f>44.6*1.0415</f>
        <v>46.4509</v>
      </c>
      <c r="K59" s="41">
        <f t="shared" si="33"/>
        <v>55.74108</v>
      </c>
      <c r="L59" s="42">
        <f t="shared" si="34"/>
        <v>68.0041176</v>
      </c>
      <c r="M59" s="30">
        <f t="shared" si="35"/>
        <v>55.74108</v>
      </c>
      <c r="N59" s="30">
        <f t="shared" si="36"/>
        <v>68.0041176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>
      <c r="A60" s="75" t="s">
        <v>125</v>
      </c>
      <c r="B60" s="40" t="s">
        <v>130</v>
      </c>
      <c r="C60" s="76">
        <v>50.0</v>
      </c>
      <c r="D60" s="25" t="s">
        <v>17</v>
      </c>
      <c r="E60" s="26" t="s">
        <v>18</v>
      </c>
      <c r="F60" s="63" t="s">
        <v>124</v>
      </c>
      <c r="G60" s="26" t="s">
        <v>20</v>
      </c>
      <c r="H60" s="63" t="s">
        <v>127</v>
      </c>
      <c r="I60" s="63" t="s">
        <v>128</v>
      </c>
      <c r="J60" s="77">
        <f>37.51*1.0385</f>
        <v>38.954135</v>
      </c>
      <c r="K60" s="41">
        <f t="shared" ref="K60:K62" si="37">J60*1.15</f>
        <v>44.79725525</v>
      </c>
      <c r="L60" s="42">
        <f t="shared" si="34"/>
        <v>54.65265141</v>
      </c>
      <c r="M60" s="30">
        <f t="shared" si="35"/>
        <v>44.79725525</v>
      </c>
      <c r="N60" s="30">
        <f t="shared" si="36"/>
        <v>54.65265141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>
      <c r="A61" s="99" t="s">
        <v>131</v>
      </c>
      <c r="B61" s="40" t="s">
        <v>132</v>
      </c>
      <c r="C61" s="76">
        <v>80.0</v>
      </c>
      <c r="D61" s="25" t="s">
        <v>17</v>
      </c>
      <c r="E61" s="26" t="s">
        <v>18</v>
      </c>
      <c r="F61" s="63" t="s">
        <v>124</v>
      </c>
      <c r="G61" s="26" t="s">
        <v>20</v>
      </c>
      <c r="H61" s="63" t="s">
        <v>127</v>
      </c>
      <c r="I61" s="63" t="s">
        <v>128</v>
      </c>
      <c r="J61" s="77">
        <f>44.6*1.0415</f>
        <v>46.4509</v>
      </c>
      <c r="K61" s="41">
        <f t="shared" si="37"/>
        <v>53.418535</v>
      </c>
      <c r="L61" s="42">
        <f t="shared" si="34"/>
        <v>65.1706127</v>
      </c>
      <c r="M61" s="30">
        <f t="shared" si="35"/>
        <v>53.418535</v>
      </c>
      <c r="N61" s="30">
        <f t="shared" si="36"/>
        <v>65.1706127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>
      <c r="A62" s="103" t="s">
        <v>133</v>
      </c>
      <c r="B62" s="44" t="s">
        <v>134</v>
      </c>
      <c r="C62" s="85">
        <v>100.0</v>
      </c>
      <c r="D62" s="25" t="s">
        <v>17</v>
      </c>
      <c r="E62" s="26" t="s">
        <v>18</v>
      </c>
      <c r="F62" s="63" t="s">
        <v>124</v>
      </c>
      <c r="G62" s="26" t="s">
        <v>20</v>
      </c>
      <c r="H62" s="63" t="s">
        <v>127</v>
      </c>
      <c r="I62" s="63" t="s">
        <v>128</v>
      </c>
      <c r="J62" s="86">
        <v>51.22</v>
      </c>
      <c r="K62" s="41">
        <f t="shared" si="37"/>
        <v>58.903</v>
      </c>
      <c r="L62" s="47">
        <f t="shared" si="34"/>
        <v>71.86166</v>
      </c>
      <c r="M62" s="30">
        <f t="shared" si="35"/>
        <v>58.903</v>
      </c>
      <c r="N62" s="30">
        <f t="shared" si="36"/>
        <v>71.86166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>
      <c r="A63" s="56"/>
      <c r="B63" s="14"/>
      <c r="C63" s="12"/>
      <c r="D63" s="12"/>
      <c r="E63" s="12"/>
      <c r="F63" s="12"/>
      <c r="G63" s="12"/>
      <c r="H63" s="12"/>
      <c r="I63" s="12"/>
      <c r="J63" s="12"/>
      <c r="K63" s="13"/>
      <c r="L63" s="12"/>
      <c r="M63" s="12"/>
      <c r="N63" s="12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>
      <c r="A64" s="56"/>
      <c r="B64" s="14"/>
      <c r="C64" s="12"/>
      <c r="D64" s="12"/>
      <c r="E64" s="12"/>
      <c r="F64" s="12"/>
      <c r="G64" s="12"/>
      <c r="H64" s="12"/>
      <c r="I64" s="12"/>
      <c r="J64" s="12"/>
      <c r="K64" s="13"/>
      <c r="L64" s="12"/>
      <c r="M64" s="12"/>
      <c r="N64" s="12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>
      <c r="A65" s="16"/>
      <c r="B65" s="17" t="s">
        <v>135</v>
      </c>
      <c r="C65" s="18"/>
      <c r="D65" s="18"/>
      <c r="E65" s="12"/>
      <c r="F65" s="12"/>
      <c r="G65" s="12"/>
      <c r="H65" s="12"/>
      <c r="I65" s="12"/>
      <c r="J65" s="18"/>
      <c r="K65" s="20"/>
      <c r="L65" s="18"/>
      <c r="M65" s="12"/>
      <c r="N65" s="12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>
      <c r="A66" s="104" t="s">
        <v>136</v>
      </c>
      <c r="B66" s="105" t="s">
        <v>137</v>
      </c>
      <c r="C66" s="59">
        <v>40.0</v>
      </c>
      <c r="D66" s="25" t="s">
        <v>17</v>
      </c>
      <c r="E66" s="26" t="s">
        <v>18</v>
      </c>
      <c r="F66" s="63" t="s">
        <v>138</v>
      </c>
      <c r="G66" s="26" t="s">
        <v>20</v>
      </c>
      <c r="H66" s="63" t="s">
        <v>127</v>
      </c>
      <c r="I66" s="63" t="s">
        <v>139</v>
      </c>
      <c r="J66" s="98">
        <f>34.93*1.0385</f>
        <v>36.274805</v>
      </c>
      <c r="K66" s="101">
        <f>J66*1.2</f>
        <v>43.529766</v>
      </c>
      <c r="L66" s="106">
        <f t="shared" ref="L66:L70" si="38">K66*1.22</f>
        <v>53.10631452</v>
      </c>
      <c r="M66" s="30">
        <f t="shared" ref="M66:M70" si="39">K66</f>
        <v>43.529766</v>
      </c>
      <c r="N66" s="30">
        <f t="shared" ref="N66:N70" si="40">M66*1.22</f>
        <v>53.10631452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>
      <c r="A67" s="107" t="s">
        <v>140</v>
      </c>
      <c r="B67" s="108" t="s">
        <v>141</v>
      </c>
      <c r="C67" s="109">
        <v>60.0</v>
      </c>
      <c r="D67" s="25" t="s">
        <v>17</v>
      </c>
      <c r="E67" s="26" t="s">
        <v>18</v>
      </c>
      <c r="F67" s="63" t="s">
        <v>138</v>
      </c>
      <c r="G67" s="26" t="s">
        <v>20</v>
      </c>
      <c r="H67" s="63" t="s">
        <v>127</v>
      </c>
      <c r="I67" s="63" t="s">
        <v>139</v>
      </c>
      <c r="J67" s="77">
        <f>39.69*1.0385</f>
        <v>41.218065</v>
      </c>
      <c r="K67" s="41">
        <f t="shared" ref="K67:K70" si="41">J67*1.15</f>
        <v>47.40077475</v>
      </c>
      <c r="L67" s="110">
        <f t="shared" si="38"/>
        <v>57.8289452</v>
      </c>
      <c r="M67" s="30">
        <f t="shared" si="39"/>
        <v>47.40077475</v>
      </c>
      <c r="N67" s="30">
        <f t="shared" si="40"/>
        <v>57.8289452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>
      <c r="A68" s="107" t="s">
        <v>142</v>
      </c>
      <c r="B68" s="108" t="s">
        <v>143</v>
      </c>
      <c r="C68" s="109">
        <v>80.0</v>
      </c>
      <c r="D68" s="25" t="s">
        <v>17</v>
      </c>
      <c r="E68" s="26" t="s">
        <v>18</v>
      </c>
      <c r="F68" s="63" t="s">
        <v>138</v>
      </c>
      <c r="G68" s="26" t="s">
        <v>20</v>
      </c>
      <c r="H68" s="63" t="s">
        <v>127</v>
      </c>
      <c r="I68" s="63" t="s">
        <v>139</v>
      </c>
      <c r="J68" s="77">
        <f>43.66*1.0415</f>
        <v>45.47189</v>
      </c>
      <c r="K68" s="41">
        <f t="shared" si="41"/>
        <v>52.2926735</v>
      </c>
      <c r="L68" s="110">
        <f t="shared" si="38"/>
        <v>63.79706167</v>
      </c>
      <c r="M68" s="30">
        <f t="shared" si="39"/>
        <v>52.2926735</v>
      </c>
      <c r="N68" s="30">
        <f t="shared" si="40"/>
        <v>63.79706167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>
      <c r="A69" s="107" t="s">
        <v>144</v>
      </c>
      <c r="B69" s="108" t="s">
        <v>145</v>
      </c>
      <c r="C69" s="109">
        <v>100.0</v>
      </c>
      <c r="D69" s="25" t="s">
        <v>17</v>
      </c>
      <c r="E69" s="26" t="s">
        <v>18</v>
      </c>
      <c r="F69" s="63" t="s">
        <v>138</v>
      </c>
      <c r="G69" s="26" t="s">
        <v>20</v>
      </c>
      <c r="H69" s="63" t="s">
        <v>127</v>
      </c>
      <c r="I69" s="63" t="s">
        <v>139</v>
      </c>
      <c r="J69" s="77">
        <f>48.43*1.0415</f>
        <v>50.439845</v>
      </c>
      <c r="K69" s="41">
        <f t="shared" si="41"/>
        <v>58.00582175</v>
      </c>
      <c r="L69" s="110">
        <f t="shared" si="38"/>
        <v>70.76710254</v>
      </c>
      <c r="M69" s="30">
        <f t="shared" si="39"/>
        <v>58.00582175</v>
      </c>
      <c r="N69" s="30">
        <f t="shared" si="40"/>
        <v>70.76710254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>
      <c r="A70" s="32" t="s">
        <v>146</v>
      </c>
      <c r="B70" s="111" t="s">
        <v>147</v>
      </c>
      <c r="C70" s="112">
        <v>150.0</v>
      </c>
      <c r="D70" s="25" t="s">
        <v>17</v>
      </c>
      <c r="E70" s="26" t="s">
        <v>18</v>
      </c>
      <c r="F70" s="63" t="s">
        <v>138</v>
      </c>
      <c r="G70" s="26" t="s">
        <v>20</v>
      </c>
      <c r="H70" s="63" t="s">
        <v>127</v>
      </c>
      <c r="I70" s="63" t="s">
        <v>139</v>
      </c>
      <c r="J70" s="77">
        <f>58.75*1.0415</f>
        <v>61.188125</v>
      </c>
      <c r="K70" s="41">
        <f t="shared" si="41"/>
        <v>70.36634375</v>
      </c>
      <c r="L70" s="113">
        <f t="shared" si="38"/>
        <v>85.84693938</v>
      </c>
      <c r="M70" s="30">
        <f t="shared" si="39"/>
        <v>70.36634375</v>
      </c>
      <c r="N70" s="30">
        <f t="shared" si="40"/>
        <v>85.84693938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>
      <c r="A71" s="56"/>
      <c r="B71" s="14"/>
      <c r="C71" s="12"/>
      <c r="D71" s="12"/>
      <c r="E71" s="12"/>
      <c r="F71" s="12"/>
      <c r="G71" s="12"/>
      <c r="H71" s="12"/>
      <c r="I71" s="12"/>
      <c r="J71" s="12"/>
      <c r="K71" s="13"/>
      <c r="L71" s="12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>
      <c r="A72" s="16"/>
      <c r="B72" s="17" t="s">
        <v>148</v>
      </c>
      <c r="C72" s="12"/>
      <c r="D72" s="12"/>
      <c r="E72" s="12"/>
      <c r="F72" s="12"/>
      <c r="G72" s="12"/>
      <c r="H72" s="12"/>
      <c r="I72" s="12"/>
      <c r="J72" s="12"/>
      <c r="K72" s="13"/>
      <c r="L72" s="18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</row>
    <row r="73">
      <c r="A73" s="104" t="s">
        <v>149</v>
      </c>
      <c r="B73" s="114" t="s">
        <v>150</v>
      </c>
      <c r="C73" s="115">
        <v>50.0</v>
      </c>
      <c r="D73" s="25" t="s">
        <v>17</v>
      </c>
      <c r="E73" s="26" t="s">
        <v>18</v>
      </c>
      <c r="F73" s="26" t="s">
        <v>151</v>
      </c>
      <c r="G73" s="26" t="s">
        <v>152</v>
      </c>
      <c r="H73" s="63" t="s">
        <v>127</v>
      </c>
      <c r="I73" s="63" t="s">
        <v>139</v>
      </c>
      <c r="J73" s="27">
        <f>28.88*1.0335</f>
        <v>29.84748</v>
      </c>
      <c r="K73" s="116">
        <f t="shared" ref="K73:K77" si="42">J73*1.15</f>
        <v>34.324602</v>
      </c>
      <c r="L73" s="117">
        <f t="shared" ref="L73:L77" si="43">K73*1.22</f>
        <v>41.87601444</v>
      </c>
      <c r="M73" s="30">
        <f t="shared" ref="M73:M77" si="44">K73</f>
        <v>34.324602</v>
      </c>
      <c r="N73" s="30">
        <f t="shared" ref="N73:N77" si="45">M73*1.22</f>
        <v>41.87601444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</row>
    <row r="74">
      <c r="A74" s="107" t="s">
        <v>153</v>
      </c>
      <c r="B74" s="118" t="s">
        <v>154</v>
      </c>
      <c r="C74" s="59">
        <v>100.0</v>
      </c>
      <c r="D74" s="25" t="s">
        <v>17</v>
      </c>
      <c r="E74" s="26" t="s">
        <v>18</v>
      </c>
      <c r="F74" s="26" t="s">
        <v>151</v>
      </c>
      <c r="G74" s="26" t="s">
        <v>152</v>
      </c>
      <c r="H74" s="63" t="s">
        <v>127</v>
      </c>
      <c r="I74" s="63" t="s">
        <v>139</v>
      </c>
      <c r="J74" s="77">
        <f>31.77*1.0335</f>
        <v>32.834295</v>
      </c>
      <c r="K74" s="41">
        <f t="shared" si="42"/>
        <v>37.75943925</v>
      </c>
      <c r="L74" s="110">
        <f t="shared" si="43"/>
        <v>46.06651589</v>
      </c>
      <c r="M74" s="30">
        <f t="shared" si="44"/>
        <v>37.75943925</v>
      </c>
      <c r="N74" s="30">
        <f t="shared" si="45"/>
        <v>46.06651589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</row>
    <row r="75">
      <c r="A75" s="107" t="s">
        <v>155</v>
      </c>
      <c r="B75" s="118" t="s">
        <v>156</v>
      </c>
      <c r="C75" s="59">
        <v>150.0</v>
      </c>
      <c r="D75" s="25" t="s">
        <v>17</v>
      </c>
      <c r="E75" s="26" t="s">
        <v>18</v>
      </c>
      <c r="F75" s="26" t="s">
        <v>151</v>
      </c>
      <c r="G75" s="26" t="s">
        <v>152</v>
      </c>
      <c r="H75" s="63" t="s">
        <v>127</v>
      </c>
      <c r="I75" s="63" t="s">
        <v>139</v>
      </c>
      <c r="J75" s="77">
        <f>35.74*1.0335</f>
        <v>36.93729</v>
      </c>
      <c r="K75" s="41">
        <f t="shared" si="42"/>
        <v>42.4778835</v>
      </c>
      <c r="L75" s="110">
        <f t="shared" si="43"/>
        <v>51.82301787</v>
      </c>
      <c r="M75" s="30">
        <f t="shared" si="44"/>
        <v>42.4778835</v>
      </c>
      <c r="N75" s="30">
        <f t="shared" si="45"/>
        <v>51.82301787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</row>
    <row r="76">
      <c r="A76" s="107" t="s">
        <v>157</v>
      </c>
      <c r="B76" s="118" t="s">
        <v>158</v>
      </c>
      <c r="C76" s="59">
        <v>200.0</v>
      </c>
      <c r="D76" s="25" t="s">
        <v>17</v>
      </c>
      <c r="E76" s="26" t="s">
        <v>18</v>
      </c>
      <c r="F76" s="26" t="s">
        <v>151</v>
      </c>
      <c r="G76" s="26" t="s">
        <v>152</v>
      </c>
      <c r="H76" s="63" t="s">
        <v>127</v>
      </c>
      <c r="I76" s="63" t="s">
        <v>139</v>
      </c>
      <c r="J76" s="77">
        <f>40.08*1.0335</f>
        <v>41.42268</v>
      </c>
      <c r="K76" s="41">
        <f t="shared" si="42"/>
        <v>47.636082</v>
      </c>
      <c r="L76" s="42">
        <f t="shared" si="43"/>
        <v>58.11602004</v>
      </c>
      <c r="M76" s="30">
        <f t="shared" si="44"/>
        <v>47.636082</v>
      </c>
      <c r="N76" s="30">
        <f t="shared" si="45"/>
        <v>58.11602004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</row>
    <row r="77">
      <c r="A77" s="119" t="s">
        <v>159</v>
      </c>
      <c r="B77" s="120" t="s">
        <v>160</v>
      </c>
      <c r="C77" s="121">
        <v>250.0</v>
      </c>
      <c r="D77" s="25" t="s">
        <v>17</v>
      </c>
      <c r="E77" s="26" t="s">
        <v>18</v>
      </c>
      <c r="F77" s="26" t="s">
        <v>151</v>
      </c>
      <c r="G77" s="26" t="s">
        <v>152</v>
      </c>
      <c r="H77" s="63" t="s">
        <v>127</v>
      </c>
      <c r="I77" s="63" t="s">
        <v>139</v>
      </c>
      <c r="J77" s="86">
        <f>44.05*1.0335</f>
        <v>45.525675</v>
      </c>
      <c r="K77" s="41">
        <f t="shared" si="42"/>
        <v>52.35452625</v>
      </c>
      <c r="L77" s="47">
        <f t="shared" si="43"/>
        <v>63.87252203</v>
      </c>
      <c r="M77" s="30">
        <f t="shared" si="44"/>
        <v>52.35452625</v>
      </c>
      <c r="N77" s="30">
        <f t="shared" si="45"/>
        <v>63.87252203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</row>
    <row r="78">
      <c r="A78" s="10"/>
      <c r="B78" s="10"/>
      <c r="C78" s="12"/>
      <c r="D78" s="12"/>
      <c r="E78" s="12"/>
      <c r="F78" s="12"/>
      <c r="G78" s="12"/>
      <c r="H78" s="12"/>
      <c r="I78" s="12"/>
      <c r="J78" s="12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</row>
    <row r="79">
      <c r="A79" s="56"/>
      <c r="B79" s="71" t="s">
        <v>161</v>
      </c>
      <c r="C79" s="12"/>
      <c r="D79" s="12"/>
      <c r="E79" s="12"/>
      <c r="F79" s="12"/>
      <c r="G79" s="12"/>
      <c r="H79" s="12"/>
      <c r="I79" s="12"/>
      <c r="J79" s="12"/>
      <c r="K79" s="13"/>
      <c r="L79" s="12"/>
      <c r="M79" s="12"/>
      <c r="N79" s="12"/>
      <c r="O79" s="12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</row>
    <row r="80">
      <c r="A80" s="122" t="s">
        <v>162</v>
      </c>
      <c r="B80" s="123" t="s">
        <v>163</v>
      </c>
      <c r="C80" s="124">
        <v>40.0</v>
      </c>
      <c r="D80" s="124">
        <v>3.0</v>
      </c>
      <c r="E80" s="26" t="s">
        <v>63</v>
      </c>
      <c r="F80" s="26" t="s">
        <v>138</v>
      </c>
      <c r="G80" s="26" t="s">
        <v>20</v>
      </c>
      <c r="H80" s="76" t="s">
        <v>164</v>
      </c>
      <c r="I80" s="67">
        <f t="shared" ref="I80:I87" si="46">D80</f>
        <v>3</v>
      </c>
      <c r="J80" s="67">
        <v>9.45</v>
      </c>
      <c r="K80" s="125">
        <f t="shared" ref="K80:K87" si="47">J80*1.2</f>
        <v>11.34</v>
      </c>
      <c r="L80" s="126">
        <f t="shared" ref="L80:L87" si="48">K80*1.22</f>
        <v>13.8348</v>
      </c>
      <c r="M80" s="30">
        <f t="shared" ref="M80:M87" si="49">J80*1.4</f>
        <v>13.23</v>
      </c>
      <c r="N80" s="30">
        <f t="shared" ref="N80:N87" si="50">M80*1.22</f>
        <v>16.1406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</row>
    <row r="81">
      <c r="A81" s="37" t="s">
        <v>162</v>
      </c>
      <c r="B81" s="40" t="s">
        <v>165</v>
      </c>
      <c r="C81" s="76">
        <v>50.0</v>
      </c>
      <c r="D81" s="76">
        <v>3.0</v>
      </c>
      <c r="E81" s="26" t="s">
        <v>63</v>
      </c>
      <c r="F81" s="26" t="s">
        <v>166</v>
      </c>
      <c r="G81" s="26" t="s">
        <v>167</v>
      </c>
      <c r="H81" s="76" t="s">
        <v>164</v>
      </c>
      <c r="I81" s="67">
        <f t="shared" si="46"/>
        <v>3</v>
      </c>
      <c r="J81" s="77">
        <v>8.33</v>
      </c>
      <c r="K81" s="41">
        <f t="shared" si="47"/>
        <v>9.996</v>
      </c>
      <c r="L81" s="42">
        <f t="shared" si="48"/>
        <v>12.19512</v>
      </c>
      <c r="M81" s="30">
        <f t="shared" si="49"/>
        <v>11.662</v>
      </c>
      <c r="N81" s="30">
        <f t="shared" si="50"/>
        <v>14.22764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</row>
    <row r="82">
      <c r="A82" s="127" t="s">
        <v>162</v>
      </c>
      <c r="B82" s="66" t="s">
        <v>168</v>
      </c>
      <c r="C82" s="128">
        <v>60.0</v>
      </c>
      <c r="D82" s="128">
        <v>3.0</v>
      </c>
      <c r="E82" s="26" t="s">
        <v>63</v>
      </c>
      <c r="F82" s="26" t="s">
        <v>138</v>
      </c>
      <c r="G82" s="26" t="s">
        <v>20</v>
      </c>
      <c r="H82" s="76" t="s">
        <v>164</v>
      </c>
      <c r="I82" s="67">
        <f t="shared" si="46"/>
        <v>3</v>
      </c>
      <c r="J82" s="67">
        <v>10.16</v>
      </c>
      <c r="K82" s="68">
        <f t="shared" si="47"/>
        <v>12.192</v>
      </c>
      <c r="L82" s="69">
        <f t="shared" si="48"/>
        <v>14.87424</v>
      </c>
      <c r="M82" s="30">
        <f t="shared" si="49"/>
        <v>14.224</v>
      </c>
      <c r="N82" s="30">
        <f t="shared" si="50"/>
        <v>17.35328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</row>
    <row r="83">
      <c r="A83" s="127" t="s">
        <v>162</v>
      </c>
      <c r="B83" s="66" t="s">
        <v>169</v>
      </c>
      <c r="C83" s="128">
        <v>80.0</v>
      </c>
      <c r="D83" s="128">
        <v>3.0</v>
      </c>
      <c r="E83" s="26" t="s">
        <v>63</v>
      </c>
      <c r="F83" s="63" t="s">
        <v>124</v>
      </c>
      <c r="G83" s="26" t="s">
        <v>20</v>
      </c>
      <c r="H83" s="76" t="s">
        <v>164</v>
      </c>
      <c r="I83" s="67">
        <f t="shared" si="46"/>
        <v>3</v>
      </c>
      <c r="J83" s="67">
        <v>10.93</v>
      </c>
      <c r="K83" s="68">
        <f t="shared" si="47"/>
        <v>13.116</v>
      </c>
      <c r="L83" s="69">
        <f t="shared" si="48"/>
        <v>16.00152</v>
      </c>
      <c r="M83" s="30">
        <f t="shared" si="49"/>
        <v>15.302</v>
      </c>
      <c r="N83" s="30">
        <f t="shared" si="50"/>
        <v>18.66844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</row>
    <row r="84">
      <c r="A84" s="37" t="s">
        <v>170</v>
      </c>
      <c r="B84" s="40" t="s">
        <v>171</v>
      </c>
      <c r="C84" s="76">
        <v>100.0</v>
      </c>
      <c r="D84" s="76">
        <v>3.0</v>
      </c>
      <c r="E84" s="26" t="s">
        <v>63</v>
      </c>
      <c r="F84" s="76" t="s">
        <v>172</v>
      </c>
      <c r="G84" s="76" t="s">
        <v>173</v>
      </c>
      <c r="H84" s="76" t="s">
        <v>164</v>
      </c>
      <c r="I84" s="67">
        <f t="shared" si="46"/>
        <v>3</v>
      </c>
      <c r="J84" s="77">
        <v>10.35</v>
      </c>
      <c r="K84" s="41">
        <f t="shared" si="47"/>
        <v>12.42</v>
      </c>
      <c r="L84" s="42">
        <f t="shared" si="48"/>
        <v>15.1524</v>
      </c>
      <c r="M84" s="30">
        <f t="shared" si="49"/>
        <v>14.49</v>
      </c>
      <c r="N84" s="30">
        <f t="shared" si="50"/>
        <v>17.6778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</row>
    <row r="85">
      <c r="A85" s="37" t="s">
        <v>174</v>
      </c>
      <c r="B85" s="40" t="s">
        <v>175</v>
      </c>
      <c r="C85" s="76">
        <v>150.0</v>
      </c>
      <c r="D85" s="76">
        <v>3.0</v>
      </c>
      <c r="E85" s="26" t="s">
        <v>63</v>
      </c>
      <c r="F85" s="76" t="s">
        <v>176</v>
      </c>
      <c r="G85" s="76" t="s">
        <v>173</v>
      </c>
      <c r="H85" s="76" t="s">
        <v>164</v>
      </c>
      <c r="I85" s="67">
        <f t="shared" si="46"/>
        <v>3</v>
      </c>
      <c r="J85" s="77">
        <v>11.64</v>
      </c>
      <c r="K85" s="41">
        <f t="shared" si="47"/>
        <v>13.968</v>
      </c>
      <c r="L85" s="42">
        <f t="shared" si="48"/>
        <v>17.04096</v>
      </c>
      <c r="M85" s="30">
        <f t="shared" si="49"/>
        <v>16.296</v>
      </c>
      <c r="N85" s="30">
        <f t="shared" si="50"/>
        <v>19.88112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</row>
    <row r="86">
      <c r="A86" s="37" t="s">
        <v>177</v>
      </c>
      <c r="B86" s="40" t="s">
        <v>178</v>
      </c>
      <c r="C86" s="76">
        <v>200.0</v>
      </c>
      <c r="D86" s="76">
        <v>3.0</v>
      </c>
      <c r="E86" s="26" t="s">
        <v>63</v>
      </c>
      <c r="F86" s="76" t="s">
        <v>176</v>
      </c>
      <c r="G86" s="76" t="s">
        <v>173</v>
      </c>
      <c r="H86" s="76" t="s">
        <v>164</v>
      </c>
      <c r="I86" s="67">
        <f t="shared" si="46"/>
        <v>3</v>
      </c>
      <c r="J86" s="77">
        <v>14.52</v>
      </c>
      <c r="K86" s="41">
        <f t="shared" si="47"/>
        <v>17.424</v>
      </c>
      <c r="L86" s="42">
        <f t="shared" si="48"/>
        <v>21.25728</v>
      </c>
      <c r="M86" s="30">
        <f t="shared" si="49"/>
        <v>20.328</v>
      </c>
      <c r="N86" s="30">
        <f t="shared" si="50"/>
        <v>24.80016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</row>
    <row r="87">
      <c r="A87" s="43" t="s">
        <v>179</v>
      </c>
      <c r="B87" s="44" t="s">
        <v>180</v>
      </c>
      <c r="C87" s="85">
        <v>250.0</v>
      </c>
      <c r="D87" s="85">
        <v>3.0</v>
      </c>
      <c r="E87" s="26" t="s">
        <v>63</v>
      </c>
      <c r="F87" s="76" t="s">
        <v>176</v>
      </c>
      <c r="G87" s="76" t="s">
        <v>173</v>
      </c>
      <c r="H87" s="76" t="s">
        <v>164</v>
      </c>
      <c r="I87" s="67">
        <f t="shared" si="46"/>
        <v>3</v>
      </c>
      <c r="J87" s="86">
        <v>17.45</v>
      </c>
      <c r="K87" s="46">
        <f t="shared" si="47"/>
        <v>20.94</v>
      </c>
      <c r="L87" s="47">
        <f t="shared" si="48"/>
        <v>25.5468</v>
      </c>
      <c r="M87" s="30">
        <f t="shared" si="49"/>
        <v>24.43</v>
      </c>
      <c r="N87" s="30">
        <f t="shared" si="50"/>
        <v>29.8046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</row>
    <row r="89">
      <c r="A89" s="56"/>
      <c r="B89" s="71" t="s">
        <v>181</v>
      </c>
      <c r="C89" s="12"/>
      <c r="D89" s="12"/>
      <c r="E89" s="12"/>
      <c r="F89" s="12"/>
      <c r="G89" s="12"/>
      <c r="H89" s="12"/>
      <c r="I89" s="12"/>
      <c r="J89" s="12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</row>
    <row r="90" ht="15.75" customHeight="1">
      <c r="A90" s="107"/>
      <c r="B90" s="108" t="s">
        <v>182</v>
      </c>
      <c r="C90" s="129">
        <v>100.0</v>
      </c>
      <c r="D90" s="109">
        <v>3.0</v>
      </c>
      <c r="E90" s="26" t="s">
        <v>63</v>
      </c>
      <c r="F90" s="129" t="s">
        <v>183</v>
      </c>
      <c r="G90" s="26" t="s">
        <v>173</v>
      </c>
      <c r="H90" s="76" t="s">
        <v>164</v>
      </c>
      <c r="I90" s="67">
        <f t="shared" ref="I90:I100" si="51">D90</f>
        <v>3</v>
      </c>
      <c r="J90" s="77">
        <v>12.79</v>
      </c>
      <c r="K90" s="41">
        <f t="shared" ref="K90:K100" si="52">J90*1.2</f>
        <v>15.348</v>
      </c>
      <c r="L90" s="110">
        <f t="shared" ref="L90:L100" si="53">K90*1.22</f>
        <v>18.72456</v>
      </c>
      <c r="M90" s="30">
        <f t="shared" ref="M90:M100" si="54">J90*1.4</f>
        <v>17.906</v>
      </c>
      <c r="N90" s="30">
        <f t="shared" ref="N90:N100" si="55">M90*1.22</f>
        <v>21.84532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</row>
    <row r="91" ht="15.75" customHeight="1">
      <c r="A91" s="107"/>
      <c r="B91" s="108" t="s">
        <v>184</v>
      </c>
      <c r="C91" s="109">
        <v>150.0</v>
      </c>
      <c r="D91" s="109">
        <v>3.0</v>
      </c>
      <c r="E91" s="26" t="s">
        <v>63</v>
      </c>
      <c r="F91" s="129" t="s">
        <v>183</v>
      </c>
      <c r="G91" s="26" t="s">
        <v>173</v>
      </c>
      <c r="H91" s="76" t="s">
        <v>164</v>
      </c>
      <c r="I91" s="67">
        <f t="shared" si="51"/>
        <v>3</v>
      </c>
      <c r="J91" s="77">
        <v>14.68</v>
      </c>
      <c r="K91" s="41">
        <f t="shared" si="52"/>
        <v>17.616</v>
      </c>
      <c r="L91" s="110">
        <f t="shared" si="53"/>
        <v>21.49152</v>
      </c>
      <c r="M91" s="30">
        <f t="shared" si="54"/>
        <v>20.552</v>
      </c>
      <c r="N91" s="30">
        <f t="shared" si="55"/>
        <v>25.07344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</row>
    <row r="92" ht="15.75" customHeight="1">
      <c r="A92" s="107"/>
      <c r="B92" s="108" t="s">
        <v>185</v>
      </c>
      <c r="C92" s="109">
        <v>200.0</v>
      </c>
      <c r="D92" s="109">
        <v>3.0</v>
      </c>
      <c r="E92" s="26" t="s">
        <v>63</v>
      </c>
      <c r="F92" s="129" t="s">
        <v>183</v>
      </c>
      <c r="G92" s="26" t="s">
        <v>173</v>
      </c>
      <c r="H92" s="76" t="s">
        <v>164</v>
      </c>
      <c r="I92" s="67">
        <f t="shared" si="51"/>
        <v>3</v>
      </c>
      <c r="J92" s="77">
        <v>17.61</v>
      </c>
      <c r="K92" s="41">
        <f t="shared" si="52"/>
        <v>21.132</v>
      </c>
      <c r="L92" s="110">
        <f t="shared" si="53"/>
        <v>25.78104</v>
      </c>
      <c r="M92" s="30">
        <f t="shared" si="54"/>
        <v>24.654</v>
      </c>
      <c r="N92" s="30">
        <f t="shared" si="55"/>
        <v>30.07788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</row>
    <row r="93" ht="15.75" customHeight="1">
      <c r="A93" s="119"/>
      <c r="B93" s="130" t="s">
        <v>186</v>
      </c>
      <c r="C93" s="121">
        <v>250.0</v>
      </c>
      <c r="D93" s="121">
        <v>3.0</v>
      </c>
      <c r="E93" s="26" t="s">
        <v>63</v>
      </c>
      <c r="F93" s="129" t="s">
        <v>183</v>
      </c>
      <c r="G93" s="26" t="s">
        <v>173</v>
      </c>
      <c r="H93" s="76" t="s">
        <v>164</v>
      </c>
      <c r="I93" s="67">
        <f t="shared" si="51"/>
        <v>3</v>
      </c>
      <c r="J93" s="86">
        <v>17.75</v>
      </c>
      <c r="K93" s="46">
        <f t="shared" si="52"/>
        <v>21.3</v>
      </c>
      <c r="L93" s="131">
        <f t="shared" si="53"/>
        <v>25.986</v>
      </c>
      <c r="M93" s="30">
        <f t="shared" si="54"/>
        <v>24.85</v>
      </c>
      <c r="N93" s="30">
        <f t="shared" si="55"/>
        <v>30.317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</row>
    <row r="94" ht="15.75" customHeight="1">
      <c r="A94" s="104"/>
      <c r="B94" s="105" t="s">
        <v>187</v>
      </c>
      <c r="C94" s="59" t="s">
        <v>47</v>
      </c>
      <c r="D94" s="59">
        <v>3.0</v>
      </c>
      <c r="E94" s="26" t="s">
        <v>63</v>
      </c>
      <c r="F94" s="129" t="s">
        <v>183</v>
      </c>
      <c r="G94" s="59" t="s">
        <v>47</v>
      </c>
      <c r="H94" s="76" t="s">
        <v>164</v>
      </c>
      <c r="I94" s="67">
        <f t="shared" si="51"/>
        <v>3</v>
      </c>
      <c r="J94" s="98">
        <v>11.04</v>
      </c>
      <c r="K94" s="101">
        <f t="shared" si="52"/>
        <v>13.248</v>
      </c>
      <c r="L94" s="106">
        <f t="shared" si="53"/>
        <v>16.16256</v>
      </c>
      <c r="M94" s="30">
        <f t="shared" si="54"/>
        <v>15.456</v>
      </c>
      <c r="N94" s="30">
        <f t="shared" si="55"/>
        <v>18.85632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</row>
    <row r="95" ht="15.75" customHeight="1">
      <c r="A95" s="107"/>
      <c r="B95" s="108" t="s">
        <v>188</v>
      </c>
      <c r="C95" s="59" t="s">
        <v>47</v>
      </c>
      <c r="D95" s="109">
        <v>3.0</v>
      </c>
      <c r="E95" s="26" t="s">
        <v>63</v>
      </c>
      <c r="F95" s="129" t="s">
        <v>189</v>
      </c>
      <c r="G95" s="59" t="s">
        <v>47</v>
      </c>
      <c r="H95" s="76" t="s">
        <v>164</v>
      </c>
      <c r="I95" s="67">
        <f t="shared" si="51"/>
        <v>3</v>
      </c>
      <c r="J95" s="77">
        <v>8.74</v>
      </c>
      <c r="K95" s="41">
        <f t="shared" si="52"/>
        <v>10.488</v>
      </c>
      <c r="L95" s="110">
        <f t="shared" si="53"/>
        <v>12.79536</v>
      </c>
      <c r="M95" s="30">
        <f t="shared" si="54"/>
        <v>12.236</v>
      </c>
      <c r="N95" s="30">
        <f t="shared" si="55"/>
        <v>14.92792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</row>
    <row r="96" ht="15.75" customHeight="1">
      <c r="A96" s="107"/>
      <c r="B96" s="108" t="s">
        <v>190</v>
      </c>
      <c r="C96" s="59" t="s">
        <v>47</v>
      </c>
      <c r="D96" s="109">
        <v>3.0</v>
      </c>
      <c r="E96" s="26" t="s">
        <v>63</v>
      </c>
      <c r="F96" s="129" t="s">
        <v>183</v>
      </c>
      <c r="G96" s="59" t="s">
        <v>47</v>
      </c>
      <c r="H96" s="76" t="s">
        <v>164</v>
      </c>
      <c r="I96" s="67">
        <f t="shared" si="51"/>
        <v>3</v>
      </c>
      <c r="J96" s="77">
        <v>8.74</v>
      </c>
      <c r="K96" s="41">
        <f t="shared" si="52"/>
        <v>10.488</v>
      </c>
      <c r="L96" s="110">
        <f t="shared" si="53"/>
        <v>12.79536</v>
      </c>
      <c r="M96" s="30">
        <f t="shared" si="54"/>
        <v>12.236</v>
      </c>
      <c r="N96" s="30">
        <f t="shared" si="55"/>
        <v>14.92792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</row>
    <row r="97" ht="15.75" customHeight="1">
      <c r="A97" s="107"/>
      <c r="B97" s="108" t="s">
        <v>191</v>
      </c>
      <c r="C97" s="59" t="s">
        <v>47</v>
      </c>
      <c r="D97" s="109">
        <v>6.8</v>
      </c>
      <c r="E97" s="26" t="s">
        <v>63</v>
      </c>
      <c r="F97" s="129" t="s">
        <v>189</v>
      </c>
      <c r="G97" s="59" t="s">
        <v>47</v>
      </c>
      <c r="H97" s="76" t="s">
        <v>164</v>
      </c>
      <c r="I97" s="67">
        <f t="shared" si="51"/>
        <v>6.8</v>
      </c>
      <c r="J97" s="77">
        <v>52.7</v>
      </c>
      <c r="K97" s="41">
        <f t="shared" si="52"/>
        <v>63.24</v>
      </c>
      <c r="L97" s="110">
        <f t="shared" si="53"/>
        <v>77.1528</v>
      </c>
      <c r="M97" s="30">
        <f t="shared" si="54"/>
        <v>73.78</v>
      </c>
      <c r="N97" s="30">
        <f t="shared" si="55"/>
        <v>90.0116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</row>
    <row r="98">
      <c r="A98" s="107" t="s">
        <v>192</v>
      </c>
      <c r="B98" s="108" t="s">
        <v>193</v>
      </c>
      <c r="C98" s="59" t="s">
        <v>47</v>
      </c>
      <c r="D98" s="109">
        <v>2.0</v>
      </c>
      <c r="E98" s="26" t="s">
        <v>63</v>
      </c>
      <c r="F98" s="129" t="s">
        <v>183</v>
      </c>
      <c r="G98" s="59" t="s">
        <v>47</v>
      </c>
      <c r="H98" s="76" t="s">
        <v>164</v>
      </c>
      <c r="I98" s="67">
        <f t="shared" si="51"/>
        <v>2</v>
      </c>
      <c r="J98" s="77">
        <v>23.72</v>
      </c>
      <c r="K98" s="41">
        <f t="shared" si="52"/>
        <v>28.464</v>
      </c>
      <c r="L98" s="110">
        <f t="shared" si="53"/>
        <v>34.72608</v>
      </c>
      <c r="M98" s="30">
        <f t="shared" si="54"/>
        <v>33.208</v>
      </c>
      <c r="N98" s="30">
        <f t="shared" si="55"/>
        <v>40.51376</v>
      </c>
      <c r="O98" s="10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>
      <c r="A99" s="107" t="s">
        <v>194</v>
      </c>
      <c r="B99" s="108" t="s">
        <v>195</v>
      </c>
      <c r="C99" s="59" t="s">
        <v>47</v>
      </c>
      <c r="D99" s="109">
        <v>2.0</v>
      </c>
      <c r="E99" s="26" t="s">
        <v>63</v>
      </c>
      <c r="F99" s="129" t="s">
        <v>196</v>
      </c>
      <c r="G99" s="59" t="s">
        <v>47</v>
      </c>
      <c r="H99" s="76" t="s">
        <v>164</v>
      </c>
      <c r="I99" s="67">
        <f t="shared" si="51"/>
        <v>2</v>
      </c>
      <c r="J99" s="77">
        <v>18.17</v>
      </c>
      <c r="K99" s="41">
        <f t="shared" si="52"/>
        <v>21.804</v>
      </c>
      <c r="L99" s="110">
        <f t="shared" si="53"/>
        <v>26.60088</v>
      </c>
      <c r="M99" s="30">
        <f t="shared" si="54"/>
        <v>25.438</v>
      </c>
      <c r="N99" s="30">
        <f t="shared" si="55"/>
        <v>31.03436</v>
      </c>
      <c r="O99" s="10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ht="15.75" customHeight="1">
      <c r="A100" s="107"/>
      <c r="B100" s="108" t="s">
        <v>197</v>
      </c>
      <c r="C100" s="59" t="s">
        <v>47</v>
      </c>
      <c r="D100" s="109">
        <v>6.8</v>
      </c>
      <c r="E100" s="26" t="s">
        <v>63</v>
      </c>
      <c r="F100" s="129" t="s">
        <v>189</v>
      </c>
      <c r="G100" s="59" t="s">
        <v>47</v>
      </c>
      <c r="H100" s="76" t="s">
        <v>164</v>
      </c>
      <c r="I100" s="67">
        <f t="shared" si="51"/>
        <v>6.8</v>
      </c>
      <c r="J100" s="77">
        <v>64.96</v>
      </c>
      <c r="K100" s="41">
        <f t="shared" si="52"/>
        <v>77.952</v>
      </c>
      <c r="L100" s="110">
        <f t="shared" si="53"/>
        <v>95.10144</v>
      </c>
      <c r="M100" s="30">
        <f t="shared" si="54"/>
        <v>90.944</v>
      </c>
      <c r="N100" s="30">
        <f t="shared" si="55"/>
        <v>110.95168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</row>
    <row r="102">
      <c r="A102" s="16"/>
      <c r="B102" s="17" t="s">
        <v>198</v>
      </c>
      <c r="C102" s="12"/>
      <c r="D102" s="12"/>
      <c r="E102" s="12"/>
      <c r="F102" s="12"/>
      <c r="G102" s="12"/>
      <c r="H102" s="12"/>
      <c r="I102" s="12"/>
      <c r="J102" s="12"/>
      <c r="K102" s="13" t="s">
        <v>199</v>
      </c>
      <c r="L102" s="18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</row>
    <row r="103">
      <c r="A103" s="107" t="s">
        <v>153</v>
      </c>
      <c r="B103" s="132" t="s">
        <v>200</v>
      </c>
      <c r="C103" s="59">
        <v>100.0</v>
      </c>
      <c r="D103" s="25" t="s">
        <v>17</v>
      </c>
      <c r="E103" s="76" t="s">
        <v>201</v>
      </c>
      <c r="F103" s="76" t="s">
        <v>82</v>
      </c>
      <c r="G103" s="76" t="s">
        <v>152</v>
      </c>
      <c r="H103" s="76" t="s">
        <v>21</v>
      </c>
      <c r="I103" s="76" t="s">
        <v>139</v>
      </c>
      <c r="J103" s="77">
        <f>31.77*1.0335</f>
        <v>32.834295</v>
      </c>
      <c r="K103" s="41">
        <f t="shared" ref="K103:K106" si="56">J103*1.15</f>
        <v>37.75943925</v>
      </c>
      <c r="L103" s="110">
        <f t="shared" ref="L103:L106" si="57">K103*1.22</f>
        <v>46.06651589</v>
      </c>
      <c r="M103" s="30">
        <f t="shared" ref="M103:M106" si="58">K103</f>
        <v>37.75943925</v>
      </c>
      <c r="N103" s="30">
        <f t="shared" ref="N103:N106" si="59">M103*1.22</f>
        <v>46.06651589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</row>
    <row r="104">
      <c r="A104" s="107" t="s">
        <v>155</v>
      </c>
      <c r="B104" s="132" t="s">
        <v>202</v>
      </c>
      <c r="C104" s="59">
        <v>150.0</v>
      </c>
      <c r="D104" s="25" t="s">
        <v>17</v>
      </c>
      <c r="E104" s="76" t="s">
        <v>201</v>
      </c>
      <c r="F104" s="76" t="s">
        <v>82</v>
      </c>
      <c r="G104" s="76" t="s">
        <v>152</v>
      </c>
      <c r="H104" s="76" t="s">
        <v>21</v>
      </c>
      <c r="I104" s="76" t="s">
        <v>139</v>
      </c>
      <c r="J104" s="77">
        <f>35.74*1.0335</f>
        <v>36.93729</v>
      </c>
      <c r="K104" s="41">
        <f t="shared" si="56"/>
        <v>42.4778835</v>
      </c>
      <c r="L104" s="110">
        <f t="shared" si="57"/>
        <v>51.82301787</v>
      </c>
      <c r="M104" s="30">
        <f t="shared" si="58"/>
        <v>42.4778835</v>
      </c>
      <c r="N104" s="30">
        <f t="shared" si="59"/>
        <v>51.82301787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</row>
    <row r="105">
      <c r="A105" s="107" t="s">
        <v>157</v>
      </c>
      <c r="B105" s="132" t="s">
        <v>203</v>
      </c>
      <c r="C105" s="59">
        <v>200.0</v>
      </c>
      <c r="D105" s="25" t="s">
        <v>17</v>
      </c>
      <c r="E105" s="76" t="s">
        <v>201</v>
      </c>
      <c r="F105" s="76" t="s">
        <v>82</v>
      </c>
      <c r="G105" s="76" t="s">
        <v>152</v>
      </c>
      <c r="H105" s="76" t="s">
        <v>21</v>
      </c>
      <c r="I105" s="76" t="s">
        <v>139</v>
      </c>
      <c r="J105" s="77">
        <f>40.08*1.0335</f>
        <v>41.42268</v>
      </c>
      <c r="K105" s="41">
        <f t="shared" si="56"/>
        <v>47.636082</v>
      </c>
      <c r="L105" s="110">
        <f t="shared" si="57"/>
        <v>58.11602004</v>
      </c>
      <c r="M105" s="30">
        <f t="shared" si="58"/>
        <v>47.636082</v>
      </c>
      <c r="N105" s="30">
        <f t="shared" si="59"/>
        <v>58.11602004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</row>
    <row r="106">
      <c r="A106" s="119" t="s">
        <v>159</v>
      </c>
      <c r="B106" s="133" t="s">
        <v>204</v>
      </c>
      <c r="C106" s="121">
        <v>250.0</v>
      </c>
      <c r="D106" s="25" t="s">
        <v>17</v>
      </c>
      <c r="E106" s="76" t="s">
        <v>201</v>
      </c>
      <c r="F106" s="76" t="s">
        <v>82</v>
      </c>
      <c r="G106" s="76" t="s">
        <v>152</v>
      </c>
      <c r="H106" s="76" t="s">
        <v>21</v>
      </c>
      <c r="I106" s="76" t="s">
        <v>139</v>
      </c>
      <c r="J106" s="86">
        <f>44.05*1.0335</f>
        <v>45.525675</v>
      </c>
      <c r="K106" s="41">
        <f t="shared" si="56"/>
        <v>52.35452625</v>
      </c>
      <c r="L106" s="131">
        <f t="shared" si="57"/>
        <v>63.87252203</v>
      </c>
      <c r="M106" s="30">
        <f t="shared" si="58"/>
        <v>52.35452625</v>
      </c>
      <c r="N106" s="30">
        <f t="shared" si="59"/>
        <v>63.87252203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</row>
    <row r="108">
      <c r="A108" s="16"/>
      <c r="B108" s="17" t="s">
        <v>205</v>
      </c>
      <c r="C108" s="12"/>
      <c r="D108" s="12"/>
      <c r="E108" s="12"/>
      <c r="F108" s="12"/>
      <c r="G108" s="12"/>
      <c r="H108" s="12"/>
      <c r="I108" s="12"/>
      <c r="J108" s="12"/>
      <c r="K108" s="20"/>
      <c r="L108" s="18"/>
      <c r="M108" s="12"/>
      <c r="N108" s="12"/>
      <c r="O108" s="12"/>
      <c r="P108" s="10"/>
      <c r="Q108" s="10"/>
      <c r="R108" s="10"/>
      <c r="S108" s="10"/>
      <c r="T108" s="12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</row>
    <row r="109">
      <c r="A109" s="104" t="s">
        <v>206</v>
      </c>
      <c r="B109" s="98" t="s">
        <v>207</v>
      </c>
      <c r="C109" s="98"/>
      <c r="D109" s="25" t="s">
        <v>17</v>
      </c>
      <c r="E109" s="26" t="s">
        <v>208</v>
      </c>
      <c r="F109" s="76" t="s">
        <v>82</v>
      </c>
      <c r="G109" s="63" t="s">
        <v>20</v>
      </c>
      <c r="H109" s="76" t="s">
        <v>21</v>
      </c>
      <c r="I109" s="63" t="s">
        <v>22</v>
      </c>
      <c r="J109" s="98">
        <f>30.45*1.15*1.0385</f>
        <v>36.36567375</v>
      </c>
      <c r="K109" s="101">
        <f t="shared" ref="K109:K111" si="60">J109*1.15</f>
        <v>41.82052481</v>
      </c>
      <c r="L109" s="106">
        <f t="shared" ref="L109:L111" si="61">K109*1.22</f>
        <v>51.02104027</v>
      </c>
      <c r="M109" s="30">
        <f t="shared" ref="M109:M111" si="62">K109</f>
        <v>41.82052481</v>
      </c>
      <c r="N109" s="30">
        <f t="shared" ref="N109:N111" si="63">M109*1.22</f>
        <v>51.02104027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</row>
    <row r="110">
      <c r="A110" s="104" t="s">
        <v>209</v>
      </c>
      <c r="B110" s="105" t="s">
        <v>210</v>
      </c>
      <c r="C110" s="59">
        <v>80.0</v>
      </c>
      <c r="D110" s="25" t="s">
        <v>17</v>
      </c>
      <c r="E110" s="26" t="s">
        <v>208</v>
      </c>
      <c r="F110" s="76" t="s">
        <v>82</v>
      </c>
      <c r="G110" s="63" t="s">
        <v>20</v>
      </c>
      <c r="H110" s="76" t="s">
        <v>21</v>
      </c>
      <c r="I110" s="63" t="s">
        <v>22</v>
      </c>
      <c r="J110" s="98">
        <v>37.17</v>
      </c>
      <c r="K110" s="101">
        <f t="shared" si="60"/>
        <v>42.7455</v>
      </c>
      <c r="L110" s="106">
        <f t="shared" si="61"/>
        <v>52.14951</v>
      </c>
      <c r="M110" s="30">
        <f t="shared" si="62"/>
        <v>42.7455</v>
      </c>
      <c r="N110" s="30">
        <f t="shared" si="63"/>
        <v>52.14951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</row>
    <row r="111">
      <c r="A111" s="119" t="s">
        <v>209</v>
      </c>
      <c r="B111" s="130" t="s">
        <v>211</v>
      </c>
      <c r="C111" s="121">
        <v>120.0</v>
      </c>
      <c r="D111" s="25" t="s">
        <v>17</v>
      </c>
      <c r="E111" s="26" t="s">
        <v>208</v>
      </c>
      <c r="F111" s="76" t="s">
        <v>82</v>
      </c>
      <c r="G111" s="63" t="s">
        <v>20</v>
      </c>
      <c r="H111" s="76" t="s">
        <v>21</v>
      </c>
      <c r="I111" s="63" t="s">
        <v>22</v>
      </c>
      <c r="J111" s="86">
        <f>42.9*1.0415</f>
        <v>44.68035</v>
      </c>
      <c r="K111" s="46">
        <f t="shared" si="60"/>
        <v>51.3824025</v>
      </c>
      <c r="L111" s="131">
        <f t="shared" si="61"/>
        <v>62.68653105</v>
      </c>
      <c r="M111" s="30">
        <f t="shared" si="62"/>
        <v>51.3824025</v>
      </c>
      <c r="N111" s="30">
        <f t="shared" si="63"/>
        <v>62.68653105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</row>
    <row r="112">
      <c r="A112" s="10"/>
      <c r="B112" s="10"/>
      <c r="C112" s="12"/>
      <c r="D112" s="12"/>
      <c r="E112" s="12"/>
      <c r="F112" s="12"/>
      <c r="G112" s="12"/>
      <c r="H112" s="12"/>
      <c r="I112" s="12"/>
      <c r="J112" s="12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</row>
    <row r="114">
      <c r="A114" s="56"/>
      <c r="B114" s="71" t="s">
        <v>212</v>
      </c>
      <c r="C114" s="12"/>
      <c r="D114" s="12"/>
      <c r="E114" s="12"/>
      <c r="F114" s="12"/>
      <c r="G114" s="12"/>
      <c r="H114" s="12"/>
      <c r="I114" s="12"/>
      <c r="J114" s="12"/>
      <c r="K114" s="13"/>
      <c r="L114" s="12"/>
      <c r="M114" s="12"/>
      <c r="N114" s="12"/>
      <c r="O114" s="12"/>
      <c r="P114" s="10"/>
      <c r="Q114" s="10"/>
      <c r="R114" s="10"/>
      <c r="S114" s="10"/>
      <c r="T114" s="12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</row>
    <row r="115">
      <c r="A115" s="23" t="s">
        <v>213</v>
      </c>
      <c r="B115" s="134" t="s">
        <v>214</v>
      </c>
      <c r="C115" s="115">
        <v>50.0</v>
      </c>
      <c r="D115" s="115">
        <v>3.03</v>
      </c>
      <c r="E115" s="26" t="s">
        <v>215</v>
      </c>
      <c r="F115" s="76" t="s">
        <v>82</v>
      </c>
      <c r="G115" s="63" t="s">
        <v>216</v>
      </c>
      <c r="H115" s="63" t="s">
        <v>164</v>
      </c>
      <c r="I115" s="67">
        <f t="shared" ref="I115:I121" si="64">D115</f>
        <v>3.03</v>
      </c>
      <c r="J115" s="27">
        <f>(13.53*1.0335)*1.19</f>
        <v>16.64007345</v>
      </c>
      <c r="K115" s="28">
        <f t="shared" ref="K115:K121" si="65">J115*1.2</f>
        <v>19.96808814</v>
      </c>
      <c r="L115" s="29">
        <f t="shared" ref="L115:L121" si="66">K115*1.22</f>
        <v>24.36106753</v>
      </c>
      <c r="M115" s="30">
        <f t="shared" ref="M115:M121" si="67">J115*1.4</f>
        <v>23.29610283</v>
      </c>
      <c r="N115" s="30">
        <f t="shared" ref="N115:N121" si="68">M115*1.22</f>
        <v>28.42124545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</row>
    <row r="116">
      <c r="A116" s="107" t="s">
        <v>217</v>
      </c>
      <c r="B116" s="135" t="s">
        <v>218</v>
      </c>
      <c r="C116" s="109">
        <v>80.0</v>
      </c>
      <c r="D116" s="115">
        <v>3.03</v>
      </c>
      <c r="E116" s="26" t="s">
        <v>215</v>
      </c>
      <c r="F116" s="76" t="s">
        <v>82</v>
      </c>
      <c r="G116" s="63" t="s">
        <v>20</v>
      </c>
      <c r="H116" s="63" t="s">
        <v>164</v>
      </c>
      <c r="I116" s="67">
        <f t="shared" si="64"/>
        <v>3.03</v>
      </c>
      <c r="J116" s="77">
        <f>(13.53*1.045*1.0335)*1.19</f>
        <v>17.38887676</v>
      </c>
      <c r="K116" s="41">
        <f t="shared" si="65"/>
        <v>20.86665211</v>
      </c>
      <c r="L116" s="42">
        <f t="shared" si="66"/>
        <v>25.45731557</v>
      </c>
      <c r="M116" s="30">
        <f t="shared" si="67"/>
        <v>24.34442746</v>
      </c>
      <c r="N116" s="30">
        <f t="shared" si="68"/>
        <v>29.7002015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</row>
    <row r="117">
      <c r="A117" s="107">
        <v>6838.0</v>
      </c>
      <c r="B117" s="135" t="s">
        <v>219</v>
      </c>
      <c r="C117" s="109">
        <v>100.0</v>
      </c>
      <c r="D117" s="115">
        <v>3.03</v>
      </c>
      <c r="E117" s="26" t="s">
        <v>215</v>
      </c>
      <c r="F117" s="76" t="s">
        <v>82</v>
      </c>
      <c r="G117" s="63" t="s">
        <v>216</v>
      </c>
      <c r="H117" s="63" t="s">
        <v>164</v>
      </c>
      <c r="I117" s="67">
        <f t="shared" si="64"/>
        <v>3.03</v>
      </c>
      <c r="J117" s="77">
        <v>13.06</v>
      </c>
      <c r="K117" s="41">
        <f t="shared" si="65"/>
        <v>15.672</v>
      </c>
      <c r="L117" s="42">
        <f t="shared" si="66"/>
        <v>19.11984</v>
      </c>
      <c r="M117" s="30">
        <f t="shared" si="67"/>
        <v>18.284</v>
      </c>
      <c r="N117" s="30">
        <f t="shared" si="68"/>
        <v>22.30648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</row>
    <row r="118">
      <c r="A118" s="107" t="s">
        <v>217</v>
      </c>
      <c r="B118" s="135" t="s">
        <v>220</v>
      </c>
      <c r="C118" s="109">
        <v>120.0</v>
      </c>
      <c r="D118" s="115">
        <v>3.03</v>
      </c>
      <c r="E118" s="26" t="s">
        <v>215</v>
      </c>
      <c r="F118" s="76" t="s">
        <v>82</v>
      </c>
      <c r="G118" s="63" t="s">
        <v>20</v>
      </c>
      <c r="H118" s="63" t="s">
        <v>164</v>
      </c>
      <c r="I118" s="67">
        <f t="shared" si="64"/>
        <v>3.03</v>
      </c>
      <c r="J118" s="77">
        <f>(16.73*1.0335)*1.19</f>
        <v>20.57564145</v>
      </c>
      <c r="K118" s="41">
        <f t="shared" si="65"/>
        <v>24.69076974</v>
      </c>
      <c r="L118" s="42">
        <f t="shared" si="66"/>
        <v>30.12273908</v>
      </c>
      <c r="M118" s="30">
        <f t="shared" si="67"/>
        <v>28.80589803</v>
      </c>
      <c r="N118" s="30">
        <f t="shared" si="68"/>
        <v>35.1431956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</row>
    <row r="119">
      <c r="A119" s="107">
        <v>6839.0</v>
      </c>
      <c r="B119" s="135" t="s">
        <v>221</v>
      </c>
      <c r="C119" s="109">
        <v>150.0</v>
      </c>
      <c r="D119" s="115">
        <v>3.03</v>
      </c>
      <c r="E119" s="26" t="s">
        <v>215</v>
      </c>
      <c r="F119" s="76" t="s">
        <v>82</v>
      </c>
      <c r="G119" s="63" t="s">
        <v>173</v>
      </c>
      <c r="H119" s="63" t="s">
        <v>164</v>
      </c>
      <c r="I119" s="67">
        <f t="shared" si="64"/>
        <v>3.03</v>
      </c>
      <c r="J119" s="77">
        <v>18.87</v>
      </c>
      <c r="K119" s="41">
        <f t="shared" si="65"/>
        <v>22.644</v>
      </c>
      <c r="L119" s="42">
        <f t="shared" si="66"/>
        <v>27.62568</v>
      </c>
      <c r="M119" s="30">
        <f t="shared" si="67"/>
        <v>26.418</v>
      </c>
      <c r="N119" s="30">
        <f t="shared" si="68"/>
        <v>32.22996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</row>
    <row r="120">
      <c r="A120" s="107">
        <v>6840.0</v>
      </c>
      <c r="B120" s="135" t="s">
        <v>222</v>
      </c>
      <c r="C120" s="109">
        <v>200.0</v>
      </c>
      <c r="D120" s="115">
        <v>3.03</v>
      </c>
      <c r="E120" s="26" t="s">
        <v>215</v>
      </c>
      <c r="F120" s="76" t="s">
        <v>82</v>
      </c>
      <c r="G120" s="63" t="s">
        <v>173</v>
      </c>
      <c r="H120" s="63" t="s">
        <v>164</v>
      </c>
      <c r="I120" s="67">
        <f t="shared" si="64"/>
        <v>3.03</v>
      </c>
      <c r="J120" s="77">
        <v>19.64</v>
      </c>
      <c r="K120" s="41">
        <f t="shared" si="65"/>
        <v>23.568</v>
      </c>
      <c r="L120" s="42">
        <f t="shared" si="66"/>
        <v>28.75296</v>
      </c>
      <c r="M120" s="30">
        <f t="shared" si="67"/>
        <v>27.496</v>
      </c>
      <c r="N120" s="30">
        <f t="shared" si="68"/>
        <v>33.54512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</row>
    <row r="121">
      <c r="A121" s="119">
        <v>6841.0</v>
      </c>
      <c r="B121" s="133" t="s">
        <v>223</v>
      </c>
      <c r="C121" s="121">
        <v>250.0</v>
      </c>
      <c r="D121" s="115">
        <v>3.03</v>
      </c>
      <c r="E121" s="26" t="s">
        <v>215</v>
      </c>
      <c r="F121" s="76" t="s">
        <v>82</v>
      </c>
      <c r="G121" s="136" t="s">
        <v>173</v>
      </c>
      <c r="H121" s="63" t="s">
        <v>164</v>
      </c>
      <c r="I121" s="67">
        <f t="shared" si="64"/>
        <v>3.03</v>
      </c>
      <c r="J121" s="86">
        <v>19.83</v>
      </c>
      <c r="K121" s="46">
        <f t="shared" si="65"/>
        <v>23.796</v>
      </c>
      <c r="L121" s="47">
        <f t="shared" si="66"/>
        <v>29.03112</v>
      </c>
      <c r="M121" s="30">
        <f t="shared" si="67"/>
        <v>27.762</v>
      </c>
      <c r="N121" s="30">
        <f t="shared" si="68"/>
        <v>33.86964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</row>
    <row r="123">
      <c r="A123" s="16"/>
      <c r="B123" s="17" t="s">
        <v>224</v>
      </c>
      <c r="C123" s="12"/>
      <c r="D123" s="12"/>
      <c r="E123" s="12"/>
      <c r="F123" s="12"/>
      <c r="G123" s="12"/>
      <c r="H123" s="12"/>
      <c r="I123" s="12"/>
      <c r="J123" s="12"/>
      <c r="K123" s="20"/>
      <c r="L123" s="18"/>
      <c r="M123" s="12"/>
      <c r="N123" s="12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>
      <c r="A124" s="23" t="s">
        <v>225</v>
      </c>
      <c r="B124" s="137" t="s">
        <v>226</v>
      </c>
      <c r="C124" s="26">
        <v>50.0</v>
      </c>
      <c r="D124" s="26">
        <v>3.0</v>
      </c>
      <c r="E124" s="26" t="s">
        <v>63</v>
      </c>
      <c r="F124" s="63" t="s">
        <v>227</v>
      </c>
      <c r="G124" s="63" t="s">
        <v>216</v>
      </c>
      <c r="H124" s="63" t="s">
        <v>164</v>
      </c>
      <c r="I124" s="67">
        <f t="shared" ref="I124:I134" si="69">D124</f>
        <v>3</v>
      </c>
      <c r="J124" s="27">
        <f t="shared" ref="J124:J125" si="70">(17.96*1.0335)*1.19</f>
        <v>22.0883754</v>
      </c>
      <c r="K124" s="28">
        <f t="shared" ref="K124:K134" si="71">J124*1.2</f>
        <v>26.50605048</v>
      </c>
      <c r="L124" s="117">
        <f t="shared" ref="L124:L134" si="72">K124*1.22</f>
        <v>32.33738159</v>
      </c>
      <c r="M124" s="30">
        <f t="shared" ref="M124:M134" si="73">J124*1.4</f>
        <v>30.92372556</v>
      </c>
      <c r="N124" s="30">
        <f t="shared" ref="N124:N134" si="74">M124*1.22</f>
        <v>37.72694518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</row>
    <row r="125">
      <c r="A125" s="104" t="s">
        <v>225</v>
      </c>
      <c r="B125" s="138" t="s">
        <v>228</v>
      </c>
      <c r="C125" s="63">
        <v>80.0</v>
      </c>
      <c r="D125" s="63">
        <v>3.0</v>
      </c>
      <c r="E125" s="26" t="s">
        <v>63</v>
      </c>
      <c r="F125" s="63" t="s">
        <v>227</v>
      </c>
      <c r="G125" s="63" t="s">
        <v>216</v>
      </c>
      <c r="H125" s="63" t="s">
        <v>164</v>
      </c>
      <c r="I125" s="67">
        <f t="shared" si="69"/>
        <v>3</v>
      </c>
      <c r="J125" s="98">
        <f t="shared" si="70"/>
        <v>22.0883754</v>
      </c>
      <c r="K125" s="101">
        <f t="shared" si="71"/>
        <v>26.50605048</v>
      </c>
      <c r="L125" s="106">
        <f t="shared" si="72"/>
        <v>32.33738159</v>
      </c>
      <c r="M125" s="30">
        <f t="shared" si="73"/>
        <v>30.92372556</v>
      </c>
      <c r="N125" s="30">
        <f t="shared" si="74"/>
        <v>37.72694518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</row>
    <row r="126">
      <c r="A126" s="104">
        <v>6842.0</v>
      </c>
      <c r="B126" s="138" t="s">
        <v>229</v>
      </c>
      <c r="C126" s="63">
        <v>100.0</v>
      </c>
      <c r="D126" s="63">
        <v>3.0</v>
      </c>
      <c r="E126" s="26" t="s">
        <v>63</v>
      </c>
      <c r="F126" s="63" t="s">
        <v>227</v>
      </c>
      <c r="G126" s="63" t="s">
        <v>173</v>
      </c>
      <c r="H126" s="63" t="s">
        <v>164</v>
      </c>
      <c r="I126" s="67">
        <f t="shared" si="69"/>
        <v>3</v>
      </c>
      <c r="J126" s="98">
        <v>17.31</v>
      </c>
      <c r="K126" s="101">
        <f t="shared" si="71"/>
        <v>20.772</v>
      </c>
      <c r="L126" s="106">
        <f t="shared" si="72"/>
        <v>25.34184</v>
      </c>
      <c r="M126" s="30">
        <f t="shared" si="73"/>
        <v>24.234</v>
      </c>
      <c r="N126" s="30">
        <f t="shared" si="74"/>
        <v>29.56548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</row>
    <row r="127">
      <c r="A127" s="107" t="s">
        <v>230</v>
      </c>
      <c r="B127" s="138" t="s">
        <v>231</v>
      </c>
      <c r="C127" s="80">
        <v>120.0</v>
      </c>
      <c r="D127" s="80">
        <v>3.0</v>
      </c>
      <c r="E127" s="26" t="s">
        <v>63</v>
      </c>
      <c r="F127" s="63" t="s">
        <v>227</v>
      </c>
      <c r="G127" s="136" t="s">
        <v>216</v>
      </c>
      <c r="H127" s="63" t="s">
        <v>164</v>
      </c>
      <c r="I127" s="67">
        <f t="shared" si="69"/>
        <v>3</v>
      </c>
      <c r="J127" s="34">
        <f>(21.06*1.0335)*1.19</f>
        <v>25.9009569</v>
      </c>
      <c r="K127" s="81">
        <f t="shared" si="71"/>
        <v>31.08114828</v>
      </c>
      <c r="L127" s="113">
        <f t="shared" si="72"/>
        <v>37.9190009</v>
      </c>
      <c r="M127" s="30">
        <f t="shared" si="73"/>
        <v>36.26133966</v>
      </c>
      <c r="N127" s="30">
        <f t="shared" si="74"/>
        <v>44.23883439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>
      <c r="A128" s="104">
        <v>6843.0</v>
      </c>
      <c r="B128" s="138" t="s">
        <v>232</v>
      </c>
      <c r="C128" s="139">
        <v>150.0</v>
      </c>
      <c r="D128" s="139">
        <v>3.0</v>
      </c>
      <c r="E128" s="26" t="s">
        <v>63</v>
      </c>
      <c r="F128" s="63" t="s">
        <v>227</v>
      </c>
      <c r="G128" s="63" t="s">
        <v>173</v>
      </c>
      <c r="H128" s="63" t="s">
        <v>164</v>
      </c>
      <c r="I128" s="67">
        <f t="shared" si="69"/>
        <v>3</v>
      </c>
      <c r="J128" s="140">
        <v>24.22</v>
      </c>
      <c r="K128" s="41">
        <f t="shared" si="71"/>
        <v>29.064</v>
      </c>
      <c r="L128" s="110">
        <f t="shared" si="72"/>
        <v>35.45808</v>
      </c>
      <c r="M128" s="30">
        <f t="shared" si="73"/>
        <v>33.908</v>
      </c>
      <c r="N128" s="30">
        <f t="shared" si="74"/>
        <v>41.36776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>
      <c r="A129" s="104">
        <v>6844.0</v>
      </c>
      <c r="B129" s="138" t="s">
        <v>233</v>
      </c>
      <c r="C129" s="76">
        <v>200.0</v>
      </c>
      <c r="D129" s="76">
        <v>3.0</v>
      </c>
      <c r="E129" s="26" t="s">
        <v>63</v>
      </c>
      <c r="F129" s="63" t="s">
        <v>227</v>
      </c>
      <c r="G129" s="63" t="s">
        <v>173</v>
      </c>
      <c r="H129" s="63" t="s">
        <v>164</v>
      </c>
      <c r="I129" s="67">
        <f t="shared" si="69"/>
        <v>3</v>
      </c>
      <c r="J129" s="77">
        <v>26.46</v>
      </c>
      <c r="K129" s="41">
        <f t="shared" si="71"/>
        <v>31.752</v>
      </c>
      <c r="L129" s="110">
        <f t="shared" si="72"/>
        <v>38.73744</v>
      </c>
      <c r="M129" s="30">
        <f t="shared" si="73"/>
        <v>37.044</v>
      </c>
      <c r="N129" s="30">
        <f t="shared" si="74"/>
        <v>45.19368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</row>
    <row r="130">
      <c r="A130" s="48">
        <v>6845.0</v>
      </c>
      <c r="B130" s="141" t="s">
        <v>234</v>
      </c>
      <c r="C130" s="85">
        <v>250.0</v>
      </c>
      <c r="D130" s="85">
        <v>3.0</v>
      </c>
      <c r="E130" s="26" t="s">
        <v>63</v>
      </c>
      <c r="F130" s="63" t="s">
        <v>227</v>
      </c>
      <c r="G130" s="63" t="s">
        <v>173</v>
      </c>
      <c r="H130" s="63" t="s">
        <v>164</v>
      </c>
      <c r="I130" s="67">
        <f t="shared" si="69"/>
        <v>3</v>
      </c>
      <c r="J130" s="86">
        <v>26.62</v>
      </c>
      <c r="K130" s="46">
        <f t="shared" si="71"/>
        <v>31.944</v>
      </c>
      <c r="L130" s="131">
        <f t="shared" si="72"/>
        <v>38.97168</v>
      </c>
      <c r="M130" s="30">
        <f t="shared" si="73"/>
        <v>37.268</v>
      </c>
      <c r="N130" s="30">
        <f t="shared" si="74"/>
        <v>45.46696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</row>
    <row r="131" ht="15.75" customHeight="1">
      <c r="A131" s="107"/>
      <c r="B131" s="108" t="s">
        <v>235</v>
      </c>
      <c r="C131" s="109">
        <v>100.0</v>
      </c>
      <c r="D131" s="109">
        <v>3.0</v>
      </c>
      <c r="E131" s="26" t="s">
        <v>63</v>
      </c>
      <c r="F131" s="63" t="s">
        <v>227</v>
      </c>
      <c r="G131" s="63" t="s">
        <v>173</v>
      </c>
      <c r="H131" s="63" t="s">
        <v>164</v>
      </c>
      <c r="I131" s="67">
        <f t="shared" si="69"/>
        <v>3</v>
      </c>
      <c r="J131" s="77">
        <v>19.47</v>
      </c>
      <c r="K131" s="41">
        <f t="shared" si="71"/>
        <v>23.364</v>
      </c>
      <c r="L131" s="110">
        <f t="shared" si="72"/>
        <v>28.50408</v>
      </c>
      <c r="M131" s="30">
        <f t="shared" si="73"/>
        <v>27.258</v>
      </c>
      <c r="N131" s="30">
        <f t="shared" si="74"/>
        <v>33.25476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ht="15.75" customHeight="1">
      <c r="A132" s="107"/>
      <c r="B132" s="108" t="s">
        <v>236</v>
      </c>
      <c r="C132" s="109">
        <v>150.0</v>
      </c>
      <c r="D132" s="109">
        <v>3.0</v>
      </c>
      <c r="E132" s="26" t="s">
        <v>63</v>
      </c>
      <c r="F132" s="63" t="s">
        <v>227</v>
      </c>
      <c r="G132" s="63" t="s">
        <v>173</v>
      </c>
      <c r="H132" s="63" t="s">
        <v>164</v>
      </c>
      <c r="I132" s="67">
        <f t="shared" si="69"/>
        <v>3</v>
      </c>
      <c r="J132" s="77">
        <v>20.35</v>
      </c>
      <c r="K132" s="41">
        <f t="shared" si="71"/>
        <v>24.42</v>
      </c>
      <c r="L132" s="110">
        <f t="shared" si="72"/>
        <v>29.7924</v>
      </c>
      <c r="M132" s="30">
        <f t="shared" si="73"/>
        <v>28.49</v>
      </c>
      <c r="N132" s="30">
        <f t="shared" si="74"/>
        <v>34.7578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</row>
    <row r="133" ht="15.75" customHeight="1">
      <c r="A133" s="107"/>
      <c r="B133" s="108" t="s">
        <v>237</v>
      </c>
      <c r="C133" s="109">
        <v>200.0</v>
      </c>
      <c r="D133" s="109">
        <v>3.0</v>
      </c>
      <c r="E133" s="26" t="s">
        <v>63</v>
      </c>
      <c r="F133" s="63" t="s">
        <v>227</v>
      </c>
      <c r="G133" s="63" t="s">
        <v>173</v>
      </c>
      <c r="H133" s="63" t="s">
        <v>164</v>
      </c>
      <c r="I133" s="67">
        <f t="shared" si="69"/>
        <v>3</v>
      </c>
      <c r="J133" s="77">
        <v>30.45</v>
      </c>
      <c r="K133" s="41">
        <f t="shared" si="71"/>
        <v>36.54</v>
      </c>
      <c r="L133" s="110">
        <f t="shared" si="72"/>
        <v>44.5788</v>
      </c>
      <c r="M133" s="30">
        <f t="shared" si="73"/>
        <v>42.63</v>
      </c>
      <c r="N133" s="30">
        <f t="shared" si="74"/>
        <v>52.0086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</row>
    <row r="134" ht="15.75" customHeight="1">
      <c r="A134" s="119"/>
      <c r="B134" s="130" t="s">
        <v>238</v>
      </c>
      <c r="C134" s="121">
        <v>250.0</v>
      </c>
      <c r="D134" s="121">
        <v>3.0</v>
      </c>
      <c r="E134" s="26" t="s">
        <v>63</v>
      </c>
      <c r="F134" s="63" t="s">
        <v>227</v>
      </c>
      <c r="G134" s="63" t="s">
        <v>173</v>
      </c>
      <c r="H134" s="63" t="s">
        <v>164</v>
      </c>
      <c r="I134" s="67">
        <f t="shared" si="69"/>
        <v>3</v>
      </c>
      <c r="J134" s="86">
        <v>26.46</v>
      </c>
      <c r="K134" s="46">
        <f t="shared" si="71"/>
        <v>31.752</v>
      </c>
      <c r="L134" s="131">
        <f t="shared" si="72"/>
        <v>38.73744</v>
      </c>
      <c r="M134" s="30">
        <f t="shared" si="73"/>
        <v>37.044</v>
      </c>
      <c r="N134" s="30">
        <f t="shared" si="74"/>
        <v>45.19368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</row>
    <row r="135">
      <c r="A135" s="10"/>
      <c r="B135" s="10"/>
      <c r="C135" s="10"/>
      <c r="D135" s="12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</row>
    <row r="136">
      <c r="A136" s="16"/>
      <c r="B136" s="17" t="s">
        <v>239</v>
      </c>
      <c r="C136" s="12"/>
      <c r="D136" s="12"/>
      <c r="E136" s="12"/>
      <c r="F136" s="12"/>
      <c r="G136" s="12"/>
      <c r="H136" s="12"/>
      <c r="I136" s="12"/>
      <c r="J136" s="12"/>
      <c r="K136" s="20"/>
      <c r="L136" s="18"/>
      <c r="M136" s="12"/>
      <c r="N136" s="12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</row>
    <row r="137">
      <c r="A137" s="23">
        <v>6847.0</v>
      </c>
      <c r="B137" s="134" t="s">
        <v>240</v>
      </c>
      <c r="C137" s="59" t="s">
        <v>47</v>
      </c>
      <c r="D137" s="115">
        <v>3.03</v>
      </c>
      <c r="E137" s="26" t="s">
        <v>63</v>
      </c>
      <c r="F137" s="63" t="s">
        <v>227</v>
      </c>
      <c r="G137" s="63" t="s">
        <v>241</v>
      </c>
      <c r="H137" s="63" t="s">
        <v>164</v>
      </c>
      <c r="I137" s="67">
        <f t="shared" ref="I137:I148" si="75">D137</f>
        <v>3.03</v>
      </c>
      <c r="J137" s="27">
        <v>19.64</v>
      </c>
      <c r="K137" s="28">
        <f t="shared" ref="K137:K148" si="76">J137*1.2</f>
        <v>23.568</v>
      </c>
      <c r="L137" s="117">
        <f t="shared" ref="L137:L148" si="77">K137*1.22</f>
        <v>28.75296</v>
      </c>
      <c r="M137" s="30">
        <f t="shared" ref="M137:M148" si="78">J137*1.4</f>
        <v>27.496</v>
      </c>
      <c r="N137" s="30">
        <f t="shared" ref="N137:N148" si="79">M137*1.22</f>
        <v>33.54512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</row>
    <row r="138">
      <c r="A138" s="107">
        <v>6828.0</v>
      </c>
      <c r="B138" s="132" t="s">
        <v>242</v>
      </c>
      <c r="C138" s="59" t="s">
        <v>47</v>
      </c>
      <c r="D138" s="59">
        <v>3.0</v>
      </c>
      <c r="E138" s="26" t="s">
        <v>63</v>
      </c>
      <c r="F138" s="63" t="s">
        <v>227</v>
      </c>
      <c r="G138" s="63" t="s">
        <v>241</v>
      </c>
      <c r="H138" s="63" t="s">
        <v>164</v>
      </c>
      <c r="I138" s="67">
        <f t="shared" si="75"/>
        <v>3</v>
      </c>
      <c r="J138" s="77">
        <v>10.16</v>
      </c>
      <c r="K138" s="41">
        <f t="shared" si="76"/>
        <v>12.192</v>
      </c>
      <c r="L138" s="110">
        <f t="shared" si="77"/>
        <v>14.87424</v>
      </c>
      <c r="M138" s="30">
        <f t="shared" si="78"/>
        <v>14.224</v>
      </c>
      <c r="N138" s="30">
        <f t="shared" si="79"/>
        <v>17.35328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</row>
    <row r="139">
      <c r="A139" s="107">
        <v>6865.0</v>
      </c>
      <c r="B139" s="132" t="s">
        <v>243</v>
      </c>
      <c r="C139" s="59" t="s">
        <v>47</v>
      </c>
      <c r="D139" s="59">
        <v>3.0</v>
      </c>
      <c r="E139" s="26" t="s">
        <v>63</v>
      </c>
      <c r="F139" s="63" t="s">
        <v>227</v>
      </c>
      <c r="G139" s="63" t="s">
        <v>241</v>
      </c>
      <c r="H139" s="63" t="s">
        <v>164</v>
      </c>
      <c r="I139" s="67">
        <f t="shared" si="75"/>
        <v>3</v>
      </c>
      <c r="J139" s="77">
        <v>10.16</v>
      </c>
      <c r="K139" s="41">
        <f t="shared" si="76"/>
        <v>12.192</v>
      </c>
      <c r="L139" s="110">
        <f t="shared" si="77"/>
        <v>14.87424</v>
      </c>
      <c r="M139" s="30">
        <f t="shared" si="78"/>
        <v>14.224</v>
      </c>
      <c r="N139" s="30">
        <f t="shared" si="79"/>
        <v>17.35328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>
      <c r="A140" s="32">
        <v>6825.0</v>
      </c>
      <c r="B140" s="142" t="s">
        <v>244</v>
      </c>
      <c r="C140" s="59" t="s">
        <v>47</v>
      </c>
      <c r="D140" s="143">
        <v>3.0</v>
      </c>
      <c r="E140" s="26" t="s">
        <v>63</v>
      </c>
      <c r="F140" s="63" t="s">
        <v>227</v>
      </c>
      <c r="G140" s="63" t="s">
        <v>241</v>
      </c>
      <c r="H140" s="63" t="s">
        <v>164</v>
      </c>
      <c r="I140" s="67">
        <f t="shared" si="75"/>
        <v>3</v>
      </c>
      <c r="J140" s="34">
        <v>7.56</v>
      </c>
      <c r="K140" s="81">
        <f t="shared" si="76"/>
        <v>9.072</v>
      </c>
      <c r="L140" s="113">
        <f t="shared" si="77"/>
        <v>11.06784</v>
      </c>
      <c r="M140" s="30">
        <f t="shared" si="78"/>
        <v>10.584</v>
      </c>
      <c r="N140" s="30">
        <f t="shared" si="79"/>
        <v>12.91248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>
      <c r="A141" s="23" t="s">
        <v>245</v>
      </c>
      <c r="B141" s="144" t="s">
        <v>246</v>
      </c>
      <c r="C141" s="115">
        <v>50.0</v>
      </c>
      <c r="D141" s="115">
        <v>3.03</v>
      </c>
      <c r="E141" s="26" t="s">
        <v>63</v>
      </c>
      <c r="F141" s="63" t="s">
        <v>227</v>
      </c>
      <c r="G141" s="63" t="s">
        <v>20</v>
      </c>
      <c r="H141" s="60" t="s">
        <v>51</v>
      </c>
      <c r="I141" s="67">
        <f t="shared" si="75"/>
        <v>3.03</v>
      </c>
      <c r="J141" s="27">
        <f t="shared" ref="J141:J142" si="80">(63.19*1.0335)*1.19</f>
        <v>77.71516935</v>
      </c>
      <c r="K141" s="28">
        <f t="shared" si="76"/>
        <v>93.25820322</v>
      </c>
      <c r="L141" s="29">
        <f t="shared" si="77"/>
        <v>113.7750079</v>
      </c>
      <c r="M141" s="30">
        <f t="shared" si="78"/>
        <v>108.8012371</v>
      </c>
      <c r="N141" s="30">
        <f t="shared" si="79"/>
        <v>132.7375092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</row>
    <row r="142">
      <c r="A142" s="107" t="s">
        <v>245</v>
      </c>
      <c r="B142" s="108" t="s">
        <v>247</v>
      </c>
      <c r="C142" s="109">
        <v>80.0</v>
      </c>
      <c r="D142" s="109">
        <v>3.03</v>
      </c>
      <c r="E142" s="26" t="s">
        <v>63</v>
      </c>
      <c r="F142" s="63" t="s">
        <v>227</v>
      </c>
      <c r="G142" s="76" t="s">
        <v>20</v>
      </c>
      <c r="H142" s="60" t="s">
        <v>51</v>
      </c>
      <c r="I142" s="67">
        <f t="shared" si="75"/>
        <v>3.03</v>
      </c>
      <c r="J142" s="77">
        <f t="shared" si="80"/>
        <v>77.71516935</v>
      </c>
      <c r="K142" s="41">
        <f t="shared" si="76"/>
        <v>93.25820322</v>
      </c>
      <c r="L142" s="42">
        <f t="shared" si="77"/>
        <v>113.7750079</v>
      </c>
      <c r="M142" s="30">
        <f t="shared" si="78"/>
        <v>108.8012371</v>
      </c>
      <c r="N142" s="30">
        <f t="shared" si="79"/>
        <v>132.7375092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</row>
    <row r="143" ht="15.75" customHeight="1">
      <c r="A143" s="107">
        <v>6801.0</v>
      </c>
      <c r="B143" s="135" t="s">
        <v>248</v>
      </c>
      <c r="C143" s="109">
        <v>100.0</v>
      </c>
      <c r="D143" s="109">
        <v>3.03</v>
      </c>
      <c r="E143" s="26" t="s">
        <v>63</v>
      </c>
      <c r="F143" s="63" t="s">
        <v>227</v>
      </c>
      <c r="G143" s="76" t="s">
        <v>152</v>
      </c>
      <c r="H143" s="60" t="s">
        <v>51</v>
      </c>
      <c r="I143" s="67">
        <f t="shared" si="75"/>
        <v>3.03</v>
      </c>
      <c r="J143" s="77">
        <v>57.95</v>
      </c>
      <c r="K143" s="41">
        <f t="shared" si="76"/>
        <v>69.54</v>
      </c>
      <c r="L143" s="42">
        <f t="shared" si="77"/>
        <v>84.8388</v>
      </c>
      <c r="M143" s="30">
        <f t="shared" si="78"/>
        <v>81.13</v>
      </c>
      <c r="N143" s="30">
        <f t="shared" si="79"/>
        <v>98.9786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</row>
    <row r="144">
      <c r="A144" s="107" t="s">
        <v>245</v>
      </c>
      <c r="B144" s="108" t="s">
        <v>249</v>
      </c>
      <c r="C144" s="109">
        <v>120.0</v>
      </c>
      <c r="D144" s="109">
        <v>3.03</v>
      </c>
      <c r="E144" s="26" t="s">
        <v>63</v>
      </c>
      <c r="F144" s="63" t="s">
        <v>227</v>
      </c>
      <c r="G144" s="76" t="s">
        <v>20</v>
      </c>
      <c r="H144" s="60" t="s">
        <v>51</v>
      </c>
      <c r="I144" s="67">
        <f t="shared" si="75"/>
        <v>3.03</v>
      </c>
      <c r="J144" s="77">
        <f>(63.19*1.0335)*1.19</f>
        <v>77.71516935</v>
      </c>
      <c r="K144" s="41">
        <f t="shared" si="76"/>
        <v>93.25820322</v>
      </c>
      <c r="L144" s="42">
        <f t="shared" si="77"/>
        <v>113.7750079</v>
      </c>
      <c r="M144" s="30">
        <f t="shared" si="78"/>
        <v>108.8012371</v>
      </c>
      <c r="N144" s="30">
        <f t="shared" si="79"/>
        <v>132.7375092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</row>
    <row r="145" ht="15.75" customHeight="1">
      <c r="A145" s="107">
        <v>6802.0</v>
      </c>
      <c r="B145" s="135" t="s">
        <v>250</v>
      </c>
      <c r="C145" s="109">
        <v>150.0</v>
      </c>
      <c r="D145" s="109">
        <v>3.03</v>
      </c>
      <c r="E145" s="26" t="s">
        <v>63</v>
      </c>
      <c r="F145" s="63" t="s">
        <v>227</v>
      </c>
      <c r="G145" s="76" t="s">
        <v>152</v>
      </c>
      <c r="H145" s="60" t="s">
        <v>51</v>
      </c>
      <c r="I145" s="67">
        <f t="shared" si="75"/>
        <v>3.03</v>
      </c>
      <c r="J145" s="77">
        <v>66.71</v>
      </c>
      <c r="K145" s="41">
        <f t="shared" si="76"/>
        <v>80.052</v>
      </c>
      <c r="L145" s="42">
        <f t="shared" si="77"/>
        <v>97.66344</v>
      </c>
      <c r="M145" s="30">
        <f t="shared" si="78"/>
        <v>93.394</v>
      </c>
      <c r="N145" s="30">
        <f t="shared" si="79"/>
        <v>113.94068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</row>
    <row r="146" ht="15.75" customHeight="1">
      <c r="A146" s="107">
        <v>6803.0</v>
      </c>
      <c r="B146" s="135" t="s">
        <v>251</v>
      </c>
      <c r="C146" s="109">
        <v>200.0</v>
      </c>
      <c r="D146" s="109">
        <v>3.03</v>
      </c>
      <c r="E146" s="26" t="s">
        <v>63</v>
      </c>
      <c r="F146" s="63" t="s">
        <v>227</v>
      </c>
      <c r="G146" s="76" t="s">
        <v>152</v>
      </c>
      <c r="H146" s="60" t="s">
        <v>51</v>
      </c>
      <c r="I146" s="67">
        <f t="shared" si="75"/>
        <v>3.03</v>
      </c>
      <c r="J146" s="77">
        <v>66.44</v>
      </c>
      <c r="K146" s="41">
        <f t="shared" si="76"/>
        <v>79.728</v>
      </c>
      <c r="L146" s="42">
        <f t="shared" si="77"/>
        <v>97.26816</v>
      </c>
      <c r="M146" s="30">
        <f t="shared" si="78"/>
        <v>93.016</v>
      </c>
      <c r="N146" s="30">
        <f t="shared" si="79"/>
        <v>113.47952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ht="15.75" customHeight="1">
      <c r="A147" s="107">
        <v>6804.0</v>
      </c>
      <c r="B147" s="135" t="s">
        <v>252</v>
      </c>
      <c r="C147" s="109">
        <v>250.0</v>
      </c>
      <c r="D147" s="109">
        <v>3.03</v>
      </c>
      <c r="E147" s="26" t="s">
        <v>63</v>
      </c>
      <c r="F147" s="63" t="s">
        <v>227</v>
      </c>
      <c r="G147" s="76" t="s">
        <v>152</v>
      </c>
      <c r="H147" s="60" t="s">
        <v>51</v>
      </c>
      <c r="I147" s="67">
        <f t="shared" si="75"/>
        <v>3.03</v>
      </c>
      <c r="J147" s="77">
        <v>86.92</v>
      </c>
      <c r="K147" s="41">
        <f t="shared" si="76"/>
        <v>104.304</v>
      </c>
      <c r="L147" s="42">
        <f t="shared" si="77"/>
        <v>127.25088</v>
      </c>
      <c r="M147" s="30">
        <f t="shared" si="78"/>
        <v>121.688</v>
      </c>
      <c r="N147" s="30">
        <f t="shared" si="79"/>
        <v>148.45936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ht="15.75" customHeight="1">
      <c r="A148" s="119">
        <v>6805.0</v>
      </c>
      <c r="B148" s="133" t="s">
        <v>253</v>
      </c>
      <c r="C148" s="59" t="s">
        <v>47</v>
      </c>
      <c r="D148" s="121">
        <v>3.0</v>
      </c>
      <c r="E148" s="26" t="s">
        <v>63</v>
      </c>
      <c r="F148" s="63" t="s">
        <v>227</v>
      </c>
      <c r="G148" s="80" t="s">
        <v>241</v>
      </c>
      <c r="H148" s="60" t="s">
        <v>51</v>
      </c>
      <c r="I148" s="67">
        <f t="shared" si="75"/>
        <v>3</v>
      </c>
      <c r="J148" s="86">
        <v>13.28</v>
      </c>
      <c r="K148" s="46">
        <f t="shared" si="76"/>
        <v>15.936</v>
      </c>
      <c r="L148" s="47">
        <f t="shared" si="77"/>
        <v>19.44192</v>
      </c>
      <c r="M148" s="30">
        <f t="shared" si="78"/>
        <v>18.592</v>
      </c>
      <c r="N148" s="30">
        <f t="shared" si="79"/>
        <v>22.68224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ht="15.75" customHeight="1">
      <c r="A149" s="10"/>
      <c r="B149" s="10" t="s">
        <v>254</v>
      </c>
      <c r="C149" s="145"/>
      <c r="D149" s="22"/>
      <c r="E149" s="22"/>
      <c r="F149" s="22"/>
      <c r="G149" s="22"/>
      <c r="H149" s="22"/>
      <c r="I149" s="22"/>
      <c r="J149" s="22"/>
      <c r="K149" s="88"/>
      <c r="L149" s="22"/>
      <c r="M149" s="22">
        <f>N149/1.22</f>
        <v>24.59016393</v>
      </c>
      <c r="N149" s="22">
        <v>30.0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ht="15.75" customHeight="1">
      <c r="A150" s="10"/>
      <c r="B150" s="10"/>
      <c r="C150" s="22"/>
      <c r="D150" s="22"/>
      <c r="E150" s="22"/>
      <c r="F150" s="22"/>
      <c r="G150" s="22"/>
      <c r="H150" s="22"/>
      <c r="I150" s="22"/>
      <c r="J150" s="22"/>
      <c r="K150" s="88"/>
      <c r="L150" s="22"/>
      <c r="M150" s="22"/>
      <c r="N150" s="22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>
      <c r="A151" s="56"/>
      <c r="B151" s="71" t="s">
        <v>255</v>
      </c>
      <c r="C151" s="12"/>
      <c r="D151" s="12"/>
      <c r="E151" s="12"/>
      <c r="F151" s="12"/>
      <c r="G151" s="12"/>
      <c r="H151" s="12"/>
      <c r="I151" s="12"/>
      <c r="J151" s="12"/>
      <c r="K151" s="13"/>
      <c r="L151" s="12"/>
      <c r="M151" s="12"/>
      <c r="N151" s="12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>
      <c r="A152" s="93"/>
      <c r="B152" s="38" t="s">
        <v>256</v>
      </c>
      <c r="C152" s="59" t="s">
        <v>47</v>
      </c>
      <c r="D152" s="26">
        <v>1.0</v>
      </c>
      <c r="E152" s="63" t="s">
        <v>56</v>
      </c>
      <c r="F152" s="63" t="s">
        <v>257</v>
      </c>
      <c r="G152" s="63" t="s">
        <v>257</v>
      </c>
      <c r="H152" s="60" t="s">
        <v>51</v>
      </c>
      <c r="I152" s="67">
        <f t="shared" ref="I152:I159" si="81">D152</f>
        <v>1</v>
      </c>
      <c r="J152" s="27">
        <v>2.6</v>
      </c>
      <c r="K152" s="28">
        <f>J152*1.2</f>
        <v>3.12</v>
      </c>
      <c r="L152" s="29">
        <f t="shared" ref="L152:L159" si="82">K152*1.22</f>
        <v>3.8064</v>
      </c>
      <c r="M152" s="30">
        <f t="shared" ref="M152:M159" si="83">J152*1.4</f>
        <v>3.64</v>
      </c>
      <c r="N152" s="30">
        <f t="shared" ref="N152:N159" si="84">M152*1.22</f>
        <v>4.4408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>
      <c r="A153" s="37"/>
      <c r="B153" s="40" t="s">
        <v>258</v>
      </c>
      <c r="C153" s="59" t="s">
        <v>47</v>
      </c>
      <c r="D153" s="76" t="s">
        <v>52</v>
      </c>
      <c r="E153" s="63" t="s">
        <v>56</v>
      </c>
      <c r="F153" s="63" t="s">
        <v>257</v>
      </c>
      <c r="G153" s="63" t="s">
        <v>257</v>
      </c>
      <c r="H153" s="60" t="s">
        <v>51</v>
      </c>
      <c r="I153" s="67" t="str">
        <f t="shared" si="81"/>
        <v>N/A</v>
      </c>
      <c r="J153" s="77">
        <v>0.05</v>
      </c>
      <c r="K153" s="41">
        <v>0.12</v>
      </c>
      <c r="L153" s="42">
        <f t="shared" si="82"/>
        <v>0.1464</v>
      </c>
      <c r="M153" s="30">
        <f t="shared" si="83"/>
        <v>0.07</v>
      </c>
      <c r="N153" s="30">
        <f t="shared" si="84"/>
        <v>0.0854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ht="15.75" customHeight="1">
      <c r="A154" s="37"/>
      <c r="B154" s="40" t="s">
        <v>259</v>
      </c>
      <c r="C154" s="59" t="s">
        <v>47</v>
      </c>
      <c r="D154" s="76" t="s">
        <v>52</v>
      </c>
      <c r="E154" s="63" t="s">
        <v>56</v>
      </c>
      <c r="F154" s="63" t="s">
        <v>82</v>
      </c>
      <c r="G154" s="80" t="s">
        <v>241</v>
      </c>
      <c r="H154" s="60" t="s">
        <v>51</v>
      </c>
      <c r="I154" s="67" t="str">
        <f t="shared" si="81"/>
        <v>N/A</v>
      </c>
      <c r="J154" s="77">
        <v>0.46</v>
      </c>
      <c r="K154" s="41">
        <v>1.68</v>
      </c>
      <c r="L154" s="42">
        <f t="shared" si="82"/>
        <v>2.0496</v>
      </c>
      <c r="M154" s="30">
        <f t="shared" si="83"/>
        <v>0.644</v>
      </c>
      <c r="N154" s="30">
        <f t="shared" si="84"/>
        <v>0.78568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ht="15.75" customHeight="1">
      <c r="A155" s="37"/>
      <c r="B155" s="40" t="s">
        <v>260</v>
      </c>
      <c r="C155" s="59" t="s">
        <v>47</v>
      </c>
      <c r="D155" s="76" t="s">
        <v>52</v>
      </c>
      <c r="E155" s="63" t="s">
        <v>56</v>
      </c>
      <c r="F155" s="63" t="s">
        <v>82</v>
      </c>
      <c r="G155" s="80" t="s">
        <v>241</v>
      </c>
      <c r="H155" s="60" t="s">
        <v>51</v>
      </c>
      <c r="I155" s="67" t="str">
        <f t="shared" si="81"/>
        <v>N/A</v>
      </c>
      <c r="J155" s="77">
        <v>1.06</v>
      </c>
      <c r="K155" s="41">
        <f t="shared" ref="K155:K159" si="85">J155*1.2</f>
        <v>1.272</v>
      </c>
      <c r="L155" s="42">
        <f t="shared" si="82"/>
        <v>1.55184</v>
      </c>
      <c r="M155" s="30">
        <f t="shared" si="83"/>
        <v>1.484</v>
      </c>
      <c r="N155" s="30">
        <f t="shared" si="84"/>
        <v>1.81048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ht="15.75" customHeight="1">
      <c r="A156" s="37"/>
      <c r="B156" s="40" t="s">
        <v>261</v>
      </c>
      <c r="C156" s="59" t="s">
        <v>47</v>
      </c>
      <c r="D156" s="76" t="s">
        <v>52</v>
      </c>
      <c r="E156" s="63" t="s">
        <v>56</v>
      </c>
      <c r="F156" s="63" t="s">
        <v>82</v>
      </c>
      <c r="G156" s="80" t="s">
        <v>241</v>
      </c>
      <c r="H156" s="60" t="s">
        <v>51</v>
      </c>
      <c r="I156" s="67" t="str">
        <f t="shared" si="81"/>
        <v>N/A</v>
      </c>
      <c r="J156" s="77">
        <v>1.14</v>
      </c>
      <c r="K156" s="41">
        <f t="shared" si="85"/>
        <v>1.368</v>
      </c>
      <c r="L156" s="42">
        <f t="shared" si="82"/>
        <v>1.66896</v>
      </c>
      <c r="M156" s="30">
        <f t="shared" si="83"/>
        <v>1.596</v>
      </c>
      <c r="N156" s="30">
        <f t="shared" si="84"/>
        <v>1.94712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ht="15.75" customHeight="1">
      <c r="A157" s="43"/>
      <c r="B157" s="44" t="s">
        <v>262</v>
      </c>
      <c r="C157" s="59" t="s">
        <v>47</v>
      </c>
      <c r="D157" s="76" t="s">
        <v>52</v>
      </c>
      <c r="E157" s="63" t="s">
        <v>56</v>
      </c>
      <c r="F157" s="63" t="s">
        <v>257</v>
      </c>
      <c r="G157" s="63" t="s">
        <v>257</v>
      </c>
      <c r="H157" s="60" t="s">
        <v>51</v>
      </c>
      <c r="I157" s="67" t="str">
        <f t="shared" si="81"/>
        <v>N/A</v>
      </c>
      <c r="J157" s="86">
        <v>0.8</v>
      </c>
      <c r="K157" s="46">
        <f t="shared" si="85"/>
        <v>0.96</v>
      </c>
      <c r="L157" s="47">
        <f t="shared" si="82"/>
        <v>1.1712</v>
      </c>
      <c r="M157" s="30">
        <f t="shared" si="83"/>
        <v>1.12</v>
      </c>
      <c r="N157" s="30">
        <f t="shared" si="84"/>
        <v>1.3664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ht="15.75" customHeight="1">
      <c r="A158" s="10"/>
      <c r="B158" s="146" t="s">
        <v>263</v>
      </c>
      <c r="C158" s="59" t="s">
        <v>47</v>
      </c>
      <c r="D158" s="76" t="s">
        <v>52</v>
      </c>
      <c r="E158" s="63" t="s">
        <v>56</v>
      </c>
      <c r="F158" s="63" t="s">
        <v>257</v>
      </c>
      <c r="G158" s="63" t="s">
        <v>257</v>
      </c>
      <c r="H158" s="60" t="s">
        <v>51</v>
      </c>
      <c r="I158" s="67" t="str">
        <f t="shared" si="81"/>
        <v>N/A</v>
      </c>
      <c r="J158" s="147">
        <v>0.24</v>
      </c>
      <c r="K158" s="46">
        <f t="shared" si="85"/>
        <v>0.288</v>
      </c>
      <c r="L158" s="47">
        <f t="shared" si="82"/>
        <v>0.35136</v>
      </c>
      <c r="M158" s="30">
        <f t="shared" si="83"/>
        <v>0.336</v>
      </c>
      <c r="N158" s="30">
        <f t="shared" si="84"/>
        <v>0.40992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ht="15.75" customHeight="1">
      <c r="A159" s="10"/>
      <c r="B159" s="146" t="s">
        <v>264</v>
      </c>
      <c r="C159" s="59" t="s">
        <v>47</v>
      </c>
      <c r="D159" s="76" t="s">
        <v>52</v>
      </c>
      <c r="E159" s="60" t="s">
        <v>49</v>
      </c>
      <c r="F159" s="63" t="s">
        <v>257</v>
      </c>
      <c r="G159" s="63" t="s">
        <v>257</v>
      </c>
      <c r="H159" s="60" t="s">
        <v>51</v>
      </c>
      <c r="I159" s="67" t="str">
        <f t="shared" si="81"/>
        <v>N/A</v>
      </c>
      <c r="J159" s="147">
        <v>13.85</v>
      </c>
      <c r="K159" s="46">
        <f t="shared" si="85"/>
        <v>16.62</v>
      </c>
      <c r="L159" s="47">
        <f t="shared" si="82"/>
        <v>20.2764</v>
      </c>
      <c r="M159" s="30">
        <f t="shared" si="83"/>
        <v>19.39</v>
      </c>
      <c r="N159" s="30">
        <f t="shared" si="84"/>
        <v>23.6558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ht="15.75" customHeight="1">
      <c r="A160" s="10"/>
      <c r="B160" s="10"/>
      <c r="C160" s="22"/>
      <c r="D160" s="22"/>
      <c r="E160" s="22"/>
      <c r="F160" s="22"/>
      <c r="G160" s="22"/>
      <c r="H160" s="22"/>
      <c r="I160" s="22"/>
      <c r="J160" s="22"/>
      <c r="K160" s="88"/>
      <c r="L160" s="22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ht="15.75" customHeight="1">
      <c r="A161" s="10"/>
      <c r="B161" s="10" t="s">
        <v>265</v>
      </c>
      <c r="C161" s="22"/>
      <c r="D161" s="22"/>
      <c r="E161" s="22"/>
      <c r="F161" s="22"/>
      <c r="G161" s="22"/>
      <c r="H161" s="22"/>
      <c r="I161" s="22"/>
      <c r="J161" s="22"/>
      <c r="K161" s="88"/>
      <c r="L161" s="22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ht="15.75" customHeight="1">
      <c r="A162" s="10"/>
      <c r="B162" s="10" t="s">
        <v>266</v>
      </c>
      <c r="C162" s="22"/>
      <c r="D162" s="22"/>
      <c r="E162" s="22"/>
      <c r="F162" s="22"/>
      <c r="G162" s="22"/>
      <c r="H162" s="22"/>
      <c r="I162" s="22"/>
      <c r="J162" s="22"/>
      <c r="K162" s="88"/>
      <c r="L162" s="22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ht="15.75" customHeight="1">
      <c r="A163" s="10"/>
      <c r="B163" s="10"/>
      <c r="C163" s="22"/>
      <c r="D163" s="22"/>
      <c r="E163" s="22"/>
      <c r="F163" s="22"/>
      <c r="G163" s="22"/>
      <c r="H163" s="22"/>
      <c r="I163" s="22"/>
      <c r="J163" s="22"/>
      <c r="K163" s="88"/>
      <c r="L163" s="22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ht="15.75" customHeight="1">
      <c r="A164" s="10"/>
      <c r="B164" s="11" t="s">
        <v>267</v>
      </c>
      <c r="C164" s="22"/>
      <c r="D164" s="22"/>
      <c r="E164" s="148"/>
      <c r="F164" s="148"/>
      <c r="G164" s="148"/>
      <c r="H164" s="148"/>
      <c r="I164" s="148"/>
      <c r="J164" s="148" t="s">
        <v>268</v>
      </c>
      <c r="K164" s="149"/>
      <c r="L164" s="15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ht="15.75" customHeight="1">
      <c r="A165" s="10"/>
      <c r="B165" s="151" t="s">
        <v>269</v>
      </c>
      <c r="C165" s="148"/>
      <c r="D165" s="148"/>
      <c r="E165" s="148"/>
      <c r="F165" s="148"/>
      <c r="G165" s="148"/>
      <c r="H165" s="148"/>
      <c r="I165" s="148"/>
      <c r="J165" s="148">
        <v>46.0</v>
      </c>
      <c r="K165" s="152">
        <v>0.3</v>
      </c>
      <c r="L165" s="153">
        <f t="shared" ref="L165:L170" si="86">J165*K165</f>
        <v>13.8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ht="15.75" customHeight="1">
      <c r="A166" s="10"/>
      <c r="B166" s="151" t="s">
        <v>270</v>
      </c>
      <c r="C166" s="148"/>
      <c r="D166" s="148"/>
      <c r="E166" s="148"/>
      <c r="F166" s="148"/>
      <c r="G166" s="148"/>
      <c r="H166" s="148"/>
      <c r="I166" s="148"/>
      <c r="J166" s="148">
        <v>83.0</v>
      </c>
      <c r="K166" s="152">
        <v>0.3</v>
      </c>
      <c r="L166" s="153">
        <f t="shared" si="86"/>
        <v>24.9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ht="15.75" customHeight="1">
      <c r="A167" s="10"/>
      <c r="B167" s="151" t="s">
        <v>271</v>
      </c>
      <c r="C167" s="148"/>
      <c r="D167" s="148"/>
      <c r="E167" s="148"/>
      <c r="F167" s="148"/>
      <c r="G167" s="148"/>
      <c r="H167" s="148"/>
      <c r="I167" s="148"/>
      <c r="J167" s="148">
        <v>123.0</v>
      </c>
      <c r="K167" s="152">
        <v>0.3</v>
      </c>
      <c r="L167" s="153">
        <f t="shared" si="86"/>
        <v>36.9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ht="15.75" customHeight="1">
      <c r="A168" s="10"/>
      <c r="B168" s="151" t="s">
        <v>272</v>
      </c>
      <c r="C168" s="148"/>
      <c r="D168" s="148"/>
      <c r="E168" s="148"/>
      <c r="F168" s="148"/>
      <c r="G168" s="148"/>
      <c r="H168" s="148"/>
      <c r="I168" s="148"/>
      <c r="J168" s="148">
        <v>207.0</v>
      </c>
      <c r="K168" s="152">
        <v>0.3</v>
      </c>
      <c r="L168" s="153">
        <f t="shared" si="86"/>
        <v>62.1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ht="15.75" customHeight="1">
      <c r="A169" s="10"/>
      <c r="B169" s="151" t="s">
        <v>273</v>
      </c>
      <c r="C169" s="148"/>
      <c r="D169" s="148"/>
      <c r="E169" s="148"/>
      <c r="F169" s="148"/>
      <c r="G169" s="148"/>
      <c r="H169" s="148"/>
      <c r="I169" s="148"/>
      <c r="J169" s="148">
        <v>855.0</v>
      </c>
      <c r="K169" s="152">
        <v>0.3</v>
      </c>
      <c r="L169" s="153">
        <f t="shared" si="86"/>
        <v>256.5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ht="15.75" customHeight="1">
      <c r="A170" s="10"/>
      <c r="B170" s="151" t="s">
        <v>274</v>
      </c>
      <c r="C170" s="148"/>
      <c r="D170" s="148"/>
      <c r="E170" s="148"/>
      <c r="F170" s="148"/>
      <c r="G170" s="148"/>
      <c r="H170" s="148"/>
      <c r="I170" s="148"/>
      <c r="J170" s="148">
        <v>553.0</v>
      </c>
      <c r="K170" s="152">
        <v>0.3</v>
      </c>
      <c r="L170" s="153">
        <f t="shared" si="86"/>
        <v>165.9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ht="15.75" customHeight="1">
      <c r="A171" s="10"/>
      <c r="B171" s="151"/>
      <c r="C171" s="148"/>
      <c r="D171" s="148"/>
      <c r="E171" s="148"/>
      <c r="F171" s="148"/>
      <c r="G171" s="148"/>
      <c r="H171" s="148"/>
      <c r="I171" s="148"/>
      <c r="J171" s="148"/>
      <c r="K171" s="149"/>
      <c r="L171" s="15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ht="15.75" customHeight="1">
      <c r="A172" s="10"/>
      <c r="B172" s="10"/>
      <c r="C172" s="22"/>
      <c r="D172" s="22"/>
      <c r="E172" s="22"/>
      <c r="F172" s="22"/>
      <c r="G172" s="22"/>
      <c r="H172" s="22"/>
      <c r="I172" s="22"/>
      <c r="J172" s="22"/>
      <c r="K172" s="154"/>
      <c r="L172" s="88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ht="15.75" customHeight="1">
      <c r="A173" s="10"/>
      <c r="B173" s="10"/>
      <c r="C173" s="22"/>
      <c r="D173" s="22"/>
      <c r="E173" s="22"/>
      <c r="F173" s="22"/>
      <c r="G173" s="22"/>
      <c r="H173" s="22"/>
      <c r="I173" s="22"/>
      <c r="J173" s="22"/>
      <c r="K173" s="88"/>
      <c r="L173" s="22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ht="15.75" customHeight="1">
      <c r="A174" s="10"/>
      <c r="B174" s="40" t="s">
        <v>59</v>
      </c>
      <c r="C174" s="77"/>
      <c r="D174" s="77"/>
      <c r="E174" s="77"/>
      <c r="F174" s="77"/>
      <c r="G174" s="77"/>
      <c r="H174" s="77"/>
      <c r="I174" s="77"/>
      <c r="J174" s="77">
        <v>25.29</v>
      </c>
      <c r="K174" s="41">
        <f>J174*1.25</f>
        <v>31.6125</v>
      </c>
      <c r="L174" s="42">
        <f>K174*1.22</f>
        <v>38.56725</v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ht="15.75" customHeight="1">
      <c r="A175" s="10"/>
      <c r="B175" s="10" t="s">
        <v>275</v>
      </c>
      <c r="C175" s="22"/>
      <c r="D175" s="22"/>
      <c r="E175" s="22"/>
      <c r="F175" s="22"/>
      <c r="G175" s="22"/>
      <c r="H175" s="22"/>
      <c r="I175" s="22"/>
      <c r="J175" s="22"/>
      <c r="K175" s="88"/>
      <c r="L175" s="22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ht="15.75" customHeight="1">
      <c r="A176" s="10"/>
      <c r="B176" s="10"/>
      <c r="C176" s="22"/>
      <c r="D176" s="22"/>
      <c r="E176" s="22"/>
      <c r="F176" s="22"/>
      <c r="G176" s="22"/>
      <c r="H176" s="22"/>
      <c r="I176" s="22"/>
      <c r="J176" s="22"/>
      <c r="K176" s="88"/>
      <c r="L176" s="22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ht="15.75" customHeight="1">
      <c r="A177" s="10"/>
      <c r="B177" s="10"/>
      <c r="C177" s="22"/>
      <c r="D177" s="22"/>
      <c r="E177" s="22"/>
      <c r="F177" s="22"/>
      <c r="G177" s="22"/>
      <c r="H177" s="22"/>
      <c r="I177" s="22"/>
      <c r="J177" s="22"/>
      <c r="K177" s="88"/>
      <c r="L177" s="22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ht="15.75" customHeight="1">
      <c r="A178" s="10"/>
      <c r="B178" s="10"/>
      <c r="C178" s="22"/>
      <c r="D178" s="22"/>
      <c r="E178" s="22"/>
      <c r="F178" s="22"/>
      <c r="G178" s="22"/>
      <c r="H178" s="22"/>
      <c r="I178" s="22"/>
      <c r="J178" s="22"/>
      <c r="K178" s="88"/>
      <c r="L178" s="22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ht="15.75" customHeight="1">
      <c r="A179" s="10"/>
      <c r="B179" s="10"/>
      <c r="C179" s="22"/>
      <c r="D179" s="22"/>
      <c r="E179" s="22"/>
      <c r="F179" s="22"/>
      <c r="G179" s="22"/>
      <c r="H179" s="22"/>
      <c r="I179" s="22"/>
      <c r="J179" s="22"/>
      <c r="K179" s="88"/>
      <c r="L179" s="22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ht="15.75" customHeight="1">
      <c r="A180" s="10"/>
      <c r="B180" s="10"/>
      <c r="C180" s="22"/>
      <c r="D180" s="22"/>
      <c r="E180" s="22"/>
      <c r="F180" s="22"/>
      <c r="G180" s="22"/>
      <c r="H180" s="22"/>
      <c r="I180" s="22"/>
      <c r="J180" s="22"/>
      <c r="K180" s="88"/>
      <c r="L180" s="22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ht="15.75" customHeight="1">
      <c r="A181" s="10"/>
      <c r="B181" s="10"/>
      <c r="C181" s="22"/>
      <c r="D181" s="22"/>
      <c r="E181" s="22"/>
      <c r="F181" s="22"/>
      <c r="G181" s="22"/>
      <c r="H181" s="22"/>
      <c r="I181" s="22"/>
      <c r="J181" s="22"/>
      <c r="K181" s="88"/>
      <c r="L181" s="22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ht="15.75" customHeight="1">
      <c r="A182" s="10"/>
      <c r="B182" s="10"/>
      <c r="C182" s="22"/>
      <c r="D182" s="22"/>
      <c r="E182" s="22"/>
      <c r="F182" s="22"/>
      <c r="G182" s="22"/>
      <c r="H182" s="22"/>
      <c r="I182" s="22"/>
      <c r="J182" s="22"/>
      <c r="K182" s="88"/>
      <c r="L182" s="22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ht="15.75" customHeight="1">
      <c r="A183" s="10"/>
      <c r="B183" s="10"/>
      <c r="C183" s="22"/>
      <c r="D183" s="22"/>
      <c r="E183" s="22"/>
      <c r="F183" s="22"/>
      <c r="G183" s="22"/>
      <c r="H183" s="22"/>
      <c r="I183" s="22"/>
      <c r="J183" s="22"/>
      <c r="K183" s="88"/>
      <c r="L183" s="22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ht="15.75" customHeight="1">
      <c r="A184" s="10"/>
      <c r="B184" s="10"/>
      <c r="C184" s="22"/>
      <c r="D184" s="22"/>
      <c r="E184" s="22"/>
      <c r="F184" s="22"/>
      <c r="G184" s="22"/>
      <c r="H184" s="22"/>
      <c r="I184" s="22"/>
      <c r="J184" s="22"/>
      <c r="K184" s="88"/>
      <c r="L184" s="22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ht="15.75" customHeight="1">
      <c r="A185" s="10"/>
      <c r="B185" s="10"/>
      <c r="C185" s="22"/>
      <c r="D185" s="22"/>
      <c r="E185" s="22"/>
      <c r="F185" s="22"/>
      <c r="G185" s="22"/>
      <c r="H185" s="22"/>
      <c r="I185" s="22"/>
      <c r="J185" s="22"/>
      <c r="K185" s="88"/>
      <c r="L185" s="22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ht="15.75" customHeight="1">
      <c r="A186" s="10"/>
      <c r="B186" s="10"/>
      <c r="C186" s="22"/>
      <c r="D186" s="22"/>
      <c r="E186" s="22"/>
      <c r="F186" s="22"/>
      <c r="G186" s="22"/>
      <c r="H186" s="22"/>
      <c r="I186" s="22"/>
      <c r="J186" s="22"/>
      <c r="K186" s="88"/>
      <c r="L186" s="22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ht="15.75" customHeight="1">
      <c r="A187" s="10"/>
      <c r="B187" s="10"/>
      <c r="C187" s="22"/>
      <c r="D187" s="22"/>
      <c r="E187" s="22"/>
      <c r="F187" s="22"/>
      <c r="G187" s="22"/>
      <c r="H187" s="22"/>
      <c r="I187" s="22"/>
      <c r="J187" s="22"/>
      <c r="K187" s="88"/>
      <c r="L187" s="22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ht="15.75" customHeight="1">
      <c r="A188" s="10"/>
      <c r="B188" s="10"/>
      <c r="C188" s="22"/>
      <c r="D188" s="22"/>
      <c r="E188" s="22"/>
      <c r="F188" s="22"/>
      <c r="G188" s="22"/>
      <c r="H188" s="22"/>
      <c r="I188" s="22"/>
      <c r="J188" s="22"/>
      <c r="K188" s="88"/>
      <c r="L188" s="22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ht="15.75" customHeight="1">
      <c r="A189" s="10"/>
      <c r="B189" s="10"/>
      <c r="C189" s="22"/>
      <c r="D189" s="22"/>
      <c r="E189" s="22"/>
      <c r="F189" s="22"/>
      <c r="G189" s="22"/>
      <c r="H189" s="22"/>
      <c r="I189" s="22"/>
      <c r="J189" s="22"/>
      <c r="K189" s="88"/>
      <c r="L189" s="22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ht="15.75" customHeight="1">
      <c r="A190" s="10"/>
      <c r="B190" s="10"/>
      <c r="C190" s="22"/>
      <c r="D190" s="22"/>
      <c r="E190" s="22"/>
      <c r="F190" s="22"/>
      <c r="G190" s="22"/>
      <c r="H190" s="22"/>
      <c r="I190" s="22"/>
      <c r="J190" s="22"/>
      <c r="K190" s="88"/>
      <c r="L190" s="22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ht="15.75" customHeight="1">
      <c r="A191" s="10"/>
      <c r="B191" s="10"/>
      <c r="C191" s="22"/>
      <c r="D191" s="22"/>
      <c r="E191" s="22"/>
      <c r="F191" s="22"/>
      <c r="G191" s="22"/>
      <c r="H191" s="22"/>
      <c r="I191" s="22"/>
      <c r="J191" s="22"/>
      <c r="K191" s="88"/>
      <c r="L191" s="22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ht="15.75" customHeight="1">
      <c r="A192" s="10"/>
      <c r="B192" s="10"/>
      <c r="C192" s="22"/>
      <c r="D192" s="22"/>
      <c r="E192" s="22"/>
      <c r="F192" s="22"/>
      <c r="G192" s="22"/>
      <c r="H192" s="22"/>
      <c r="I192" s="22"/>
      <c r="J192" s="22"/>
      <c r="K192" s="88"/>
      <c r="L192" s="22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ht="15.75" customHeight="1">
      <c r="A193" s="10"/>
      <c r="B193" s="10"/>
      <c r="C193" s="22"/>
      <c r="D193" s="22"/>
      <c r="E193" s="22"/>
      <c r="F193" s="22"/>
      <c r="G193" s="22"/>
      <c r="H193" s="22"/>
      <c r="I193" s="22"/>
      <c r="J193" s="22"/>
      <c r="K193" s="88"/>
      <c r="L193" s="22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ht="15.75" customHeight="1">
      <c r="A194" s="10"/>
      <c r="B194" s="10"/>
      <c r="C194" s="22"/>
      <c r="D194" s="22"/>
      <c r="E194" s="22"/>
      <c r="F194" s="22"/>
      <c r="G194" s="22"/>
      <c r="H194" s="22"/>
      <c r="I194" s="22"/>
      <c r="J194" s="22"/>
      <c r="K194" s="88"/>
      <c r="L194" s="22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ht="15.75" customHeight="1">
      <c r="A195" s="10"/>
      <c r="B195" s="10"/>
      <c r="C195" s="22"/>
      <c r="D195" s="22"/>
      <c r="E195" s="22"/>
      <c r="F195" s="22"/>
      <c r="G195" s="22"/>
      <c r="H195" s="22"/>
      <c r="I195" s="22"/>
      <c r="J195" s="22"/>
      <c r="K195" s="88"/>
      <c r="L195" s="22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ht="15.75" customHeight="1">
      <c r="A196" s="10"/>
      <c r="B196" s="10"/>
      <c r="C196" s="22"/>
      <c r="D196" s="22"/>
      <c r="E196" s="22"/>
      <c r="F196" s="22"/>
      <c r="G196" s="22"/>
      <c r="H196" s="22"/>
      <c r="I196" s="22"/>
      <c r="J196" s="22"/>
      <c r="K196" s="88"/>
      <c r="L196" s="22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ht="15.75" customHeight="1">
      <c r="A197" s="10"/>
      <c r="B197" s="10"/>
      <c r="C197" s="22"/>
      <c r="D197" s="22"/>
      <c r="E197" s="22"/>
      <c r="F197" s="22"/>
      <c r="G197" s="22"/>
      <c r="H197" s="22"/>
      <c r="I197" s="22"/>
      <c r="J197" s="22"/>
      <c r="K197" s="88"/>
      <c r="L197" s="22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ht="15.75" customHeight="1">
      <c r="A198" s="10"/>
      <c r="B198" s="10"/>
      <c r="C198" s="22"/>
      <c r="D198" s="22"/>
      <c r="E198" s="22"/>
      <c r="F198" s="22"/>
      <c r="G198" s="22"/>
      <c r="H198" s="22"/>
      <c r="I198" s="22"/>
      <c r="J198" s="22"/>
      <c r="K198" s="88"/>
      <c r="L198" s="22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ht="15.75" customHeight="1">
      <c r="A199" s="10"/>
      <c r="B199" s="10"/>
      <c r="C199" s="22"/>
      <c r="D199" s="22"/>
      <c r="E199" s="22"/>
      <c r="F199" s="22"/>
      <c r="G199" s="22"/>
      <c r="H199" s="22"/>
      <c r="I199" s="22"/>
      <c r="J199" s="22"/>
      <c r="K199" s="88"/>
      <c r="L199" s="22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ht="15.75" customHeight="1">
      <c r="A200" s="10"/>
      <c r="B200" s="10"/>
      <c r="C200" s="22"/>
      <c r="D200" s="22"/>
      <c r="E200" s="22"/>
      <c r="F200" s="22"/>
      <c r="G200" s="22"/>
      <c r="H200" s="22"/>
      <c r="I200" s="22"/>
      <c r="J200" s="22"/>
      <c r="K200" s="88"/>
      <c r="L200" s="22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ht="15.75" customHeight="1">
      <c r="A201" s="10"/>
      <c r="B201" s="10"/>
      <c r="C201" s="22"/>
      <c r="D201" s="22"/>
      <c r="E201" s="22"/>
      <c r="F201" s="22"/>
      <c r="G201" s="22"/>
      <c r="H201" s="22"/>
      <c r="I201" s="22"/>
      <c r="J201" s="22"/>
      <c r="K201" s="88"/>
      <c r="L201" s="22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ht="15.75" customHeight="1">
      <c r="A202" s="10"/>
      <c r="B202" s="10"/>
      <c r="C202" s="22"/>
      <c r="D202" s="22"/>
      <c r="E202" s="22"/>
      <c r="F202" s="22"/>
      <c r="G202" s="22"/>
      <c r="H202" s="22"/>
      <c r="I202" s="22"/>
      <c r="J202" s="22"/>
      <c r="K202" s="88"/>
      <c r="L202" s="22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ht="15.75" customHeight="1">
      <c r="A203" s="10"/>
      <c r="B203" s="10"/>
      <c r="C203" s="22"/>
      <c r="D203" s="22"/>
      <c r="E203" s="22"/>
      <c r="F203" s="22"/>
      <c r="G203" s="22"/>
      <c r="H203" s="22"/>
      <c r="I203" s="22"/>
      <c r="J203" s="22"/>
      <c r="K203" s="88"/>
      <c r="L203" s="22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ht="15.75" customHeight="1">
      <c r="A204" s="10"/>
      <c r="B204" s="10"/>
      <c r="C204" s="22"/>
      <c r="D204" s="22"/>
      <c r="E204" s="22"/>
      <c r="F204" s="22"/>
      <c r="G204" s="22"/>
      <c r="H204" s="22"/>
      <c r="I204" s="22"/>
      <c r="J204" s="22"/>
      <c r="K204" s="88"/>
      <c r="L204" s="22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ht="15.75" customHeight="1">
      <c r="A205" s="10"/>
      <c r="B205" s="10"/>
      <c r="C205" s="22"/>
      <c r="D205" s="22"/>
      <c r="E205" s="22"/>
      <c r="F205" s="22"/>
      <c r="G205" s="22"/>
      <c r="H205" s="22"/>
      <c r="I205" s="22"/>
      <c r="J205" s="22"/>
      <c r="K205" s="88"/>
      <c r="L205" s="22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ht="15.75" customHeight="1">
      <c r="A206" s="10"/>
      <c r="B206" s="10"/>
      <c r="C206" s="22"/>
      <c r="D206" s="22"/>
      <c r="E206" s="22"/>
      <c r="F206" s="22"/>
      <c r="G206" s="22"/>
      <c r="H206" s="22"/>
      <c r="I206" s="22"/>
      <c r="J206" s="22"/>
      <c r="K206" s="88"/>
      <c r="L206" s="22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ht="15.75" customHeight="1">
      <c r="A207" s="10"/>
      <c r="B207" s="10"/>
      <c r="C207" s="22"/>
      <c r="D207" s="22"/>
      <c r="E207" s="22"/>
      <c r="F207" s="22"/>
      <c r="G207" s="22"/>
      <c r="H207" s="22"/>
      <c r="I207" s="22"/>
      <c r="J207" s="22"/>
      <c r="K207" s="88"/>
      <c r="L207" s="22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ht="15.75" customHeight="1">
      <c r="A208" s="10"/>
      <c r="B208" s="10"/>
      <c r="C208" s="22"/>
      <c r="D208" s="22"/>
      <c r="E208" s="22"/>
      <c r="F208" s="22"/>
      <c r="G208" s="22"/>
      <c r="H208" s="22"/>
      <c r="I208" s="22"/>
      <c r="J208" s="22"/>
      <c r="K208" s="88"/>
      <c r="L208" s="22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ht="15.75" customHeight="1">
      <c r="A209" s="10"/>
      <c r="B209" s="10"/>
      <c r="C209" s="22"/>
      <c r="D209" s="22"/>
      <c r="E209" s="22"/>
      <c r="F209" s="22"/>
      <c r="G209" s="22"/>
      <c r="H209" s="22"/>
      <c r="I209" s="22"/>
      <c r="J209" s="22"/>
      <c r="K209" s="88"/>
      <c r="L209" s="22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ht="15.75" customHeight="1">
      <c r="A210" s="10"/>
      <c r="B210" s="10"/>
      <c r="C210" s="22"/>
      <c r="D210" s="22"/>
      <c r="E210" s="22"/>
      <c r="F210" s="22"/>
      <c r="G210" s="22"/>
      <c r="H210" s="22"/>
      <c r="I210" s="22"/>
      <c r="J210" s="22"/>
      <c r="K210" s="88"/>
      <c r="L210" s="22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ht="15.75" customHeight="1">
      <c r="A211" s="10"/>
      <c r="B211" s="10"/>
      <c r="C211" s="22"/>
      <c r="D211" s="22"/>
      <c r="E211" s="22"/>
      <c r="F211" s="22"/>
      <c r="G211" s="22"/>
      <c r="H211" s="22"/>
      <c r="I211" s="22"/>
      <c r="J211" s="22"/>
      <c r="K211" s="88"/>
      <c r="L211" s="22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ht="15.75" customHeight="1">
      <c r="A212" s="10"/>
      <c r="B212" s="10"/>
      <c r="C212" s="22"/>
      <c r="D212" s="22"/>
      <c r="E212" s="22"/>
      <c r="F212" s="22"/>
      <c r="G212" s="22"/>
      <c r="H212" s="22"/>
      <c r="I212" s="22"/>
      <c r="J212" s="22"/>
      <c r="K212" s="88"/>
      <c r="L212" s="22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ht="15.75" customHeight="1">
      <c r="A213" s="10"/>
      <c r="B213" s="10"/>
      <c r="C213" s="22"/>
      <c r="D213" s="22"/>
      <c r="E213" s="22"/>
      <c r="F213" s="22"/>
      <c r="G213" s="22"/>
      <c r="H213" s="22"/>
      <c r="I213" s="22"/>
      <c r="J213" s="22"/>
      <c r="K213" s="88"/>
      <c r="L213" s="22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ht="15.75" customHeight="1">
      <c r="A214" s="10"/>
      <c r="B214" s="10"/>
      <c r="C214" s="22"/>
      <c r="D214" s="22"/>
      <c r="E214" s="22"/>
      <c r="F214" s="22"/>
      <c r="G214" s="22"/>
      <c r="H214" s="22"/>
      <c r="I214" s="22"/>
      <c r="J214" s="22"/>
      <c r="K214" s="88"/>
      <c r="L214" s="22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ht="15.75" customHeight="1">
      <c r="A215" s="10"/>
      <c r="B215" s="10"/>
      <c r="C215" s="22"/>
      <c r="D215" s="22"/>
      <c r="E215" s="22"/>
      <c r="F215" s="22"/>
      <c r="G215" s="22"/>
      <c r="H215" s="22"/>
      <c r="I215" s="22"/>
      <c r="J215" s="22"/>
      <c r="K215" s="88"/>
      <c r="L215" s="22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ht="15.75" customHeight="1">
      <c r="A216" s="10"/>
      <c r="B216" s="10"/>
      <c r="C216" s="22"/>
      <c r="D216" s="22"/>
      <c r="E216" s="22"/>
      <c r="F216" s="22"/>
      <c r="G216" s="22"/>
      <c r="H216" s="22"/>
      <c r="I216" s="22"/>
      <c r="J216" s="22"/>
      <c r="K216" s="88"/>
      <c r="L216" s="22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ht="15.75" customHeight="1">
      <c r="A217" s="10"/>
      <c r="B217" s="10"/>
      <c r="C217" s="22"/>
      <c r="D217" s="22"/>
      <c r="E217" s="22"/>
      <c r="F217" s="22"/>
      <c r="G217" s="22"/>
      <c r="H217" s="22"/>
      <c r="I217" s="22"/>
      <c r="J217" s="22"/>
      <c r="K217" s="88"/>
      <c r="L217" s="22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ht="15.75" customHeight="1">
      <c r="A218" s="10"/>
      <c r="B218" s="10"/>
      <c r="C218" s="22"/>
      <c r="D218" s="22"/>
      <c r="E218" s="22"/>
      <c r="F218" s="22"/>
      <c r="G218" s="22"/>
      <c r="H218" s="22"/>
      <c r="I218" s="22"/>
      <c r="J218" s="22"/>
      <c r="K218" s="88"/>
      <c r="L218" s="22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ht="15.75" customHeight="1">
      <c r="A219" s="10"/>
      <c r="B219" s="10"/>
      <c r="C219" s="22"/>
      <c r="D219" s="22"/>
      <c r="E219" s="22"/>
      <c r="F219" s="22"/>
      <c r="G219" s="22"/>
      <c r="H219" s="22"/>
      <c r="I219" s="22"/>
      <c r="J219" s="22"/>
      <c r="K219" s="88"/>
      <c r="L219" s="22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ht="15.75" customHeight="1">
      <c r="A220" s="10"/>
      <c r="B220" s="10"/>
      <c r="C220" s="22"/>
      <c r="D220" s="22"/>
      <c r="E220" s="22"/>
      <c r="F220" s="22"/>
      <c r="G220" s="22"/>
      <c r="H220" s="22"/>
      <c r="I220" s="22"/>
      <c r="J220" s="22"/>
      <c r="K220" s="88"/>
      <c r="L220" s="22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ht="15.75" customHeight="1">
      <c r="A221" s="10"/>
      <c r="B221" s="10"/>
      <c r="C221" s="22"/>
      <c r="D221" s="22"/>
      <c r="E221" s="22"/>
      <c r="F221" s="22"/>
      <c r="G221" s="22"/>
      <c r="H221" s="22"/>
      <c r="I221" s="22"/>
      <c r="J221" s="22"/>
      <c r="K221" s="88"/>
      <c r="L221" s="22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ht="15.75" customHeight="1">
      <c r="A222" s="10"/>
      <c r="B222" s="10"/>
      <c r="C222" s="22"/>
      <c r="D222" s="22"/>
      <c r="E222" s="22"/>
      <c r="F222" s="22"/>
      <c r="G222" s="22"/>
      <c r="H222" s="22"/>
      <c r="I222" s="22"/>
      <c r="J222" s="22"/>
      <c r="K222" s="88"/>
      <c r="L222" s="22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ht="15.75" customHeight="1">
      <c r="A223" s="10"/>
      <c r="B223" s="10"/>
      <c r="C223" s="22"/>
      <c r="D223" s="22"/>
      <c r="E223" s="22"/>
      <c r="F223" s="22"/>
      <c r="G223" s="22"/>
      <c r="H223" s="22"/>
      <c r="I223" s="22"/>
      <c r="J223" s="22"/>
      <c r="K223" s="88"/>
      <c r="L223" s="22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ht="15.75" customHeight="1">
      <c r="A224" s="10"/>
      <c r="B224" s="10"/>
      <c r="C224" s="22"/>
      <c r="D224" s="22"/>
      <c r="E224" s="22"/>
      <c r="F224" s="22"/>
      <c r="G224" s="22"/>
      <c r="H224" s="22"/>
      <c r="I224" s="22"/>
      <c r="J224" s="22"/>
      <c r="K224" s="88"/>
      <c r="L224" s="22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ht="15.75" customHeight="1">
      <c r="A225" s="10"/>
      <c r="B225" s="10"/>
      <c r="C225" s="22"/>
      <c r="D225" s="22"/>
      <c r="E225" s="22"/>
      <c r="F225" s="22"/>
      <c r="G225" s="22"/>
      <c r="H225" s="22"/>
      <c r="I225" s="22"/>
      <c r="J225" s="22"/>
      <c r="K225" s="88"/>
      <c r="L225" s="22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ht="15.75" customHeight="1">
      <c r="A226" s="10"/>
      <c r="B226" s="10"/>
      <c r="C226" s="22"/>
      <c r="D226" s="22"/>
      <c r="E226" s="22"/>
      <c r="F226" s="22"/>
      <c r="G226" s="22"/>
      <c r="H226" s="22"/>
      <c r="I226" s="22"/>
      <c r="J226" s="22"/>
      <c r="K226" s="88"/>
      <c r="L226" s="22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ht="15.75" customHeight="1">
      <c r="A227" s="10"/>
      <c r="B227" s="10"/>
      <c r="C227" s="22"/>
      <c r="D227" s="22"/>
      <c r="E227" s="22"/>
      <c r="F227" s="22"/>
      <c r="G227" s="22"/>
      <c r="H227" s="22"/>
      <c r="I227" s="22"/>
      <c r="J227" s="22"/>
      <c r="K227" s="88"/>
      <c r="L227" s="22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ht="15.75" customHeight="1">
      <c r="A228" s="10"/>
      <c r="B228" s="10"/>
      <c r="C228" s="22"/>
      <c r="D228" s="22"/>
      <c r="E228" s="22"/>
      <c r="F228" s="22"/>
      <c r="G228" s="22"/>
      <c r="H228" s="22"/>
      <c r="I228" s="22"/>
      <c r="J228" s="22"/>
      <c r="K228" s="88"/>
      <c r="L228" s="22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ht="15.75" customHeight="1">
      <c r="A229" s="10"/>
      <c r="B229" s="10"/>
      <c r="C229" s="22"/>
      <c r="D229" s="22"/>
      <c r="E229" s="22"/>
      <c r="F229" s="22"/>
      <c r="G229" s="22"/>
      <c r="H229" s="22"/>
      <c r="I229" s="22"/>
      <c r="J229" s="22"/>
      <c r="K229" s="88"/>
      <c r="L229" s="22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ht="15.75" customHeight="1">
      <c r="A230" s="10"/>
      <c r="B230" s="10"/>
      <c r="C230" s="22"/>
      <c r="D230" s="22"/>
      <c r="E230" s="22"/>
      <c r="F230" s="22"/>
      <c r="G230" s="22"/>
      <c r="H230" s="22"/>
      <c r="I230" s="22"/>
      <c r="J230" s="22"/>
      <c r="K230" s="88"/>
      <c r="L230" s="22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ht="15.75" customHeight="1">
      <c r="A231" s="10"/>
      <c r="B231" s="10"/>
      <c r="C231" s="22"/>
      <c r="D231" s="22"/>
      <c r="E231" s="22"/>
      <c r="F231" s="22"/>
      <c r="G231" s="22"/>
      <c r="H231" s="22"/>
      <c r="I231" s="22"/>
      <c r="J231" s="22"/>
      <c r="K231" s="88"/>
      <c r="L231" s="22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ht="15.75" customHeight="1">
      <c r="A232" s="10"/>
      <c r="B232" s="10"/>
      <c r="C232" s="22"/>
      <c r="D232" s="22"/>
      <c r="E232" s="22"/>
      <c r="F232" s="22"/>
      <c r="G232" s="22"/>
      <c r="H232" s="22"/>
      <c r="I232" s="22"/>
      <c r="J232" s="22"/>
      <c r="K232" s="88"/>
      <c r="L232" s="22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ht="15.75" customHeight="1">
      <c r="A233" s="10"/>
      <c r="B233" s="10"/>
      <c r="C233" s="22"/>
      <c r="D233" s="22"/>
      <c r="E233" s="22"/>
      <c r="F233" s="22"/>
      <c r="G233" s="22"/>
      <c r="H233" s="22"/>
      <c r="I233" s="22"/>
      <c r="J233" s="22"/>
      <c r="K233" s="88"/>
      <c r="L233" s="22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ht="15.75" customHeight="1">
      <c r="A234" s="10"/>
      <c r="B234" s="10"/>
      <c r="C234" s="22"/>
      <c r="D234" s="22"/>
      <c r="E234" s="22"/>
      <c r="F234" s="22"/>
      <c r="G234" s="22"/>
      <c r="H234" s="22"/>
      <c r="I234" s="22"/>
      <c r="J234" s="22"/>
      <c r="K234" s="88"/>
      <c r="L234" s="22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ht="15.75" customHeight="1">
      <c r="A235" s="10"/>
      <c r="B235" s="10"/>
      <c r="C235" s="22"/>
      <c r="D235" s="22"/>
      <c r="E235" s="22"/>
      <c r="F235" s="22"/>
      <c r="G235" s="22"/>
      <c r="H235" s="22"/>
      <c r="I235" s="22"/>
      <c r="J235" s="22"/>
      <c r="K235" s="88"/>
      <c r="L235" s="22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ht="15.75" customHeight="1">
      <c r="A236" s="10"/>
      <c r="B236" s="10"/>
      <c r="C236" s="22"/>
      <c r="D236" s="22"/>
      <c r="E236" s="22"/>
      <c r="F236" s="22"/>
      <c r="G236" s="22"/>
      <c r="H236" s="22"/>
      <c r="I236" s="22"/>
      <c r="J236" s="22"/>
      <c r="K236" s="88"/>
      <c r="L236" s="22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ht="15.75" customHeight="1">
      <c r="A237" s="10"/>
      <c r="B237" s="10"/>
      <c r="C237" s="22"/>
      <c r="D237" s="22"/>
      <c r="E237" s="22"/>
      <c r="F237" s="22"/>
      <c r="G237" s="22"/>
      <c r="H237" s="22"/>
      <c r="I237" s="22"/>
      <c r="J237" s="22"/>
      <c r="K237" s="88"/>
      <c r="L237" s="22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ht="15.75" customHeight="1">
      <c r="A238" s="10"/>
      <c r="B238" s="10"/>
      <c r="C238" s="22"/>
      <c r="D238" s="22"/>
      <c r="E238" s="22"/>
      <c r="F238" s="22"/>
      <c r="G238" s="22"/>
      <c r="H238" s="22"/>
      <c r="I238" s="22"/>
      <c r="J238" s="22"/>
      <c r="K238" s="88"/>
      <c r="L238" s="22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ht="15.75" customHeight="1">
      <c r="A239" s="10"/>
      <c r="B239" s="10"/>
      <c r="C239" s="22"/>
      <c r="D239" s="22"/>
      <c r="E239" s="22"/>
      <c r="F239" s="22"/>
      <c r="G239" s="22"/>
      <c r="H239" s="22"/>
      <c r="I239" s="22"/>
      <c r="J239" s="22"/>
      <c r="K239" s="88"/>
      <c r="L239" s="22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ht="15.75" customHeight="1">
      <c r="A240" s="10"/>
      <c r="B240" s="10"/>
      <c r="C240" s="22"/>
      <c r="D240" s="22"/>
      <c r="E240" s="22"/>
      <c r="F240" s="22"/>
      <c r="G240" s="22"/>
      <c r="H240" s="22"/>
      <c r="I240" s="22"/>
      <c r="J240" s="22"/>
      <c r="K240" s="88"/>
      <c r="L240" s="22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ht="15.75" customHeight="1">
      <c r="A241" s="10"/>
      <c r="B241" s="10"/>
      <c r="C241" s="22"/>
      <c r="D241" s="22"/>
      <c r="E241" s="22"/>
      <c r="F241" s="22"/>
      <c r="G241" s="22"/>
      <c r="H241" s="22"/>
      <c r="I241" s="22"/>
      <c r="J241" s="22"/>
      <c r="K241" s="88"/>
      <c r="L241" s="22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ht="15.75" customHeight="1">
      <c r="A242" s="10"/>
      <c r="B242" s="10"/>
      <c r="C242" s="22"/>
      <c r="D242" s="22"/>
      <c r="E242" s="22"/>
      <c r="F242" s="22"/>
      <c r="G242" s="22"/>
      <c r="H242" s="22"/>
      <c r="I242" s="22"/>
      <c r="J242" s="22"/>
      <c r="K242" s="88"/>
      <c r="L242" s="22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ht="15.75" customHeight="1">
      <c r="A243" s="10"/>
      <c r="B243" s="10"/>
      <c r="C243" s="22"/>
      <c r="D243" s="22"/>
      <c r="E243" s="22"/>
      <c r="F243" s="22"/>
      <c r="G243" s="22"/>
      <c r="H243" s="22"/>
      <c r="I243" s="22"/>
      <c r="J243" s="22"/>
      <c r="K243" s="88"/>
      <c r="L243" s="22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ht="15.75" customHeight="1">
      <c r="A244" s="10"/>
      <c r="B244" s="10"/>
      <c r="C244" s="22"/>
      <c r="D244" s="22"/>
      <c r="E244" s="22"/>
      <c r="F244" s="22"/>
      <c r="G244" s="22"/>
      <c r="H244" s="22"/>
      <c r="I244" s="22"/>
      <c r="J244" s="22"/>
      <c r="K244" s="88"/>
      <c r="L244" s="22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ht="15.75" customHeight="1">
      <c r="A245" s="10"/>
      <c r="B245" s="10"/>
      <c r="C245" s="22"/>
      <c r="D245" s="22"/>
      <c r="E245" s="22"/>
      <c r="F245" s="22"/>
      <c r="G245" s="22"/>
      <c r="H245" s="22"/>
      <c r="I245" s="22"/>
      <c r="J245" s="22"/>
      <c r="K245" s="88"/>
      <c r="L245" s="22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ht="15.75" customHeight="1">
      <c r="A246" s="10"/>
      <c r="B246" s="10"/>
      <c r="C246" s="22"/>
      <c r="D246" s="22"/>
      <c r="E246" s="22"/>
      <c r="F246" s="22"/>
      <c r="G246" s="22"/>
      <c r="H246" s="22"/>
      <c r="I246" s="22"/>
      <c r="J246" s="22"/>
      <c r="K246" s="88"/>
      <c r="L246" s="22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ht="15.75" customHeight="1">
      <c r="A247" s="10"/>
      <c r="B247" s="10"/>
      <c r="C247" s="22"/>
      <c r="D247" s="22"/>
      <c r="E247" s="22"/>
      <c r="F247" s="22"/>
      <c r="G247" s="22"/>
      <c r="H247" s="22"/>
      <c r="I247" s="22"/>
      <c r="J247" s="22"/>
      <c r="K247" s="88"/>
      <c r="L247" s="22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ht="15.75" customHeight="1">
      <c r="A248" s="10"/>
      <c r="B248" s="10"/>
      <c r="C248" s="22"/>
      <c r="D248" s="22"/>
      <c r="E248" s="22"/>
      <c r="F248" s="22"/>
      <c r="G248" s="22"/>
      <c r="H248" s="22"/>
      <c r="I248" s="22"/>
      <c r="J248" s="22"/>
      <c r="K248" s="88"/>
      <c r="L248" s="22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ht="15.75" customHeight="1">
      <c r="A249" s="10"/>
      <c r="B249" s="10"/>
      <c r="C249" s="22"/>
      <c r="D249" s="22"/>
      <c r="E249" s="22"/>
      <c r="F249" s="22"/>
      <c r="G249" s="22"/>
      <c r="H249" s="22"/>
      <c r="I249" s="22"/>
      <c r="J249" s="22"/>
      <c r="K249" s="88"/>
      <c r="L249" s="22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ht="15.75" customHeight="1">
      <c r="A250" s="10"/>
      <c r="B250" s="10"/>
      <c r="C250" s="22"/>
      <c r="D250" s="22"/>
      <c r="E250" s="22"/>
      <c r="F250" s="22"/>
      <c r="G250" s="22"/>
      <c r="H250" s="22"/>
      <c r="I250" s="22"/>
      <c r="J250" s="22"/>
      <c r="K250" s="88"/>
      <c r="L250" s="22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ht="15.75" customHeight="1">
      <c r="A251" s="10"/>
      <c r="B251" s="10"/>
      <c r="C251" s="22"/>
      <c r="D251" s="22"/>
      <c r="E251" s="22"/>
      <c r="F251" s="22"/>
      <c r="G251" s="22"/>
      <c r="H251" s="22"/>
      <c r="I251" s="22"/>
      <c r="J251" s="22"/>
      <c r="K251" s="88"/>
      <c r="L251" s="22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ht="15.75" customHeight="1">
      <c r="A252" s="10"/>
      <c r="B252" s="10"/>
      <c r="C252" s="22"/>
      <c r="D252" s="22"/>
      <c r="E252" s="22"/>
      <c r="F252" s="22"/>
      <c r="G252" s="22"/>
      <c r="H252" s="22"/>
      <c r="I252" s="22"/>
      <c r="J252" s="22"/>
      <c r="K252" s="88"/>
      <c r="L252" s="22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ht="15.75" customHeight="1">
      <c r="A253" s="10"/>
      <c r="B253" s="10"/>
      <c r="C253" s="22"/>
      <c r="D253" s="22"/>
      <c r="E253" s="22"/>
      <c r="F253" s="22"/>
      <c r="G253" s="22"/>
      <c r="H253" s="22"/>
      <c r="I253" s="22"/>
      <c r="J253" s="22"/>
      <c r="K253" s="88"/>
      <c r="L253" s="22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ht="15.75" customHeight="1">
      <c r="A254" s="10"/>
      <c r="B254" s="10"/>
      <c r="C254" s="22"/>
      <c r="D254" s="22"/>
      <c r="E254" s="22"/>
      <c r="F254" s="22"/>
      <c r="G254" s="22"/>
      <c r="H254" s="22"/>
      <c r="I254" s="22"/>
      <c r="J254" s="22"/>
      <c r="K254" s="88"/>
      <c r="L254" s="22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ht="15.75" customHeight="1">
      <c r="A255" s="10"/>
      <c r="B255" s="10"/>
      <c r="C255" s="22"/>
      <c r="D255" s="22"/>
      <c r="E255" s="22"/>
      <c r="F255" s="22"/>
      <c r="G255" s="22"/>
      <c r="H255" s="22"/>
      <c r="I255" s="22"/>
      <c r="J255" s="22"/>
      <c r="K255" s="88"/>
      <c r="L255" s="22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ht="15.75" customHeight="1">
      <c r="A256" s="10"/>
      <c r="B256" s="10"/>
      <c r="C256" s="22"/>
      <c r="D256" s="22"/>
      <c r="E256" s="22"/>
      <c r="F256" s="22"/>
      <c r="G256" s="22"/>
      <c r="H256" s="22"/>
      <c r="I256" s="22"/>
      <c r="J256" s="22"/>
      <c r="K256" s="88"/>
      <c r="L256" s="22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ht="15.75" customHeight="1">
      <c r="A257" s="10"/>
      <c r="B257" s="10"/>
      <c r="C257" s="22"/>
      <c r="D257" s="22"/>
      <c r="E257" s="22"/>
      <c r="F257" s="22"/>
      <c r="G257" s="22"/>
      <c r="H257" s="22"/>
      <c r="I257" s="22"/>
      <c r="J257" s="22"/>
      <c r="K257" s="88"/>
      <c r="L257" s="22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ht="15.75" customHeight="1">
      <c r="A258" s="10"/>
      <c r="B258" s="10"/>
      <c r="C258" s="22"/>
      <c r="D258" s="22"/>
      <c r="E258" s="22"/>
      <c r="F258" s="22"/>
      <c r="G258" s="22"/>
      <c r="H258" s="22"/>
      <c r="I258" s="22"/>
      <c r="J258" s="22"/>
      <c r="K258" s="88"/>
      <c r="L258" s="22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ht="15.75" customHeight="1">
      <c r="A259" s="10"/>
      <c r="B259" s="10"/>
      <c r="C259" s="22"/>
      <c r="D259" s="22"/>
      <c r="E259" s="22"/>
      <c r="F259" s="22"/>
      <c r="G259" s="22"/>
      <c r="H259" s="22"/>
      <c r="I259" s="22"/>
      <c r="J259" s="22"/>
      <c r="K259" s="88"/>
      <c r="L259" s="22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ht="15.75" customHeight="1">
      <c r="A260" s="10"/>
      <c r="B260" s="10"/>
      <c r="C260" s="22"/>
      <c r="D260" s="22"/>
      <c r="E260" s="22"/>
      <c r="F260" s="22"/>
      <c r="G260" s="22"/>
      <c r="H260" s="22"/>
      <c r="I260" s="22"/>
      <c r="J260" s="22"/>
      <c r="K260" s="88"/>
      <c r="L260" s="22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ht="15.75" customHeight="1">
      <c r="A261" s="10"/>
      <c r="B261" s="10"/>
      <c r="C261" s="22"/>
      <c r="D261" s="22"/>
      <c r="E261" s="22"/>
      <c r="F261" s="22"/>
      <c r="G261" s="22"/>
      <c r="H261" s="22"/>
      <c r="I261" s="22"/>
      <c r="J261" s="22"/>
      <c r="K261" s="88"/>
      <c r="L261" s="22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ht="15.75" customHeight="1">
      <c r="A262" s="10"/>
      <c r="B262" s="10"/>
      <c r="C262" s="22"/>
      <c r="D262" s="22"/>
      <c r="E262" s="22"/>
      <c r="F262" s="22"/>
      <c r="G262" s="22"/>
      <c r="H262" s="22"/>
      <c r="I262" s="22"/>
      <c r="J262" s="22"/>
      <c r="K262" s="88"/>
      <c r="L262" s="22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ht="15.75" customHeight="1">
      <c r="A263" s="10"/>
      <c r="B263" s="10"/>
      <c r="C263" s="22"/>
      <c r="D263" s="22"/>
      <c r="E263" s="22"/>
      <c r="F263" s="22"/>
      <c r="G263" s="22"/>
      <c r="H263" s="22"/>
      <c r="I263" s="22"/>
      <c r="J263" s="22"/>
      <c r="K263" s="88"/>
      <c r="L263" s="22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ht="15.75" customHeight="1">
      <c r="A264" s="10"/>
      <c r="B264" s="10"/>
      <c r="C264" s="22"/>
      <c r="D264" s="22"/>
      <c r="E264" s="22"/>
      <c r="F264" s="22"/>
      <c r="G264" s="22"/>
      <c r="H264" s="22"/>
      <c r="I264" s="22"/>
      <c r="J264" s="22"/>
      <c r="K264" s="88"/>
      <c r="L264" s="22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ht="15.75" customHeight="1">
      <c r="A265" s="10"/>
      <c r="B265" s="10"/>
      <c r="C265" s="22"/>
      <c r="D265" s="22"/>
      <c r="E265" s="22"/>
      <c r="F265" s="22"/>
      <c r="G265" s="22"/>
      <c r="H265" s="22"/>
      <c r="I265" s="22"/>
      <c r="J265" s="22"/>
      <c r="K265" s="88"/>
      <c r="L265" s="22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ht="15.75" customHeight="1">
      <c r="A266" s="10"/>
      <c r="B266" s="10"/>
      <c r="C266" s="22"/>
      <c r="D266" s="22"/>
      <c r="E266" s="22"/>
      <c r="F266" s="22"/>
      <c r="G266" s="22"/>
      <c r="H266" s="22"/>
      <c r="I266" s="22"/>
      <c r="J266" s="22"/>
      <c r="K266" s="88"/>
      <c r="L266" s="22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ht="15.75" customHeight="1">
      <c r="A267" s="10"/>
      <c r="B267" s="10"/>
      <c r="C267" s="22"/>
      <c r="D267" s="22"/>
      <c r="E267" s="22"/>
      <c r="F267" s="22"/>
      <c r="G267" s="22"/>
      <c r="H267" s="22"/>
      <c r="I267" s="22"/>
      <c r="J267" s="22"/>
      <c r="K267" s="88"/>
      <c r="L267" s="22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ht="15.75" customHeight="1">
      <c r="A268" s="10"/>
      <c r="B268" s="10"/>
      <c r="C268" s="22"/>
      <c r="D268" s="22"/>
      <c r="E268" s="22"/>
      <c r="F268" s="22"/>
      <c r="G268" s="22"/>
      <c r="H268" s="22"/>
      <c r="I268" s="22"/>
      <c r="J268" s="22"/>
      <c r="K268" s="88"/>
      <c r="L268" s="22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ht="15.75" customHeight="1">
      <c r="A269" s="10"/>
      <c r="B269" s="10"/>
      <c r="C269" s="22"/>
      <c r="D269" s="22"/>
      <c r="E269" s="22"/>
      <c r="F269" s="22"/>
      <c r="G269" s="22"/>
      <c r="H269" s="22"/>
      <c r="I269" s="22"/>
      <c r="J269" s="22"/>
      <c r="K269" s="88"/>
      <c r="L269" s="22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ht="15.75" customHeight="1">
      <c r="A270" s="10"/>
      <c r="B270" s="10"/>
      <c r="C270" s="22"/>
      <c r="D270" s="22"/>
      <c r="E270" s="22"/>
      <c r="F270" s="22"/>
      <c r="G270" s="22"/>
      <c r="H270" s="22"/>
      <c r="I270" s="22"/>
      <c r="J270" s="22"/>
      <c r="K270" s="88"/>
      <c r="L270" s="22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ht="15.75" customHeight="1">
      <c r="A271" s="10"/>
      <c r="B271" s="10"/>
      <c r="C271" s="22"/>
      <c r="D271" s="22"/>
      <c r="E271" s="22"/>
      <c r="F271" s="22"/>
      <c r="G271" s="22"/>
      <c r="H271" s="22"/>
      <c r="I271" s="22"/>
      <c r="J271" s="22"/>
      <c r="K271" s="88"/>
      <c r="L271" s="22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ht="15.75" customHeight="1">
      <c r="A272" s="10"/>
      <c r="B272" s="10"/>
      <c r="C272" s="22"/>
      <c r="D272" s="22"/>
      <c r="E272" s="22"/>
      <c r="F272" s="22"/>
      <c r="G272" s="22"/>
      <c r="H272" s="22"/>
      <c r="I272" s="22"/>
      <c r="J272" s="22"/>
      <c r="K272" s="88"/>
      <c r="L272" s="22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ht="15.75" customHeight="1">
      <c r="A273" s="10"/>
      <c r="B273" s="10"/>
      <c r="C273" s="22"/>
      <c r="D273" s="22"/>
      <c r="E273" s="22"/>
      <c r="F273" s="22"/>
      <c r="G273" s="22"/>
      <c r="H273" s="22"/>
      <c r="I273" s="22"/>
      <c r="J273" s="22"/>
      <c r="K273" s="88"/>
      <c r="L273" s="22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ht="15.75" customHeight="1">
      <c r="A274" s="10"/>
      <c r="B274" s="10"/>
      <c r="C274" s="22"/>
      <c r="D274" s="22"/>
      <c r="E274" s="22"/>
      <c r="F274" s="22"/>
      <c r="G274" s="22"/>
      <c r="H274" s="22"/>
      <c r="I274" s="22"/>
      <c r="J274" s="22"/>
      <c r="K274" s="88"/>
      <c r="L274" s="22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ht="15.75" customHeight="1">
      <c r="A275" s="10"/>
      <c r="B275" s="10"/>
      <c r="C275" s="22"/>
      <c r="D275" s="22"/>
      <c r="E275" s="22"/>
      <c r="F275" s="22"/>
      <c r="G275" s="22"/>
      <c r="H275" s="22"/>
      <c r="I275" s="22"/>
      <c r="J275" s="22"/>
      <c r="K275" s="88"/>
      <c r="L275" s="22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ht="15.75" customHeight="1">
      <c r="A276" s="10"/>
      <c r="B276" s="10"/>
      <c r="C276" s="22"/>
      <c r="D276" s="22"/>
      <c r="E276" s="22"/>
      <c r="F276" s="22"/>
      <c r="G276" s="22"/>
      <c r="H276" s="22"/>
      <c r="I276" s="22"/>
      <c r="J276" s="22"/>
      <c r="K276" s="88"/>
      <c r="L276" s="22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ht="15.75" customHeight="1">
      <c r="A277" s="10"/>
      <c r="B277" s="10"/>
      <c r="C277" s="22"/>
      <c r="D277" s="22"/>
      <c r="E277" s="22"/>
      <c r="F277" s="22"/>
      <c r="G277" s="22"/>
      <c r="H277" s="22"/>
      <c r="I277" s="22"/>
      <c r="J277" s="22"/>
      <c r="K277" s="88"/>
      <c r="L277" s="22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ht="15.75" customHeight="1">
      <c r="A278" s="10"/>
      <c r="B278" s="10"/>
      <c r="C278" s="22"/>
      <c r="D278" s="22"/>
      <c r="E278" s="22"/>
      <c r="F278" s="22"/>
      <c r="G278" s="22"/>
      <c r="H278" s="22"/>
      <c r="I278" s="22"/>
      <c r="J278" s="22"/>
      <c r="K278" s="88"/>
      <c r="L278" s="22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ht="15.75" customHeight="1">
      <c r="A279" s="10"/>
      <c r="B279" s="10"/>
      <c r="C279" s="22"/>
      <c r="D279" s="22"/>
      <c r="E279" s="22"/>
      <c r="F279" s="22"/>
      <c r="G279" s="22"/>
      <c r="H279" s="22"/>
      <c r="I279" s="22"/>
      <c r="J279" s="22"/>
      <c r="K279" s="88"/>
      <c r="L279" s="22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ht="15.75" customHeight="1">
      <c r="A280" s="10"/>
      <c r="B280" s="10"/>
      <c r="C280" s="22"/>
      <c r="D280" s="22"/>
      <c r="E280" s="22"/>
      <c r="F280" s="22"/>
      <c r="G280" s="22"/>
      <c r="H280" s="22"/>
      <c r="I280" s="22"/>
      <c r="J280" s="22"/>
      <c r="K280" s="88"/>
      <c r="L280" s="22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ht="15.75" customHeight="1">
      <c r="A281" s="10"/>
      <c r="B281" s="10"/>
      <c r="C281" s="22"/>
      <c r="D281" s="22"/>
      <c r="E281" s="22"/>
      <c r="F281" s="22"/>
      <c r="G281" s="22"/>
      <c r="H281" s="22"/>
      <c r="I281" s="22"/>
      <c r="J281" s="22"/>
      <c r="K281" s="88"/>
      <c r="L281" s="22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ht="15.75" customHeight="1">
      <c r="A282" s="10"/>
      <c r="B282" s="10"/>
      <c r="C282" s="22"/>
      <c r="D282" s="22"/>
      <c r="E282" s="22"/>
      <c r="F282" s="22"/>
      <c r="G282" s="22"/>
      <c r="H282" s="22"/>
      <c r="I282" s="22"/>
      <c r="J282" s="22"/>
      <c r="K282" s="88"/>
      <c r="L282" s="22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ht="15.75" customHeight="1">
      <c r="A283" s="10"/>
      <c r="B283" s="10"/>
      <c r="C283" s="22"/>
      <c r="D283" s="22"/>
      <c r="E283" s="22"/>
      <c r="F283" s="22"/>
      <c r="G283" s="22"/>
      <c r="H283" s="22"/>
      <c r="I283" s="22"/>
      <c r="J283" s="22"/>
      <c r="K283" s="88"/>
      <c r="L283" s="22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ht="15.75" customHeight="1">
      <c r="A284" s="10"/>
      <c r="B284" s="10"/>
      <c r="C284" s="22"/>
      <c r="D284" s="22"/>
      <c r="E284" s="22"/>
      <c r="F284" s="22"/>
      <c r="G284" s="22"/>
      <c r="H284" s="22"/>
      <c r="I284" s="22"/>
      <c r="J284" s="22"/>
      <c r="K284" s="88"/>
      <c r="L284" s="22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ht="15.75" customHeight="1">
      <c r="A285" s="10"/>
      <c r="B285" s="10"/>
      <c r="C285" s="22"/>
      <c r="D285" s="22"/>
      <c r="E285" s="22"/>
      <c r="F285" s="22"/>
      <c r="G285" s="22"/>
      <c r="H285" s="22"/>
      <c r="I285" s="22"/>
      <c r="J285" s="22"/>
      <c r="K285" s="88"/>
      <c r="L285" s="22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ht="15.75" customHeight="1">
      <c r="A286" s="10"/>
      <c r="B286" s="10"/>
      <c r="C286" s="22"/>
      <c r="D286" s="22"/>
      <c r="E286" s="22"/>
      <c r="F286" s="22"/>
      <c r="G286" s="22"/>
      <c r="H286" s="22"/>
      <c r="I286" s="22"/>
      <c r="J286" s="22"/>
      <c r="K286" s="88"/>
      <c r="L286" s="22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ht="15.75" customHeight="1">
      <c r="A287" s="10"/>
      <c r="B287" s="10"/>
      <c r="C287" s="22"/>
      <c r="D287" s="22"/>
      <c r="E287" s="22"/>
      <c r="F287" s="22"/>
      <c r="G287" s="22"/>
      <c r="H287" s="22"/>
      <c r="I287" s="22"/>
      <c r="J287" s="22"/>
      <c r="K287" s="88"/>
      <c r="L287" s="22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ht="15.75" customHeight="1">
      <c r="A288" s="10"/>
      <c r="B288" s="10"/>
      <c r="C288" s="22"/>
      <c r="D288" s="22"/>
      <c r="E288" s="22"/>
      <c r="F288" s="22"/>
      <c r="G288" s="22"/>
      <c r="H288" s="22"/>
      <c r="I288" s="22"/>
      <c r="J288" s="22"/>
      <c r="K288" s="88"/>
      <c r="L288" s="22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ht="15.75" customHeight="1">
      <c r="A289" s="10"/>
      <c r="B289" s="10"/>
      <c r="C289" s="22"/>
      <c r="D289" s="22"/>
      <c r="E289" s="22"/>
      <c r="F289" s="22"/>
      <c r="G289" s="22"/>
      <c r="H289" s="22"/>
      <c r="I289" s="22"/>
      <c r="J289" s="22"/>
      <c r="K289" s="88"/>
      <c r="L289" s="22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ht="15.75" customHeight="1">
      <c r="A290" s="10"/>
      <c r="B290" s="10"/>
      <c r="C290" s="22"/>
      <c r="D290" s="22"/>
      <c r="E290" s="22"/>
      <c r="F290" s="22"/>
      <c r="G290" s="22"/>
      <c r="H290" s="22"/>
      <c r="I290" s="22"/>
      <c r="J290" s="22"/>
      <c r="K290" s="88"/>
      <c r="L290" s="22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ht="15.75" customHeight="1">
      <c r="A291" s="10"/>
      <c r="B291" s="10"/>
      <c r="C291" s="22"/>
      <c r="D291" s="22"/>
      <c r="E291" s="22"/>
      <c r="F291" s="22"/>
      <c r="G291" s="22"/>
      <c r="H291" s="22"/>
      <c r="I291" s="22"/>
      <c r="J291" s="22"/>
      <c r="K291" s="88"/>
      <c r="L291" s="22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ht="15.75" customHeight="1">
      <c r="A292" s="10"/>
      <c r="B292" s="10"/>
      <c r="C292" s="22"/>
      <c r="D292" s="22"/>
      <c r="E292" s="22"/>
      <c r="F292" s="22"/>
      <c r="G292" s="22"/>
      <c r="H292" s="22"/>
      <c r="I292" s="22"/>
      <c r="J292" s="22"/>
      <c r="K292" s="88"/>
      <c r="L292" s="22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ht="15.75" customHeight="1">
      <c r="A293" s="10"/>
      <c r="B293" s="10"/>
      <c r="C293" s="22"/>
      <c r="D293" s="22"/>
      <c r="E293" s="22"/>
      <c r="F293" s="22"/>
      <c r="G293" s="22"/>
      <c r="H293" s="22"/>
      <c r="I293" s="22"/>
      <c r="J293" s="22"/>
      <c r="K293" s="88"/>
      <c r="L293" s="22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ht="15.75" customHeight="1">
      <c r="A294" s="10"/>
      <c r="B294" s="10"/>
      <c r="C294" s="22"/>
      <c r="D294" s="22"/>
      <c r="E294" s="22"/>
      <c r="F294" s="22"/>
      <c r="G294" s="22"/>
      <c r="H294" s="22"/>
      <c r="I294" s="22"/>
      <c r="J294" s="22"/>
      <c r="K294" s="88"/>
      <c r="L294" s="22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ht="15.75" customHeight="1">
      <c r="A295" s="10"/>
      <c r="B295" s="10"/>
      <c r="C295" s="22"/>
      <c r="D295" s="22"/>
      <c r="E295" s="22"/>
      <c r="F295" s="22"/>
      <c r="G295" s="22"/>
      <c r="H295" s="22"/>
      <c r="I295" s="22"/>
      <c r="J295" s="22"/>
      <c r="K295" s="88"/>
      <c r="L295" s="22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ht="15.75" customHeight="1">
      <c r="A296" s="10"/>
      <c r="B296" s="10"/>
      <c r="C296" s="22"/>
      <c r="D296" s="22"/>
      <c r="E296" s="22"/>
      <c r="F296" s="22"/>
      <c r="G296" s="22"/>
      <c r="H296" s="22"/>
      <c r="I296" s="22"/>
      <c r="J296" s="22"/>
      <c r="K296" s="88"/>
      <c r="L296" s="22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ht="15.75" customHeight="1">
      <c r="A297" s="10"/>
      <c r="B297" s="10"/>
      <c r="C297" s="22"/>
      <c r="D297" s="22"/>
      <c r="E297" s="22"/>
      <c r="F297" s="22"/>
      <c r="G297" s="22"/>
      <c r="H297" s="22"/>
      <c r="I297" s="22"/>
      <c r="J297" s="22"/>
      <c r="K297" s="88"/>
      <c r="L297" s="22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ht="15.75" customHeight="1">
      <c r="A298" s="10"/>
      <c r="B298" s="10"/>
      <c r="C298" s="22"/>
      <c r="D298" s="22"/>
      <c r="E298" s="22"/>
      <c r="F298" s="22"/>
      <c r="G298" s="22"/>
      <c r="H298" s="22"/>
      <c r="I298" s="22"/>
      <c r="J298" s="22"/>
      <c r="K298" s="88"/>
      <c r="L298" s="22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ht="15.75" customHeight="1">
      <c r="A299" s="10"/>
      <c r="B299" s="10"/>
      <c r="C299" s="22"/>
      <c r="D299" s="22"/>
      <c r="E299" s="22"/>
      <c r="F299" s="22"/>
      <c r="G299" s="22"/>
      <c r="H299" s="22"/>
      <c r="I299" s="22"/>
      <c r="J299" s="22"/>
      <c r="K299" s="88"/>
      <c r="L299" s="22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ht="15.75" customHeight="1">
      <c r="A300" s="10"/>
      <c r="B300" s="10"/>
      <c r="C300" s="22"/>
      <c r="D300" s="22"/>
      <c r="E300" s="22"/>
      <c r="F300" s="22"/>
      <c r="G300" s="22"/>
      <c r="H300" s="22"/>
      <c r="I300" s="22"/>
      <c r="J300" s="22"/>
      <c r="K300" s="88"/>
      <c r="L300" s="22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ht="15.75" customHeight="1">
      <c r="A301" s="10"/>
      <c r="B301" s="10"/>
      <c r="C301" s="22"/>
      <c r="D301" s="22"/>
      <c r="E301" s="22"/>
      <c r="F301" s="22"/>
      <c r="G301" s="22"/>
      <c r="H301" s="22"/>
      <c r="I301" s="22"/>
      <c r="J301" s="22"/>
      <c r="K301" s="88"/>
      <c r="L301" s="22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ht="15.75" customHeight="1">
      <c r="A302" s="10"/>
      <c r="B302" s="10"/>
      <c r="C302" s="22"/>
      <c r="D302" s="22"/>
      <c r="E302" s="22"/>
      <c r="F302" s="22"/>
      <c r="G302" s="22"/>
      <c r="H302" s="22"/>
      <c r="I302" s="22"/>
      <c r="J302" s="22"/>
      <c r="K302" s="88"/>
      <c r="L302" s="22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ht="15.75" customHeight="1">
      <c r="A303" s="10"/>
      <c r="B303" s="10"/>
      <c r="C303" s="22"/>
      <c r="D303" s="22"/>
      <c r="E303" s="22"/>
      <c r="F303" s="22"/>
      <c r="G303" s="22"/>
      <c r="H303" s="22"/>
      <c r="I303" s="22"/>
      <c r="J303" s="22"/>
      <c r="K303" s="88"/>
      <c r="L303" s="22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ht="15.75" customHeight="1">
      <c r="A304" s="10"/>
      <c r="B304" s="10"/>
      <c r="C304" s="22"/>
      <c r="D304" s="22"/>
      <c r="E304" s="22"/>
      <c r="F304" s="22"/>
      <c r="G304" s="22"/>
      <c r="H304" s="22"/>
      <c r="I304" s="22"/>
      <c r="J304" s="22"/>
      <c r="K304" s="88"/>
      <c r="L304" s="22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ht="15.75" customHeight="1">
      <c r="A305" s="10"/>
      <c r="B305" s="10"/>
      <c r="C305" s="22"/>
      <c r="D305" s="22"/>
      <c r="E305" s="22"/>
      <c r="F305" s="22"/>
      <c r="G305" s="22"/>
      <c r="H305" s="22"/>
      <c r="I305" s="22"/>
      <c r="J305" s="22"/>
      <c r="K305" s="88"/>
      <c r="L305" s="22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ht="15.75" customHeight="1">
      <c r="A306" s="10"/>
      <c r="B306" s="10"/>
      <c r="C306" s="22"/>
      <c r="D306" s="22"/>
      <c r="E306" s="22"/>
      <c r="F306" s="22"/>
      <c r="G306" s="22"/>
      <c r="H306" s="22"/>
      <c r="I306" s="22"/>
      <c r="J306" s="22"/>
      <c r="K306" s="88"/>
      <c r="L306" s="22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ht="15.75" customHeight="1">
      <c r="A307" s="10"/>
      <c r="B307" s="10"/>
      <c r="C307" s="22"/>
      <c r="D307" s="22"/>
      <c r="E307" s="22"/>
      <c r="F307" s="22"/>
      <c r="G307" s="22"/>
      <c r="H307" s="22"/>
      <c r="I307" s="22"/>
      <c r="J307" s="22"/>
      <c r="K307" s="88"/>
      <c r="L307" s="22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ht="15.75" customHeight="1">
      <c r="A308" s="10"/>
      <c r="B308" s="10"/>
      <c r="C308" s="22"/>
      <c r="D308" s="22"/>
      <c r="E308" s="22"/>
      <c r="F308" s="22"/>
      <c r="G308" s="22"/>
      <c r="H308" s="22"/>
      <c r="I308" s="22"/>
      <c r="J308" s="22"/>
      <c r="K308" s="88"/>
      <c r="L308" s="22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ht="15.75" customHeight="1">
      <c r="A309" s="10"/>
      <c r="B309" s="10"/>
      <c r="C309" s="22"/>
      <c r="D309" s="22"/>
      <c r="E309" s="22"/>
      <c r="F309" s="22"/>
      <c r="G309" s="22"/>
      <c r="H309" s="22"/>
      <c r="I309" s="22"/>
      <c r="J309" s="22"/>
      <c r="K309" s="88"/>
      <c r="L309" s="22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ht="15.75" customHeight="1">
      <c r="A310" s="10"/>
      <c r="B310" s="10"/>
      <c r="C310" s="22"/>
      <c r="D310" s="22"/>
      <c r="E310" s="22"/>
      <c r="F310" s="22"/>
      <c r="G310" s="22"/>
      <c r="H310" s="22"/>
      <c r="I310" s="22"/>
      <c r="J310" s="22"/>
      <c r="K310" s="88"/>
      <c r="L310" s="22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ht="15.75" customHeight="1">
      <c r="A311" s="10"/>
      <c r="B311" s="10"/>
      <c r="C311" s="22"/>
      <c r="D311" s="22"/>
      <c r="E311" s="22"/>
      <c r="F311" s="22"/>
      <c r="G311" s="22"/>
      <c r="H311" s="22"/>
      <c r="I311" s="22"/>
      <c r="J311" s="22"/>
      <c r="K311" s="88"/>
      <c r="L311" s="22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ht="15.75" customHeight="1">
      <c r="A312" s="10"/>
      <c r="B312" s="10"/>
      <c r="C312" s="22"/>
      <c r="D312" s="22"/>
      <c r="E312" s="22"/>
      <c r="F312" s="22"/>
      <c r="G312" s="22"/>
      <c r="H312" s="22"/>
      <c r="I312" s="22"/>
      <c r="J312" s="22"/>
      <c r="K312" s="88"/>
      <c r="L312" s="22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ht="15.75" customHeight="1">
      <c r="A313" s="10"/>
      <c r="B313" s="10"/>
      <c r="C313" s="22"/>
      <c r="D313" s="22"/>
      <c r="E313" s="22"/>
      <c r="F313" s="22"/>
      <c r="G313" s="22"/>
      <c r="H313" s="22"/>
      <c r="I313" s="22"/>
      <c r="J313" s="22"/>
      <c r="K313" s="88"/>
      <c r="L313" s="22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ht="15.75" customHeight="1">
      <c r="A314" s="10"/>
      <c r="B314" s="10"/>
      <c r="C314" s="22"/>
      <c r="D314" s="22"/>
      <c r="E314" s="22"/>
      <c r="F314" s="22"/>
      <c r="G314" s="22"/>
      <c r="H314" s="22"/>
      <c r="I314" s="22"/>
      <c r="J314" s="22"/>
      <c r="K314" s="88"/>
      <c r="L314" s="22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ht="15.75" customHeight="1">
      <c r="A315" s="10"/>
      <c r="B315" s="10"/>
      <c r="C315" s="22"/>
      <c r="D315" s="22"/>
      <c r="E315" s="22"/>
      <c r="F315" s="22"/>
      <c r="G315" s="22"/>
      <c r="H315" s="22"/>
      <c r="I315" s="22"/>
      <c r="J315" s="22"/>
      <c r="K315" s="88"/>
      <c r="L315" s="22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ht="15.75" customHeight="1">
      <c r="A316" s="10"/>
      <c r="B316" s="10"/>
      <c r="C316" s="22"/>
      <c r="D316" s="22"/>
      <c r="E316" s="22"/>
      <c r="F316" s="22"/>
      <c r="G316" s="22"/>
      <c r="H316" s="22"/>
      <c r="I316" s="22"/>
      <c r="J316" s="22"/>
      <c r="K316" s="88"/>
      <c r="L316" s="22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ht="15.75" customHeight="1">
      <c r="A317" s="10"/>
      <c r="B317" s="10"/>
      <c r="C317" s="22"/>
      <c r="D317" s="22"/>
      <c r="E317" s="22"/>
      <c r="F317" s="22"/>
      <c r="G317" s="22"/>
      <c r="H317" s="22"/>
      <c r="I317" s="22"/>
      <c r="J317" s="22"/>
      <c r="K317" s="88"/>
      <c r="L317" s="22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ht="15.75" customHeight="1">
      <c r="A318" s="10"/>
      <c r="B318" s="10"/>
      <c r="C318" s="22"/>
      <c r="D318" s="22"/>
      <c r="E318" s="22"/>
      <c r="F318" s="22"/>
      <c r="G318" s="22"/>
      <c r="H318" s="22"/>
      <c r="I318" s="22"/>
      <c r="J318" s="22"/>
      <c r="K318" s="88"/>
      <c r="L318" s="22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ht="15.75" customHeight="1">
      <c r="A319" s="10"/>
      <c r="B319" s="10"/>
      <c r="C319" s="22"/>
      <c r="D319" s="22"/>
      <c r="E319" s="22"/>
      <c r="F319" s="22"/>
      <c r="G319" s="22"/>
      <c r="H319" s="22"/>
      <c r="I319" s="22"/>
      <c r="J319" s="22"/>
      <c r="K319" s="88"/>
      <c r="L319" s="22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ht="15.75" customHeight="1">
      <c r="A320" s="10"/>
      <c r="B320" s="10"/>
      <c r="C320" s="22"/>
      <c r="D320" s="22"/>
      <c r="E320" s="22"/>
      <c r="F320" s="22"/>
      <c r="G320" s="22"/>
      <c r="H320" s="22"/>
      <c r="I320" s="22"/>
      <c r="J320" s="22"/>
      <c r="K320" s="88"/>
      <c r="L320" s="22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ht="15.75" customHeight="1">
      <c r="A321" s="10"/>
      <c r="B321" s="10"/>
      <c r="C321" s="22"/>
      <c r="D321" s="22"/>
      <c r="E321" s="22"/>
      <c r="F321" s="22"/>
      <c r="G321" s="22"/>
      <c r="H321" s="22"/>
      <c r="I321" s="22"/>
      <c r="J321" s="22"/>
      <c r="K321" s="88"/>
      <c r="L321" s="22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ht="15.75" customHeight="1">
      <c r="A322" s="10"/>
      <c r="B322" s="10"/>
      <c r="C322" s="22"/>
      <c r="D322" s="22"/>
      <c r="E322" s="22"/>
      <c r="F322" s="22"/>
      <c r="G322" s="22"/>
      <c r="H322" s="22"/>
      <c r="I322" s="22"/>
      <c r="J322" s="22"/>
      <c r="K322" s="88"/>
      <c r="L322" s="22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ht="15.75" customHeight="1">
      <c r="A323" s="10"/>
      <c r="B323" s="10"/>
      <c r="C323" s="22"/>
      <c r="D323" s="22"/>
      <c r="E323" s="22"/>
      <c r="F323" s="22"/>
      <c r="G323" s="22"/>
      <c r="H323" s="22"/>
      <c r="I323" s="22"/>
      <c r="J323" s="22"/>
      <c r="K323" s="88"/>
      <c r="L323" s="22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ht="15.75" customHeight="1">
      <c r="A324" s="10"/>
      <c r="B324" s="10"/>
      <c r="C324" s="22"/>
      <c r="D324" s="22"/>
      <c r="E324" s="22"/>
      <c r="F324" s="22"/>
      <c r="G324" s="22"/>
      <c r="H324" s="22"/>
      <c r="I324" s="22"/>
      <c r="J324" s="22"/>
      <c r="K324" s="88"/>
      <c r="L324" s="22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ht="15.75" customHeight="1">
      <c r="A325" s="10"/>
      <c r="B325" s="10"/>
      <c r="C325" s="22"/>
      <c r="D325" s="22"/>
      <c r="E325" s="22"/>
      <c r="F325" s="22"/>
      <c r="G325" s="22"/>
      <c r="H325" s="22"/>
      <c r="I325" s="22"/>
      <c r="J325" s="22"/>
      <c r="K325" s="88"/>
      <c r="L325" s="22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ht="15.75" customHeight="1">
      <c r="A326" s="10"/>
      <c r="B326" s="10"/>
      <c r="C326" s="22"/>
      <c r="D326" s="22"/>
      <c r="E326" s="22"/>
      <c r="F326" s="22"/>
      <c r="G326" s="22"/>
      <c r="H326" s="22"/>
      <c r="I326" s="22"/>
      <c r="J326" s="22"/>
      <c r="K326" s="88"/>
      <c r="L326" s="22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ht="15.75" customHeight="1">
      <c r="A327" s="10"/>
      <c r="B327" s="10"/>
      <c r="C327" s="22"/>
      <c r="D327" s="22"/>
      <c r="E327" s="22"/>
      <c r="F327" s="22"/>
      <c r="G327" s="22"/>
      <c r="H327" s="22"/>
      <c r="I327" s="22"/>
      <c r="J327" s="22"/>
      <c r="K327" s="88"/>
      <c r="L327" s="22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ht="15.75" customHeight="1">
      <c r="A328" s="10"/>
      <c r="B328" s="10"/>
      <c r="C328" s="22"/>
      <c r="D328" s="22"/>
      <c r="E328" s="22"/>
      <c r="F328" s="22"/>
      <c r="G328" s="22"/>
      <c r="H328" s="22"/>
      <c r="I328" s="22"/>
      <c r="J328" s="22"/>
      <c r="K328" s="88"/>
      <c r="L328" s="22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ht="15.75" customHeight="1">
      <c r="A329" s="10"/>
      <c r="B329" s="10"/>
      <c r="C329" s="22"/>
      <c r="D329" s="22"/>
      <c r="E329" s="22"/>
      <c r="F329" s="22"/>
      <c r="G329" s="22"/>
      <c r="H329" s="22"/>
      <c r="I329" s="22"/>
      <c r="J329" s="22"/>
      <c r="K329" s="88"/>
      <c r="L329" s="22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ht="15.75" customHeight="1">
      <c r="A330" s="10"/>
      <c r="B330" s="10"/>
      <c r="C330" s="22"/>
      <c r="D330" s="22"/>
      <c r="E330" s="22"/>
      <c r="F330" s="22"/>
      <c r="G330" s="22"/>
      <c r="H330" s="22"/>
      <c r="I330" s="22"/>
      <c r="J330" s="22"/>
      <c r="K330" s="88"/>
      <c r="L330" s="22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ht="15.75" customHeight="1">
      <c r="A331" s="10"/>
      <c r="B331" s="10"/>
      <c r="C331" s="22"/>
      <c r="D331" s="22"/>
      <c r="E331" s="22"/>
      <c r="F331" s="22"/>
      <c r="G331" s="22"/>
      <c r="H331" s="22"/>
      <c r="I331" s="22"/>
      <c r="J331" s="22"/>
      <c r="K331" s="88"/>
      <c r="L331" s="22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ht="15.75" customHeight="1">
      <c r="A332" s="10"/>
      <c r="B332" s="10"/>
      <c r="C332" s="22"/>
      <c r="D332" s="22"/>
      <c r="E332" s="22"/>
      <c r="F332" s="22"/>
      <c r="G332" s="22"/>
      <c r="H332" s="22"/>
      <c r="I332" s="22"/>
      <c r="J332" s="22"/>
      <c r="K332" s="88"/>
      <c r="L332" s="22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ht="15.75" customHeight="1">
      <c r="A333" s="10"/>
      <c r="B333" s="10"/>
      <c r="C333" s="22"/>
      <c r="D333" s="22"/>
      <c r="E333" s="22"/>
      <c r="F333" s="22"/>
      <c r="G333" s="22"/>
      <c r="H333" s="22"/>
      <c r="I333" s="22"/>
      <c r="J333" s="22"/>
      <c r="K333" s="88"/>
      <c r="L333" s="22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ht="15.75" customHeight="1">
      <c r="A334" s="10"/>
      <c r="B334" s="10"/>
      <c r="C334" s="22"/>
      <c r="D334" s="22"/>
      <c r="E334" s="22"/>
      <c r="F334" s="22"/>
      <c r="G334" s="22"/>
      <c r="H334" s="22"/>
      <c r="I334" s="22"/>
      <c r="J334" s="22"/>
      <c r="K334" s="88"/>
      <c r="L334" s="22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ht="15.75" customHeight="1">
      <c r="A335" s="10"/>
      <c r="B335" s="10"/>
      <c r="C335" s="22"/>
      <c r="D335" s="22"/>
      <c r="E335" s="22"/>
      <c r="F335" s="22"/>
      <c r="G335" s="22"/>
      <c r="H335" s="22"/>
      <c r="I335" s="22"/>
      <c r="J335" s="22"/>
      <c r="K335" s="88"/>
      <c r="L335" s="22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ht="15.75" customHeight="1">
      <c r="A336" s="10"/>
      <c r="B336" s="10"/>
      <c r="C336" s="22"/>
      <c r="D336" s="22"/>
      <c r="E336" s="22"/>
      <c r="F336" s="22"/>
      <c r="G336" s="22"/>
      <c r="H336" s="22"/>
      <c r="I336" s="22"/>
      <c r="J336" s="22"/>
      <c r="K336" s="88"/>
      <c r="L336" s="22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ht="15.75" customHeight="1">
      <c r="A337" s="10"/>
      <c r="B337" s="10"/>
      <c r="C337" s="22"/>
      <c r="D337" s="22"/>
      <c r="E337" s="22"/>
      <c r="F337" s="22"/>
      <c r="G337" s="22"/>
      <c r="H337" s="22"/>
      <c r="I337" s="22"/>
      <c r="J337" s="22"/>
      <c r="K337" s="88"/>
      <c r="L337" s="22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ht="15.75" customHeight="1">
      <c r="A338" s="10"/>
      <c r="B338" s="10"/>
      <c r="C338" s="22"/>
      <c r="D338" s="22"/>
      <c r="E338" s="22"/>
      <c r="F338" s="22"/>
      <c r="G338" s="22"/>
      <c r="H338" s="22"/>
      <c r="I338" s="22"/>
      <c r="J338" s="22"/>
      <c r="K338" s="88"/>
      <c r="L338" s="22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ht="15.75" customHeight="1">
      <c r="A339" s="10"/>
      <c r="B339" s="10"/>
      <c r="C339" s="22"/>
      <c r="D339" s="22"/>
      <c r="E339" s="22"/>
      <c r="F339" s="22"/>
      <c r="G339" s="22"/>
      <c r="H339" s="22"/>
      <c r="I339" s="22"/>
      <c r="J339" s="22"/>
      <c r="K339" s="88"/>
      <c r="L339" s="22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ht="15.75" customHeight="1">
      <c r="A340" s="10"/>
      <c r="B340" s="10"/>
      <c r="C340" s="22"/>
      <c r="D340" s="22"/>
      <c r="E340" s="22"/>
      <c r="F340" s="22"/>
      <c r="G340" s="22"/>
      <c r="H340" s="22"/>
      <c r="I340" s="22"/>
      <c r="J340" s="22"/>
      <c r="K340" s="88"/>
      <c r="L340" s="22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ht="15.75" customHeight="1">
      <c r="A341" s="10"/>
      <c r="B341" s="10"/>
      <c r="C341" s="22"/>
      <c r="D341" s="22"/>
      <c r="E341" s="22"/>
      <c r="F341" s="22"/>
      <c r="G341" s="22"/>
      <c r="H341" s="22"/>
      <c r="I341" s="22"/>
      <c r="J341" s="22"/>
      <c r="K341" s="88"/>
      <c r="L341" s="22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ht="15.75" customHeight="1">
      <c r="A342" s="10"/>
      <c r="B342" s="10"/>
      <c r="C342" s="22"/>
      <c r="D342" s="22"/>
      <c r="E342" s="22"/>
      <c r="F342" s="22"/>
      <c r="G342" s="22"/>
      <c r="H342" s="22"/>
      <c r="I342" s="22"/>
      <c r="J342" s="22"/>
      <c r="K342" s="88"/>
      <c r="L342" s="22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ht="15.75" customHeight="1">
      <c r="A343" s="10"/>
      <c r="B343" s="10"/>
      <c r="C343" s="22"/>
      <c r="D343" s="22"/>
      <c r="E343" s="22"/>
      <c r="F343" s="22"/>
      <c r="G343" s="22"/>
      <c r="H343" s="22"/>
      <c r="I343" s="22"/>
      <c r="J343" s="22"/>
      <c r="K343" s="88"/>
      <c r="L343" s="22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ht="15.75" customHeight="1">
      <c r="A344" s="10"/>
      <c r="B344" s="10"/>
      <c r="C344" s="22"/>
      <c r="D344" s="22"/>
      <c r="E344" s="22"/>
      <c r="F344" s="22"/>
      <c r="G344" s="22"/>
      <c r="H344" s="22"/>
      <c r="I344" s="22"/>
      <c r="J344" s="22"/>
      <c r="K344" s="88"/>
      <c r="L344" s="22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ht="15.75" customHeight="1">
      <c r="A345" s="10"/>
      <c r="B345" s="10"/>
      <c r="C345" s="22"/>
      <c r="D345" s="22"/>
      <c r="E345" s="22"/>
      <c r="F345" s="22"/>
      <c r="G345" s="22"/>
      <c r="H345" s="22"/>
      <c r="I345" s="22"/>
      <c r="J345" s="22"/>
      <c r="K345" s="88"/>
      <c r="L345" s="22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ht="15.75" customHeight="1">
      <c r="A346" s="10"/>
      <c r="B346" s="10"/>
      <c r="C346" s="22"/>
      <c r="D346" s="22"/>
      <c r="E346" s="22"/>
      <c r="F346" s="22"/>
      <c r="G346" s="22"/>
      <c r="H346" s="22"/>
      <c r="I346" s="22"/>
      <c r="J346" s="22"/>
      <c r="K346" s="88"/>
      <c r="L346" s="22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ht="15.75" customHeight="1">
      <c r="A347" s="10"/>
      <c r="B347" s="10"/>
      <c r="C347" s="22"/>
      <c r="D347" s="22"/>
      <c r="E347" s="22"/>
      <c r="F347" s="22"/>
      <c r="G347" s="22"/>
      <c r="H347" s="22"/>
      <c r="I347" s="22"/>
      <c r="J347" s="22"/>
      <c r="K347" s="88"/>
      <c r="L347" s="22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ht="15.75" customHeight="1">
      <c r="A348" s="10"/>
      <c r="B348" s="10"/>
      <c r="C348" s="22"/>
      <c r="D348" s="22"/>
      <c r="E348" s="22"/>
      <c r="F348" s="22"/>
      <c r="G348" s="22"/>
      <c r="H348" s="22"/>
      <c r="I348" s="22"/>
      <c r="J348" s="22"/>
      <c r="K348" s="88"/>
      <c r="L348" s="22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ht="15.75" customHeight="1">
      <c r="A349" s="10"/>
      <c r="B349" s="10"/>
      <c r="C349" s="22"/>
      <c r="D349" s="22"/>
      <c r="E349" s="22"/>
      <c r="F349" s="22"/>
      <c r="G349" s="22"/>
      <c r="H349" s="22"/>
      <c r="I349" s="22"/>
      <c r="J349" s="22"/>
      <c r="K349" s="88"/>
      <c r="L349" s="22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ht="15.75" customHeight="1">
      <c r="A350" s="10"/>
      <c r="B350" s="10"/>
      <c r="C350" s="22"/>
      <c r="D350" s="22"/>
      <c r="E350" s="22"/>
      <c r="F350" s="22"/>
      <c r="G350" s="22"/>
      <c r="H350" s="22"/>
      <c r="I350" s="22"/>
      <c r="J350" s="22"/>
      <c r="K350" s="88"/>
      <c r="L350" s="22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ht="15.75" customHeight="1">
      <c r="A351" s="10"/>
      <c r="B351" s="10"/>
      <c r="C351" s="22"/>
      <c r="D351" s="22"/>
      <c r="E351" s="22"/>
      <c r="F351" s="22"/>
      <c r="G351" s="22"/>
      <c r="H351" s="22"/>
      <c r="I351" s="22"/>
      <c r="J351" s="22"/>
      <c r="K351" s="88"/>
      <c r="L351" s="22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ht="15.75" customHeight="1">
      <c r="A352" s="10"/>
      <c r="B352" s="10"/>
      <c r="C352" s="22"/>
      <c r="D352" s="22"/>
      <c r="E352" s="22"/>
      <c r="F352" s="22"/>
      <c r="G352" s="22"/>
      <c r="H352" s="22"/>
      <c r="I352" s="22"/>
      <c r="J352" s="22"/>
      <c r="K352" s="88"/>
      <c r="L352" s="22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ht="15.75" customHeight="1">
      <c r="A353" s="10"/>
      <c r="B353" s="10"/>
      <c r="C353" s="22"/>
      <c r="D353" s="22"/>
      <c r="E353" s="22"/>
      <c r="F353" s="22"/>
      <c r="G353" s="22"/>
      <c r="H353" s="22"/>
      <c r="I353" s="22"/>
      <c r="J353" s="22"/>
      <c r="K353" s="88"/>
      <c r="L353" s="22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ht="15.75" customHeight="1">
      <c r="A354" s="10"/>
      <c r="B354" s="10"/>
      <c r="C354" s="22"/>
      <c r="D354" s="22"/>
      <c r="E354" s="22"/>
      <c r="F354" s="22"/>
      <c r="G354" s="22"/>
      <c r="H354" s="22"/>
      <c r="I354" s="22"/>
      <c r="J354" s="22"/>
      <c r="K354" s="88"/>
      <c r="L354" s="22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ht="15.75" customHeight="1">
      <c r="A355" s="10"/>
      <c r="B355" s="10"/>
      <c r="C355" s="22"/>
      <c r="D355" s="22"/>
      <c r="E355" s="22"/>
      <c r="F355" s="22"/>
      <c r="G355" s="22"/>
      <c r="H355" s="22"/>
      <c r="I355" s="22"/>
      <c r="J355" s="22"/>
      <c r="K355" s="88"/>
      <c r="L355" s="22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ht="15.75" customHeight="1">
      <c r="A356" s="10"/>
      <c r="B356" s="10"/>
      <c r="C356" s="22"/>
      <c r="D356" s="22"/>
      <c r="E356" s="22"/>
      <c r="F356" s="22"/>
      <c r="G356" s="22"/>
      <c r="H356" s="22"/>
      <c r="I356" s="22"/>
      <c r="J356" s="22"/>
      <c r="K356" s="88"/>
      <c r="L356" s="22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ht="15.75" customHeight="1">
      <c r="A357" s="10"/>
      <c r="B357" s="10"/>
      <c r="C357" s="22"/>
      <c r="D357" s="22"/>
      <c r="E357" s="22"/>
      <c r="F357" s="22"/>
      <c r="G357" s="22"/>
      <c r="H357" s="22"/>
      <c r="I357" s="22"/>
      <c r="J357" s="22"/>
      <c r="K357" s="88"/>
      <c r="L357" s="22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ht="15.75" customHeight="1">
      <c r="A358" s="10"/>
      <c r="B358" s="10"/>
      <c r="C358" s="22"/>
      <c r="D358" s="22"/>
      <c r="E358" s="22"/>
      <c r="F358" s="22"/>
      <c r="G358" s="22"/>
      <c r="H358" s="22"/>
      <c r="I358" s="22"/>
      <c r="J358" s="22"/>
      <c r="K358" s="88"/>
      <c r="L358" s="22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ht="15.75" customHeight="1">
      <c r="A359" s="10"/>
      <c r="B359" s="10"/>
      <c r="C359" s="22"/>
      <c r="D359" s="22"/>
      <c r="E359" s="22"/>
      <c r="F359" s="22"/>
      <c r="G359" s="22"/>
      <c r="H359" s="22"/>
      <c r="I359" s="22"/>
      <c r="J359" s="22"/>
      <c r="K359" s="88"/>
      <c r="L359" s="22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ht="15.75" customHeight="1">
      <c r="A360" s="10"/>
      <c r="B360" s="10"/>
      <c r="C360" s="22"/>
      <c r="D360" s="22"/>
      <c r="E360" s="22"/>
      <c r="F360" s="22"/>
      <c r="G360" s="22"/>
      <c r="H360" s="22"/>
      <c r="I360" s="22"/>
      <c r="J360" s="22"/>
      <c r="K360" s="88"/>
      <c r="L360" s="22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ht="15.75" customHeight="1">
      <c r="A361" s="10"/>
      <c r="B361" s="10"/>
      <c r="C361" s="22"/>
      <c r="D361" s="22"/>
      <c r="E361" s="22"/>
      <c r="F361" s="22"/>
      <c r="G361" s="22"/>
      <c r="H361" s="22"/>
      <c r="I361" s="22"/>
      <c r="J361" s="22"/>
      <c r="K361" s="88"/>
      <c r="L361" s="22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ht="15.75" customHeight="1">
      <c r="A362" s="10"/>
      <c r="B362" s="10"/>
      <c r="C362" s="22"/>
      <c r="D362" s="22"/>
      <c r="E362" s="22"/>
      <c r="F362" s="22"/>
      <c r="G362" s="22"/>
      <c r="H362" s="22"/>
      <c r="I362" s="22"/>
      <c r="J362" s="22"/>
      <c r="K362" s="88"/>
      <c r="L362" s="22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t="15.75" customHeight="1">
      <c r="A363" s="10"/>
      <c r="B363" s="10"/>
      <c r="C363" s="22"/>
      <c r="D363" s="22"/>
      <c r="E363" s="22"/>
      <c r="F363" s="22"/>
      <c r="G363" s="22"/>
      <c r="H363" s="22"/>
      <c r="I363" s="22"/>
      <c r="J363" s="22"/>
      <c r="K363" s="88"/>
      <c r="L363" s="22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ht="15.75" customHeight="1">
      <c r="A364" s="10"/>
      <c r="B364" s="10"/>
      <c r="C364" s="22"/>
      <c r="D364" s="22"/>
      <c r="E364" s="22"/>
      <c r="F364" s="22"/>
      <c r="G364" s="22"/>
      <c r="H364" s="22"/>
      <c r="I364" s="22"/>
      <c r="J364" s="22"/>
      <c r="K364" s="88"/>
      <c r="L364" s="22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ht="15.75" customHeight="1">
      <c r="A365" s="10"/>
      <c r="B365" s="10"/>
      <c r="C365" s="22"/>
      <c r="D365" s="22"/>
      <c r="E365" s="22"/>
      <c r="F365" s="22"/>
      <c r="G365" s="22"/>
      <c r="H365" s="22"/>
      <c r="I365" s="22"/>
      <c r="J365" s="22"/>
      <c r="K365" s="88"/>
      <c r="L365" s="22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ht="15.75" customHeight="1">
      <c r="A366" s="10"/>
      <c r="B366" s="10"/>
      <c r="C366" s="22"/>
      <c r="D366" s="22"/>
      <c r="E366" s="22"/>
      <c r="F366" s="22"/>
      <c r="G366" s="22"/>
      <c r="H366" s="22"/>
      <c r="I366" s="22"/>
      <c r="J366" s="22"/>
      <c r="K366" s="88"/>
      <c r="L366" s="22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ht="15.75" customHeight="1">
      <c r="A367" s="10"/>
      <c r="B367" s="10"/>
      <c r="C367" s="22"/>
      <c r="D367" s="22"/>
      <c r="E367" s="22"/>
      <c r="F367" s="22"/>
      <c r="G367" s="22"/>
      <c r="H367" s="22"/>
      <c r="I367" s="22"/>
      <c r="J367" s="22"/>
      <c r="K367" s="88"/>
      <c r="L367" s="22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ht="15.75" customHeight="1">
      <c r="A368" s="10"/>
      <c r="B368" s="10"/>
      <c r="C368" s="22"/>
      <c r="D368" s="22"/>
      <c r="E368" s="22"/>
      <c r="F368" s="22"/>
      <c r="G368" s="22"/>
      <c r="H368" s="22"/>
      <c r="I368" s="22"/>
      <c r="J368" s="22"/>
      <c r="K368" s="88"/>
      <c r="L368" s="22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ht="15.75" customHeight="1">
      <c r="A369" s="10"/>
      <c r="B369" s="10"/>
      <c r="C369" s="22"/>
      <c r="D369" s="22"/>
      <c r="E369" s="22"/>
      <c r="F369" s="22"/>
      <c r="G369" s="22"/>
      <c r="H369" s="22"/>
      <c r="I369" s="22"/>
      <c r="J369" s="22"/>
      <c r="K369" s="88"/>
      <c r="L369" s="22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ht="15.75" customHeight="1">
      <c r="A370" s="10"/>
      <c r="B370" s="10"/>
      <c r="C370" s="22"/>
      <c r="D370" s="22"/>
      <c r="E370" s="22"/>
      <c r="F370" s="22"/>
      <c r="G370" s="22"/>
      <c r="H370" s="22"/>
      <c r="I370" s="22"/>
      <c r="J370" s="22"/>
      <c r="K370" s="88"/>
      <c r="L370" s="22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ht="15.75" customHeight="1">
      <c r="A371" s="10"/>
      <c r="B371" s="10"/>
      <c r="C371" s="22"/>
      <c r="D371" s="22"/>
      <c r="E371" s="22"/>
      <c r="F371" s="22"/>
      <c r="G371" s="22"/>
      <c r="H371" s="22"/>
      <c r="I371" s="22"/>
      <c r="J371" s="22"/>
      <c r="K371" s="88"/>
      <c r="L371" s="22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ht="15.75" customHeight="1">
      <c r="A372" s="10"/>
      <c r="B372" s="10"/>
      <c r="C372" s="22"/>
      <c r="D372" s="22"/>
      <c r="E372" s="22"/>
      <c r="F372" s="22"/>
      <c r="G372" s="22"/>
      <c r="H372" s="22"/>
      <c r="I372" s="22"/>
      <c r="J372" s="22"/>
      <c r="K372" s="88"/>
      <c r="L372" s="22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ht="15.75" customHeight="1">
      <c r="A373" s="10"/>
      <c r="B373" s="10"/>
      <c r="C373" s="22"/>
      <c r="D373" s="22"/>
      <c r="E373" s="22"/>
      <c r="F373" s="22"/>
      <c r="G373" s="22"/>
      <c r="H373" s="22"/>
      <c r="I373" s="22"/>
      <c r="J373" s="22"/>
      <c r="K373" s="88"/>
      <c r="L373" s="22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ht="15.75" customHeight="1">
      <c r="A374" s="10"/>
      <c r="B374" s="10"/>
      <c r="C374" s="22"/>
      <c r="D374" s="22"/>
      <c r="E374" s="22"/>
      <c r="F374" s="22"/>
      <c r="G374" s="22"/>
      <c r="H374" s="22"/>
      <c r="I374" s="22"/>
      <c r="J374" s="22"/>
      <c r="K374" s="88"/>
      <c r="L374" s="22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ht="15.75" customHeight="1">
      <c r="A375" s="10"/>
      <c r="B375" s="10"/>
      <c r="C375" s="22"/>
      <c r="D375" s="22"/>
      <c r="E375" s="22"/>
      <c r="F375" s="22"/>
      <c r="G375" s="22"/>
      <c r="H375" s="22"/>
      <c r="I375" s="22"/>
      <c r="J375" s="22"/>
      <c r="K375" s="88"/>
      <c r="L375" s="22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ht="15.75" customHeight="1">
      <c r="A376" s="10"/>
      <c r="B376" s="10"/>
      <c r="C376" s="22"/>
      <c r="D376" s="22"/>
      <c r="E376" s="22"/>
      <c r="F376" s="22"/>
      <c r="G376" s="22"/>
      <c r="H376" s="22"/>
      <c r="I376" s="22"/>
      <c r="J376" s="22"/>
      <c r="K376" s="88"/>
      <c r="L376" s="22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ht="15.75" customHeight="1">
      <c r="A377" s="10"/>
      <c r="B377" s="10"/>
      <c r="C377" s="22"/>
      <c r="D377" s="22"/>
      <c r="E377" s="22"/>
      <c r="F377" s="22"/>
      <c r="G377" s="22"/>
      <c r="H377" s="22"/>
      <c r="I377" s="22"/>
      <c r="J377" s="22"/>
      <c r="K377" s="88"/>
      <c r="L377" s="22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ht="15.75" customHeight="1">
      <c r="A378" s="10"/>
      <c r="B378" s="10"/>
      <c r="C378" s="22"/>
      <c r="D378" s="22"/>
      <c r="E378" s="22"/>
      <c r="F378" s="22"/>
      <c r="G378" s="22"/>
      <c r="H378" s="22"/>
      <c r="I378" s="22"/>
      <c r="J378" s="22"/>
      <c r="K378" s="88"/>
      <c r="L378" s="22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ht="15.75" customHeight="1">
      <c r="A379" s="10"/>
      <c r="B379" s="10"/>
      <c r="C379" s="22"/>
      <c r="D379" s="22"/>
      <c r="E379" s="22"/>
      <c r="F379" s="22"/>
      <c r="G379" s="22"/>
      <c r="H379" s="22"/>
      <c r="I379" s="22"/>
      <c r="J379" s="22"/>
      <c r="K379" s="88"/>
      <c r="L379" s="22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ht="15.75" customHeight="1">
      <c r="A380" s="10"/>
      <c r="B380" s="10"/>
      <c r="C380" s="22"/>
      <c r="D380" s="22"/>
      <c r="E380" s="22"/>
      <c r="F380" s="22"/>
      <c r="G380" s="22"/>
      <c r="H380" s="22"/>
      <c r="I380" s="22"/>
      <c r="J380" s="22"/>
      <c r="K380" s="88"/>
      <c r="L380" s="22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ht="15.75" customHeight="1">
      <c r="A381" s="10"/>
      <c r="B381" s="10"/>
      <c r="C381" s="22"/>
      <c r="D381" s="22"/>
      <c r="E381" s="22"/>
      <c r="F381" s="22"/>
      <c r="G381" s="22"/>
      <c r="H381" s="22"/>
      <c r="I381" s="22"/>
      <c r="J381" s="22"/>
      <c r="K381" s="88"/>
      <c r="L381" s="22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ht="15.75" customHeight="1">
      <c r="A382" s="10"/>
      <c r="B382" s="10"/>
      <c r="C382" s="22"/>
      <c r="D382" s="22"/>
      <c r="E382" s="22"/>
      <c r="F382" s="22"/>
      <c r="G382" s="22"/>
      <c r="H382" s="22"/>
      <c r="I382" s="22"/>
      <c r="J382" s="22"/>
      <c r="K382" s="88"/>
      <c r="L382" s="22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ht="15.75" customHeight="1">
      <c r="A383" s="10"/>
      <c r="B383" s="10"/>
      <c r="C383" s="22"/>
      <c r="D383" s="22"/>
      <c r="E383" s="22"/>
      <c r="F383" s="22"/>
      <c r="G383" s="22"/>
      <c r="H383" s="22"/>
      <c r="I383" s="22"/>
      <c r="J383" s="22"/>
      <c r="K383" s="88"/>
      <c r="L383" s="22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t="15.75" customHeight="1">
      <c r="A384" s="10"/>
      <c r="B384" s="10"/>
      <c r="C384" s="22"/>
      <c r="D384" s="22"/>
      <c r="E384" s="22"/>
      <c r="F384" s="22"/>
      <c r="G384" s="22"/>
      <c r="H384" s="22"/>
      <c r="I384" s="22"/>
      <c r="J384" s="22"/>
      <c r="K384" s="88"/>
      <c r="L384" s="22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ht="15.75" customHeight="1">
      <c r="A385" s="10"/>
      <c r="B385" s="10"/>
      <c r="C385" s="22"/>
      <c r="D385" s="22"/>
      <c r="E385" s="22"/>
      <c r="F385" s="22"/>
      <c r="G385" s="22"/>
      <c r="H385" s="22"/>
      <c r="I385" s="22"/>
      <c r="J385" s="22"/>
      <c r="K385" s="88"/>
      <c r="L385" s="22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ht="15.75" customHeight="1">
      <c r="A386" s="10"/>
      <c r="B386" s="10"/>
      <c r="C386" s="22"/>
      <c r="D386" s="22"/>
      <c r="E386" s="22"/>
      <c r="F386" s="22"/>
      <c r="G386" s="22"/>
      <c r="H386" s="22"/>
      <c r="I386" s="22"/>
      <c r="J386" s="22"/>
      <c r="K386" s="88"/>
      <c r="L386" s="22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ht="15.75" customHeight="1">
      <c r="A387" s="10"/>
      <c r="B387" s="10"/>
      <c r="C387" s="22"/>
      <c r="D387" s="22"/>
      <c r="E387" s="22"/>
      <c r="F387" s="22"/>
      <c r="G387" s="22"/>
      <c r="H387" s="22"/>
      <c r="I387" s="22"/>
      <c r="J387" s="22"/>
      <c r="K387" s="88"/>
      <c r="L387" s="22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ht="15.75" customHeight="1">
      <c r="A388" s="10"/>
      <c r="B388" s="10"/>
      <c r="C388" s="22"/>
      <c r="D388" s="22"/>
      <c r="E388" s="22"/>
      <c r="F388" s="22"/>
      <c r="G388" s="22"/>
      <c r="H388" s="22"/>
      <c r="I388" s="22"/>
      <c r="J388" s="22"/>
      <c r="K388" s="88"/>
      <c r="L388" s="22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ht="15.75" customHeight="1">
      <c r="A389" s="10"/>
      <c r="B389" s="10"/>
      <c r="C389" s="22"/>
      <c r="D389" s="22"/>
      <c r="E389" s="22"/>
      <c r="F389" s="22"/>
      <c r="G389" s="22"/>
      <c r="H389" s="22"/>
      <c r="I389" s="22"/>
      <c r="J389" s="22"/>
      <c r="K389" s="88"/>
      <c r="L389" s="22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ht="15.75" customHeight="1">
      <c r="A390" s="10"/>
      <c r="B390" s="10"/>
      <c r="C390" s="22"/>
      <c r="D390" s="22"/>
      <c r="E390" s="22"/>
      <c r="F390" s="22"/>
      <c r="G390" s="22"/>
      <c r="H390" s="22"/>
      <c r="I390" s="22"/>
      <c r="J390" s="22"/>
      <c r="K390" s="88"/>
      <c r="L390" s="22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ht="15.75" customHeight="1">
      <c r="A391" s="10"/>
      <c r="B391" s="10"/>
      <c r="C391" s="22"/>
      <c r="D391" s="22"/>
      <c r="E391" s="22"/>
      <c r="F391" s="22"/>
      <c r="G391" s="22"/>
      <c r="H391" s="22"/>
      <c r="I391" s="22"/>
      <c r="J391" s="22"/>
      <c r="K391" s="88"/>
      <c r="L391" s="22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ht="15.75" customHeight="1">
      <c r="A392" s="10"/>
      <c r="B392" s="10"/>
      <c r="C392" s="22"/>
      <c r="D392" s="22"/>
      <c r="E392" s="22"/>
      <c r="F392" s="22"/>
      <c r="G392" s="22"/>
      <c r="H392" s="22"/>
      <c r="I392" s="22"/>
      <c r="J392" s="22"/>
      <c r="K392" s="88"/>
      <c r="L392" s="22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ht="15.75" customHeight="1">
      <c r="A393" s="10"/>
      <c r="B393" s="10"/>
      <c r="C393" s="22"/>
      <c r="D393" s="22"/>
      <c r="E393" s="22"/>
      <c r="F393" s="22"/>
      <c r="G393" s="22"/>
      <c r="H393" s="22"/>
      <c r="I393" s="22"/>
      <c r="J393" s="22"/>
      <c r="K393" s="88"/>
      <c r="L393" s="22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ht="15.75" customHeight="1">
      <c r="A394" s="10"/>
      <c r="B394" s="10"/>
      <c r="C394" s="22"/>
      <c r="D394" s="22"/>
      <c r="E394" s="22"/>
      <c r="F394" s="22"/>
      <c r="G394" s="22"/>
      <c r="H394" s="22"/>
      <c r="I394" s="22"/>
      <c r="J394" s="22"/>
      <c r="K394" s="88"/>
      <c r="L394" s="22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ht="15.75" customHeight="1">
      <c r="A395" s="10"/>
      <c r="B395" s="10"/>
      <c r="C395" s="22"/>
      <c r="D395" s="22"/>
      <c r="E395" s="22"/>
      <c r="F395" s="22"/>
      <c r="G395" s="22"/>
      <c r="H395" s="22"/>
      <c r="I395" s="22"/>
      <c r="J395" s="22"/>
      <c r="K395" s="88"/>
      <c r="L395" s="22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ht="15.75" customHeight="1">
      <c r="A396" s="10"/>
      <c r="B396" s="10"/>
      <c r="C396" s="22"/>
      <c r="D396" s="22"/>
      <c r="E396" s="22"/>
      <c r="F396" s="22"/>
      <c r="G396" s="22"/>
      <c r="H396" s="22"/>
      <c r="I396" s="22"/>
      <c r="J396" s="22"/>
      <c r="K396" s="88"/>
      <c r="L396" s="22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ht="15.75" customHeight="1">
      <c r="A397" s="10"/>
      <c r="B397" s="10"/>
      <c r="C397" s="22"/>
      <c r="D397" s="22"/>
      <c r="E397" s="22"/>
      <c r="F397" s="22"/>
      <c r="G397" s="22"/>
      <c r="H397" s="22"/>
      <c r="I397" s="22"/>
      <c r="J397" s="22"/>
      <c r="K397" s="88"/>
      <c r="L397" s="22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ht="15.75" customHeight="1">
      <c r="A398" s="10"/>
      <c r="B398" s="10"/>
      <c r="C398" s="22"/>
      <c r="D398" s="22"/>
      <c r="E398" s="22"/>
      <c r="F398" s="22"/>
      <c r="G398" s="22"/>
      <c r="H398" s="22"/>
      <c r="I398" s="22"/>
      <c r="J398" s="22"/>
      <c r="K398" s="88"/>
      <c r="L398" s="22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ht="15.75" customHeight="1">
      <c r="A399" s="10"/>
      <c r="B399" s="10"/>
      <c r="C399" s="22"/>
      <c r="D399" s="22"/>
      <c r="E399" s="22"/>
      <c r="F399" s="22"/>
      <c r="G399" s="22"/>
      <c r="H399" s="22"/>
      <c r="I399" s="22"/>
      <c r="J399" s="22"/>
      <c r="K399" s="88"/>
      <c r="L399" s="22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ht="15.75" customHeight="1">
      <c r="A400" s="10"/>
      <c r="B400" s="10"/>
      <c r="C400" s="22"/>
      <c r="D400" s="22"/>
      <c r="E400" s="22"/>
      <c r="F400" s="22"/>
      <c r="G400" s="26" t="s">
        <v>20</v>
      </c>
      <c r="H400" s="76" t="s">
        <v>276</v>
      </c>
      <c r="I400" s="22"/>
      <c r="J400" s="22"/>
      <c r="K400" s="88"/>
      <c r="L400" s="22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</sheetData>
  <mergeCells count="13">
    <mergeCell ref="P50:Q50"/>
    <mergeCell ref="P51:Q51"/>
    <mergeCell ref="P52:Q52"/>
    <mergeCell ref="P53:Q53"/>
    <mergeCell ref="P54:Q54"/>
    <mergeCell ref="P55:Q55"/>
    <mergeCell ref="P26:S26"/>
    <mergeCell ref="P32:S32"/>
    <mergeCell ref="P39:S39"/>
    <mergeCell ref="P46:S46"/>
    <mergeCell ref="P47:Q47"/>
    <mergeCell ref="P48:Q48"/>
    <mergeCell ref="P49:Q49"/>
  </mergeCells>
  <printOptions/>
  <pageMargins bottom="0.75" footer="0.0" header="0.0" left="0.7" right="0.7" top="0.75"/>
  <pageSetup fitToHeight="0"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10.71"/>
    <col customWidth="1" min="3" max="3" width="8.0"/>
    <col customWidth="1" min="4" max="4" width="16.57"/>
    <col customWidth="1" min="5" max="5" width="6.71"/>
    <col customWidth="1" min="6" max="6" width="60.43"/>
    <col customWidth="1" min="7" max="7" width="17.71"/>
    <col customWidth="1" min="8" max="10" width="11.43"/>
    <col customWidth="1" min="11" max="11" width="19.29"/>
    <col customWidth="1" min="12" max="13" width="8.86"/>
    <col customWidth="1" min="14" max="14" width="18.29"/>
    <col customWidth="1" min="15" max="15" width="19.57"/>
    <col customWidth="1" min="16" max="19" width="10.71"/>
    <col customWidth="1" min="20" max="20" width="4.43"/>
    <col customWidth="1" min="21" max="21" width="59.86"/>
    <col customWidth="1" min="22" max="34" width="10.71"/>
  </cols>
  <sheetData>
    <row r="1">
      <c r="A1" s="155"/>
      <c r="B1" s="155"/>
      <c r="C1" s="155"/>
      <c r="D1" s="156" t="s">
        <v>277</v>
      </c>
      <c r="E1" s="157" t="s">
        <v>278</v>
      </c>
      <c r="F1" s="158"/>
      <c r="G1" s="158"/>
      <c r="H1" s="158"/>
      <c r="I1" s="158"/>
      <c r="J1" s="158"/>
      <c r="K1" s="159"/>
      <c r="L1" s="155"/>
      <c r="M1" s="160" t="s">
        <v>277</v>
      </c>
      <c r="N1" s="160" t="s">
        <v>279</v>
      </c>
      <c r="O1" s="155"/>
      <c r="P1" s="155"/>
      <c r="Q1" s="155"/>
      <c r="R1" s="155"/>
      <c r="U1" s="155"/>
      <c r="V1" s="161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</row>
    <row r="2">
      <c r="A2" s="155" t="s">
        <v>280</v>
      </c>
      <c r="B2" s="155" t="s">
        <v>281</v>
      </c>
      <c r="C2" s="155"/>
      <c r="D2" s="162" t="s">
        <v>282</v>
      </c>
      <c r="E2" s="155"/>
      <c r="F2" s="163" t="s">
        <v>283</v>
      </c>
      <c r="G2" s="164" t="s">
        <v>284</v>
      </c>
      <c r="H2" s="164" t="s">
        <v>285</v>
      </c>
      <c r="I2" s="164" t="s">
        <v>286</v>
      </c>
      <c r="J2" s="165" t="s">
        <v>287</v>
      </c>
      <c r="K2" s="166" t="s">
        <v>288</v>
      </c>
      <c r="L2" s="155"/>
      <c r="M2" s="167"/>
      <c r="N2" s="160"/>
      <c r="O2" s="155"/>
      <c r="P2" s="155"/>
      <c r="Q2" s="155"/>
      <c r="R2" s="155"/>
      <c r="U2" s="155"/>
      <c r="V2" s="161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</row>
    <row r="3">
      <c r="A3" s="162" t="s">
        <v>282</v>
      </c>
      <c r="B3" s="162"/>
      <c r="C3" s="155"/>
      <c r="D3" s="162" t="s">
        <v>282</v>
      </c>
      <c r="E3" s="155"/>
      <c r="F3" s="168" t="s">
        <v>289</v>
      </c>
      <c r="G3" s="169">
        <v>0.134</v>
      </c>
      <c r="H3" s="170">
        <f t="shared" ref="H3:H6" si="1">I3/G3</f>
        <v>0.6</v>
      </c>
      <c r="I3" s="171">
        <f t="shared" ref="I3:I4" si="2">G3*0.6</f>
        <v>0.0804</v>
      </c>
      <c r="J3" s="171">
        <f t="shared" ref="J3:J4" si="3">(G3+I3)</f>
        <v>0.2144</v>
      </c>
      <c r="K3" s="172">
        <f t="shared" ref="K3:K6" si="4">J3*1.22</f>
        <v>0.261568</v>
      </c>
      <c r="L3" s="155" t="s">
        <v>290</v>
      </c>
      <c r="M3" s="167">
        <f t="shared" ref="M3:M9" si="5">K3*1.1</f>
        <v>0.2877248</v>
      </c>
      <c r="N3" s="160">
        <f t="shared" ref="N3:N9" si="6">M3*1.22</f>
        <v>0.351024256</v>
      </c>
      <c r="O3" s="155"/>
      <c r="P3" s="155"/>
      <c r="Q3" s="155"/>
      <c r="R3" s="155"/>
      <c r="T3" s="155"/>
      <c r="U3" s="155"/>
      <c r="V3" s="161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</row>
    <row r="4">
      <c r="A4" s="155"/>
      <c r="B4" s="155"/>
      <c r="C4" s="155"/>
      <c r="D4" s="162" t="s">
        <v>282</v>
      </c>
      <c r="E4" s="155"/>
      <c r="F4" s="168" t="s">
        <v>291</v>
      </c>
      <c r="G4" s="173">
        <v>0.22</v>
      </c>
      <c r="H4" s="170">
        <f t="shared" si="1"/>
        <v>0.6</v>
      </c>
      <c r="I4" s="171">
        <f t="shared" si="2"/>
        <v>0.132</v>
      </c>
      <c r="J4" s="171">
        <f t="shared" si="3"/>
        <v>0.352</v>
      </c>
      <c r="K4" s="172">
        <f t="shared" si="4"/>
        <v>0.42944</v>
      </c>
      <c r="L4" s="155" t="s">
        <v>290</v>
      </c>
      <c r="M4" s="167">
        <f t="shared" si="5"/>
        <v>0.472384</v>
      </c>
      <c r="N4" s="160">
        <f t="shared" si="6"/>
        <v>0.57630848</v>
      </c>
      <c r="O4" s="155"/>
      <c r="P4" s="155"/>
      <c r="Q4" s="155"/>
      <c r="R4" s="155"/>
      <c r="T4" s="155"/>
      <c r="U4" s="155"/>
      <c r="V4" s="161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</row>
    <row r="5">
      <c r="A5" s="155"/>
      <c r="B5" s="155"/>
      <c r="C5" s="155"/>
      <c r="D5" s="162" t="s">
        <v>282</v>
      </c>
      <c r="E5" s="155"/>
      <c r="F5" s="174" t="s">
        <v>292</v>
      </c>
      <c r="G5" s="175" t="str">
        <f>10.791/#REF!</f>
        <v>#REF!</v>
      </c>
      <c r="H5" s="170" t="str">
        <f t="shared" si="1"/>
        <v>#REF!</v>
      </c>
      <c r="I5" s="175" t="str">
        <f t="shared" ref="I5:I6" si="7">J5-G5</f>
        <v>#REF!</v>
      </c>
      <c r="J5" s="175">
        <v>0.8</v>
      </c>
      <c r="K5" s="176">
        <f t="shared" si="4"/>
        <v>0.976</v>
      </c>
      <c r="L5" s="155"/>
      <c r="M5" s="167">
        <f t="shared" si="5"/>
        <v>1.0736</v>
      </c>
      <c r="N5" s="160">
        <f t="shared" si="6"/>
        <v>1.309792</v>
      </c>
      <c r="O5" s="155"/>
      <c r="P5" s="155"/>
      <c r="Q5" s="155"/>
      <c r="R5" s="155"/>
      <c r="T5" s="155"/>
      <c r="U5" s="155"/>
      <c r="V5" s="161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</row>
    <row r="6">
      <c r="A6" s="155"/>
      <c r="B6" s="155"/>
      <c r="C6" s="155"/>
      <c r="D6" s="162" t="s">
        <v>282</v>
      </c>
      <c r="E6" s="155"/>
      <c r="F6" s="174" t="s">
        <v>293</v>
      </c>
      <c r="G6" s="175" t="str">
        <f>10.487/#REF!</f>
        <v>#REF!</v>
      </c>
      <c r="H6" s="170" t="str">
        <f t="shared" si="1"/>
        <v>#REF!</v>
      </c>
      <c r="I6" s="175" t="str">
        <f t="shared" si="7"/>
        <v>#REF!</v>
      </c>
      <c r="J6" s="175">
        <v>0.8</v>
      </c>
      <c r="K6" s="176">
        <f t="shared" si="4"/>
        <v>0.976</v>
      </c>
      <c r="L6" s="155"/>
      <c r="M6" s="167">
        <f t="shared" si="5"/>
        <v>1.0736</v>
      </c>
      <c r="N6" s="160">
        <f t="shared" si="6"/>
        <v>1.309792</v>
      </c>
      <c r="O6" s="155"/>
      <c r="P6" s="155"/>
      <c r="Q6" s="155"/>
      <c r="R6" s="155"/>
      <c r="T6" s="155"/>
      <c r="U6" s="155"/>
      <c r="V6" s="161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</row>
    <row r="7">
      <c r="D7" s="162" t="s">
        <v>282</v>
      </c>
      <c r="E7" s="155"/>
      <c r="M7" s="167">
        <f t="shared" si="5"/>
        <v>0</v>
      </c>
      <c r="N7" s="160">
        <f t="shared" si="6"/>
        <v>0</v>
      </c>
    </row>
    <row r="8" ht="21.75" customHeight="1">
      <c r="A8" s="155"/>
      <c r="B8" s="155"/>
      <c r="C8" s="155"/>
      <c r="D8" s="162" t="s">
        <v>282</v>
      </c>
      <c r="E8" s="155"/>
      <c r="F8" s="177" t="s">
        <v>294</v>
      </c>
      <c r="G8" s="178"/>
      <c r="H8" s="178"/>
      <c r="I8" s="178"/>
      <c r="J8" s="178"/>
      <c r="K8" s="179"/>
      <c r="L8" s="155"/>
      <c r="M8" s="167">
        <f t="shared" si="5"/>
        <v>0</v>
      </c>
      <c r="N8" s="160">
        <f t="shared" si="6"/>
        <v>0</v>
      </c>
      <c r="O8" s="155"/>
      <c r="P8" s="155"/>
      <c r="Q8" s="155"/>
      <c r="R8" s="155"/>
      <c r="S8" s="155"/>
      <c r="T8" s="155"/>
      <c r="U8" s="180" t="s">
        <v>295</v>
      </c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</row>
    <row r="9" ht="15.75" customHeight="1">
      <c r="A9" s="155"/>
      <c r="B9" s="155"/>
      <c r="C9" s="155"/>
      <c r="D9" s="162" t="s">
        <v>282</v>
      </c>
      <c r="E9" s="155"/>
      <c r="F9" s="181" t="s">
        <v>296</v>
      </c>
      <c r="G9" s="182"/>
      <c r="H9" s="182"/>
      <c r="I9" s="182"/>
      <c r="J9" s="182"/>
      <c r="K9" s="183"/>
      <c r="L9" s="155"/>
      <c r="M9" s="167">
        <f t="shared" si="5"/>
        <v>0</v>
      </c>
      <c r="N9" s="160">
        <f t="shared" si="6"/>
        <v>0</v>
      </c>
      <c r="O9" s="155"/>
      <c r="P9" s="155"/>
      <c r="Q9" s="155"/>
      <c r="R9" s="155" t="s">
        <v>297</v>
      </c>
      <c r="S9" s="184" t="s">
        <v>298</v>
      </c>
      <c r="T9" s="155"/>
      <c r="U9" s="155"/>
      <c r="V9" s="161" t="s">
        <v>299</v>
      </c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</row>
    <row r="10" ht="15.75" customHeight="1">
      <c r="A10" s="155"/>
      <c r="B10" s="155"/>
      <c r="C10" s="155"/>
      <c r="D10" s="162" t="s">
        <v>282</v>
      </c>
      <c r="E10" s="155"/>
      <c r="F10" s="163" t="s">
        <v>283</v>
      </c>
      <c r="G10" s="164" t="s">
        <v>284</v>
      </c>
      <c r="H10" s="164" t="s">
        <v>285</v>
      </c>
      <c r="I10" s="164" t="s">
        <v>286</v>
      </c>
      <c r="J10" s="165" t="s">
        <v>287</v>
      </c>
      <c r="K10" s="166" t="s">
        <v>288</v>
      </c>
      <c r="L10" s="155"/>
      <c r="M10" s="155"/>
      <c r="N10" s="155"/>
      <c r="O10" s="166" t="s">
        <v>300</v>
      </c>
      <c r="P10" s="155" t="str">
        <f>G10*1.15</f>
        <v>#VALUE!</v>
      </c>
      <c r="Q10" s="155"/>
      <c r="R10" s="155"/>
      <c r="S10" s="184" t="s">
        <v>301</v>
      </c>
      <c r="T10" s="155"/>
      <c r="U10" s="155"/>
      <c r="V10" s="185" t="s">
        <v>302</v>
      </c>
      <c r="W10" s="186" t="s">
        <v>303</v>
      </c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</row>
    <row r="11" ht="15.75" customHeight="1">
      <c r="A11" s="155"/>
      <c r="B11" s="155"/>
      <c r="C11" s="155"/>
      <c r="D11" s="162" t="s">
        <v>282</v>
      </c>
      <c r="E11" s="155"/>
      <c r="F11" s="187" t="s">
        <v>304</v>
      </c>
      <c r="G11" s="188">
        <v>0.12</v>
      </c>
      <c r="H11" s="189">
        <f t="shared" ref="H11:H66" si="8">I11/G11</f>
        <v>2.333333333</v>
      </c>
      <c r="I11" s="188">
        <f t="shared" ref="I11:I66" si="9">J11-G11</f>
        <v>0.28</v>
      </c>
      <c r="J11" s="188">
        <v>0.4</v>
      </c>
      <c r="K11" s="190">
        <f t="shared" ref="K11:K66" si="10">J11*1.22</f>
        <v>0.488</v>
      </c>
      <c r="L11" s="155"/>
      <c r="M11" s="167">
        <f t="shared" ref="M11:M66" si="11">K11*1.1</f>
        <v>0.5368</v>
      </c>
      <c r="N11" s="160">
        <f t="shared" ref="N11:N66" si="12">M11*1.22</f>
        <v>0.654896</v>
      </c>
      <c r="O11" s="191"/>
      <c r="P11" s="155"/>
      <c r="Q11" s="155"/>
      <c r="R11" s="155"/>
      <c r="S11" s="184"/>
      <c r="T11" s="155"/>
      <c r="U11" s="192" t="str">
        <f t="shared" ref="U11:U66" si="13">F11</f>
        <v>Tornelo CHAPATEJA</v>
      </c>
      <c r="V11" s="193"/>
      <c r="W11" s="194">
        <f t="shared" ref="W11:W69" si="14">G11*V11</f>
        <v>0</v>
      </c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</row>
    <row r="12" ht="15.75" customHeight="1">
      <c r="A12" s="155"/>
      <c r="B12" s="155"/>
      <c r="C12" s="155"/>
      <c r="D12" s="162" t="s">
        <v>282</v>
      </c>
      <c r="E12" s="155"/>
      <c r="F12" s="195" t="s">
        <v>305</v>
      </c>
      <c r="G12" s="169">
        <v>0.038</v>
      </c>
      <c r="H12" s="196">
        <f t="shared" si="8"/>
        <v>1.631578947</v>
      </c>
      <c r="I12" s="169">
        <f t="shared" si="9"/>
        <v>0.062</v>
      </c>
      <c r="J12" s="169">
        <v>0.1</v>
      </c>
      <c r="K12" s="190">
        <f t="shared" si="10"/>
        <v>0.122</v>
      </c>
      <c r="L12" s="155" t="s">
        <v>290</v>
      </c>
      <c r="M12" s="167">
        <f t="shared" si="11"/>
        <v>0.1342</v>
      </c>
      <c r="N12" s="160">
        <f t="shared" si="12"/>
        <v>0.163724</v>
      </c>
      <c r="O12" s="191">
        <f t="shared" ref="O12:O27" si="15">K12*1.14</f>
        <v>0.13908</v>
      </c>
      <c r="P12" s="155">
        <f t="shared" ref="P12:P21" si="16">G12*1.15</f>
        <v>0.0437</v>
      </c>
      <c r="Q12" s="155"/>
      <c r="R12" s="155">
        <f>G12*0.3</f>
        <v>0.0114</v>
      </c>
      <c r="S12" s="184">
        <f>G12+R12</f>
        <v>0.0494</v>
      </c>
      <c r="T12" s="155"/>
      <c r="U12" s="187" t="str">
        <f t="shared" si="13"/>
        <v>Tornllo Cabeza Hexagonal - Punta Mecha 12 x 1"</v>
      </c>
      <c r="V12" s="197"/>
      <c r="W12" s="198">
        <f t="shared" si="14"/>
        <v>0</v>
      </c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</row>
    <row r="13" ht="15.75" customHeight="1">
      <c r="A13" s="155"/>
      <c r="B13" s="155"/>
      <c r="C13" s="155"/>
      <c r="D13" s="162" t="s">
        <v>282</v>
      </c>
      <c r="E13" s="155"/>
      <c r="F13" s="187" t="s">
        <v>306</v>
      </c>
      <c r="G13" s="188">
        <v>0.015</v>
      </c>
      <c r="H13" s="189">
        <f t="shared" si="8"/>
        <v>39</v>
      </c>
      <c r="I13" s="188">
        <f t="shared" si="9"/>
        <v>0.585</v>
      </c>
      <c r="J13" s="188">
        <v>0.6</v>
      </c>
      <c r="K13" s="190">
        <f t="shared" si="10"/>
        <v>0.732</v>
      </c>
      <c r="L13" s="155" t="s">
        <v>290</v>
      </c>
      <c r="M13" s="167">
        <f t="shared" si="11"/>
        <v>0.8052</v>
      </c>
      <c r="N13" s="160">
        <f t="shared" si="12"/>
        <v>0.982344</v>
      </c>
      <c r="O13" s="191">
        <f t="shared" si="15"/>
        <v>0.83448</v>
      </c>
      <c r="P13" s="155">
        <f t="shared" si="16"/>
        <v>0.01725</v>
      </c>
      <c r="Q13" s="155"/>
      <c r="R13" s="155"/>
      <c r="S13" s="184"/>
      <c r="T13" s="155"/>
      <c r="U13" s="192" t="str">
        <f t="shared" si="13"/>
        <v>Arandela Vulcanizada</v>
      </c>
      <c r="V13" s="193"/>
      <c r="W13" s="194">
        <f t="shared" si="14"/>
        <v>0</v>
      </c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</row>
    <row r="14" ht="15.75" customHeight="1">
      <c r="A14" s="155"/>
      <c r="B14" s="155"/>
      <c r="C14" s="155"/>
      <c r="D14" s="162" t="s">
        <v>307</v>
      </c>
      <c r="E14" s="155"/>
      <c r="F14" s="199" t="s">
        <v>308</v>
      </c>
      <c r="G14" s="188">
        <v>0.94</v>
      </c>
      <c r="H14" s="189">
        <f t="shared" si="8"/>
        <v>1.127659574</v>
      </c>
      <c r="I14" s="188">
        <f t="shared" si="9"/>
        <v>1.06</v>
      </c>
      <c r="J14" s="188">
        <v>2.0</v>
      </c>
      <c r="K14" s="190">
        <f t="shared" si="10"/>
        <v>2.44</v>
      </c>
      <c r="L14" s="155" t="s">
        <v>290</v>
      </c>
      <c r="M14" s="167">
        <f t="shared" si="11"/>
        <v>2.684</v>
      </c>
      <c r="N14" s="160">
        <f t="shared" si="12"/>
        <v>3.27448</v>
      </c>
      <c r="O14" s="191">
        <f t="shared" si="15"/>
        <v>2.7816</v>
      </c>
      <c r="P14" s="155">
        <f t="shared" si="16"/>
        <v>1.081</v>
      </c>
      <c r="Q14" s="155"/>
      <c r="R14" s="155">
        <f t="shared" ref="R14:R21" si="17">G14*0.3</f>
        <v>0.282</v>
      </c>
      <c r="S14" s="184">
        <f t="shared" ref="S14:S21" si="18">G14+R14</f>
        <v>1.222</v>
      </c>
      <c r="T14" s="155"/>
      <c r="U14" s="187" t="str">
        <f t="shared" si="13"/>
        <v>Varilla Roscada 5/16</v>
      </c>
      <c r="V14" s="193">
        <v>0.0</v>
      </c>
      <c r="W14" s="198">
        <f t="shared" si="14"/>
        <v>0</v>
      </c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</row>
    <row r="15" ht="15.75" customHeight="1">
      <c r="A15" s="155"/>
      <c r="B15" s="155"/>
      <c r="C15" s="155"/>
      <c r="D15" s="162" t="s">
        <v>282</v>
      </c>
      <c r="E15" s="155"/>
      <c r="F15" s="199" t="s">
        <v>309</v>
      </c>
      <c r="G15" s="188">
        <v>0.024</v>
      </c>
      <c r="H15" s="189">
        <f t="shared" si="8"/>
        <v>4</v>
      </c>
      <c r="I15" s="188">
        <f t="shared" si="9"/>
        <v>0.096</v>
      </c>
      <c r="J15" s="188">
        <v>0.12</v>
      </c>
      <c r="K15" s="190">
        <f t="shared" si="10"/>
        <v>0.1464</v>
      </c>
      <c r="L15" s="155" t="s">
        <v>290</v>
      </c>
      <c r="M15" s="167">
        <f t="shared" si="11"/>
        <v>0.16104</v>
      </c>
      <c r="N15" s="160">
        <f t="shared" si="12"/>
        <v>0.1964688</v>
      </c>
      <c r="O15" s="191">
        <f t="shared" si="15"/>
        <v>0.166896</v>
      </c>
      <c r="P15" s="155">
        <f t="shared" si="16"/>
        <v>0.0276</v>
      </c>
      <c r="Q15" s="155"/>
      <c r="R15" s="155">
        <f t="shared" si="17"/>
        <v>0.0072</v>
      </c>
      <c r="S15" s="184">
        <f t="shared" si="18"/>
        <v>0.0312</v>
      </c>
      <c r="T15" s="155"/>
      <c r="U15" s="187" t="str">
        <f t="shared" si="13"/>
        <v>Tuerca Hexagonal Galv. 5/16</v>
      </c>
      <c r="V15" s="193">
        <v>0.0</v>
      </c>
      <c r="W15" s="198">
        <f t="shared" si="14"/>
        <v>0</v>
      </c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</row>
    <row r="16" ht="15.75" customHeight="1">
      <c r="A16" s="155"/>
      <c r="B16" s="155"/>
      <c r="C16" s="155"/>
      <c r="D16" s="162" t="s">
        <v>282</v>
      </c>
      <c r="E16" s="155"/>
      <c r="F16" s="200" t="s">
        <v>310</v>
      </c>
      <c r="G16" s="169">
        <v>0.29</v>
      </c>
      <c r="H16" s="196">
        <f t="shared" si="8"/>
        <v>5.896551724</v>
      </c>
      <c r="I16" s="169">
        <f t="shared" si="9"/>
        <v>1.71</v>
      </c>
      <c r="J16" s="169">
        <v>2.0</v>
      </c>
      <c r="K16" s="190">
        <f t="shared" si="10"/>
        <v>2.44</v>
      </c>
      <c r="L16" s="155" t="s">
        <v>290</v>
      </c>
      <c r="M16" s="167">
        <f t="shared" si="11"/>
        <v>2.684</v>
      </c>
      <c r="N16" s="160">
        <f t="shared" si="12"/>
        <v>3.27448</v>
      </c>
      <c r="O16" s="191">
        <f t="shared" si="15"/>
        <v>2.7816</v>
      </c>
      <c r="P16" s="155">
        <f t="shared" si="16"/>
        <v>0.3335</v>
      </c>
      <c r="Q16" s="155"/>
      <c r="R16" s="155">
        <f t="shared" si="17"/>
        <v>0.087</v>
      </c>
      <c r="S16" s="184">
        <f t="shared" si="18"/>
        <v>0.377</v>
      </c>
      <c r="T16" s="155"/>
      <c r="U16" s="187" t="str">
        <f t="shared" si="13"/>
        <v>Arandela Carrocero</v>
      </c>
      <c r="V16" s="193"/>
      <c r="W16" s="198">
        <f t="shared" si="14"/>
        <v>0</v>
      </c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</row>
    <row r="17" ht="15.75" customHeight="1">
      <c r="A17" s="155"/>
      <c r="B17" s="155"/>
      <c r="C17" s="201" t="s">
        <v>311</v>
      </c>
      <c r="D17" s="162" t="s">
        <v>282</v>
      </c>
      <c r="E17" s="155"/>
      <c r="F17" s="202" t="s">
        <v>312</v>
      </c>
      <c r="G17" s="203">
        <v>0.2149</v>
      </c>
      <c r="H17" s="204">
        <f t="shared" si="8"/>
        <v>8.306654258</v>
      </c>
      <c r="I17" s="203">
        <f t="shared" si="9"/>
        <v>1.7851</v>
      </c>
      <c r="J17" s="203">
        <v>2.0</v>
      </c>
      <c r="K17" s="190">
        <f t="shared" si="10"/>
        <v>2.44</v>
      </c>
      <c r="L17" s="155" t="s">
        <v>290</v>
      </c>
      <c r="M17" s="167">
        <f t="shared" si="11"/>
        <v>2.684</v>
      </c>
      <c r="N17" s="160">
        <f t="shared" si="12"/>
        <v>3.27448</v>
      </c>
      <c r="O17" s="191">
        <f t="shared" si="15"/>
        <v>2.7816</v>
      </c>
      <c r="P17" s="155">
        <f t="shared" si="16"/>
        <v>0.247135</v>
      </c>
      <c r="Q17" s="155"/>
      <c r="R17" s="155">
        <f t="shared" si="17"/>
        <v>0.06447</v>
      </c>
      <c r="S17" s="184">
        <f t="shared" si="18"/>
        <v>0.27937</v>
      </c>
      <c r="T17" s="155"/>
      <c r="U17" s="205" t="str">
        <f t="shared" si="13"/>
        <v>Arandela Carrocero - Mvdeo Industrial</v>
      </c>
      <c r="V17" s="206">
        <v>70.0</v>
      </c>
      <c r="W17" s="198">
        <f t="shared" si="14"/>
        <v>15.043</v>
      </c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</row>
    <row r="18" ht="15.75" customHeight="1">
      <c r="A18" s="155" t="s">
        <v>313</v>
      </c>
      <c r="B18" s="155"/>
      <c r="C18" s="155"/>
      <c r="D18" s="162" t="s">
        <v>282</v>
      </c>
      <c r="E18" s="155"/>
      <c r="F18" s="199" t="s">
        <v>263</v>
      </c>
      <c r="G18" s="188">
        <v>0.031</v>
      </c>
      <c r="H18" s="189">
        <f t="shared" si="8"/>
        <v>6.741935484</v>
      </c>
      <c r="I18" s="188">
        <f t="shared" si="9"/>
        <v>0.209</v>
      </c>
      <c r="J18" s="188">
        <v>0.24</v>
      </c>
      <c r="K18" s="190">
        <f t="shared" si="10"/>
        <v>0.2928</v>
      </c>
      <c r="L18" s="155" t="s">
        <v>290</v>
      </c>
      <c r="M18" s="167">
        <f t="shared" si="11"/>
        <v>0.32208</v>
      </c>
      <c r="N18" s="160">
        <f t="shared" si="12"/>
        <v>0.3929376</v>
      </c>
      <c r="O18" s="191">
        <f t="shared" si="15"/>
        <v>0.333792</v>
      </c>
      <c r="P18" s="155">
        <f t="shared" si="16"/>
        <v>0.03565</v>
      </c>
      <c r="Q18" s="155"/>
      <c r="R18" s="155">
        <f t="shared" si="17"/>
        <v>0.0093</v>
      </c>
      <c r="S18" s="184">
        <f t="shared" si="18"/>
        <v>0.0403</v>
      </c>
      <c r="T18" s="155"/>
      <c r="U18" s="205" t="str">
        <f t="shared" si="13"/>
        <v>Arandela Plana Hierro Galv. 3/8</v>
      </c>
      <c r="V18" s="193">
        <v>0.0</v>
      </c>
      <c r="W18" s="198">
        <f t="shared" si="14"/>
        <v>0</v>
      </c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</row>
    <row r="19" ht="15.75" customHeight="1">
      <c r="A19" s="155" t="s">
        <v>313</v>
      </c>
      <c r="B19" s="155" t="s">
        <v>314</v>
      </c>
      <c r="C19" s="155"/>
      <c r="D19" s="162" t="s">
        <v>282</v>
      </c>
      <c r="E19" s="155"/>
      <c r="F19" s="200" t="s">
        <v>315</v>
      </c>
      <c r="G19" s="207">
        <v>0.6</v>
      </c>
      <c r="H19" s="196">
        <f t="shared" si="8"/>
        <v>1.666666667</v>
      </c>
      <c r="I19" s="169">
        <f t="shared" si="9"/>
        <v>1</v>
      </c>
      <c r="J19" s="169">
        <v>1.6</v>
      </c>
      <c r="K19" s="190">
        <f t="shared" si="10"/>
        <v>1.952</v>
      </c>
      <c r="L19" s="155" t="s">
        <v>290</v>
      </c>
      <c r="M19" s="167">
        <f t="shared" si="11"/>
        <v>2.1472</v>
      </c>
      <c r="N19" s="160">
        <f t="shared" si="12"/>
        <v>2.619584</v>
      </c>
      <c r="O19" s="191">
        <f t="shared" si="15"/>
        <v>2.22528</v>
      </c>
      <c r="P19" s="155">
        <f t="shared" si="16"/>
        <v>0.69</v>
      </c>
      <c r="Q19" s="155"/>
      <c r="R19" s="155">
        <f t="shared" si="17"/>
        <v>0.18</v>
      </c>
      <c r="S19" s="184">
        <f t="shared" si="18"/>
        <v>0.78</v>
      </c>
      <c r="T19" s="155"/>
      <c r="U19" s="205" t="str">
        <f t="shared" si="13"/>
        <v>Tortuga Plastica PVC - Blanca</v>
      </c>
      <c r="V19" s="193">
        <v>70.0</v>
      </c>
      <c r="W19" s="198">
        <f t="shared" si="14"/>
        <v>42</v>
      </c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</row>
    <row r="20" ht="15.75" customHeight="1">
      <c r="A20" s="155" t="s">
        <v>313</v>
      </c>
      <c r="B20" s="155" t="s">
        <v>316</v>
      </c>
      <c r="C20" s="155"/>
      <c r="D20" s="162" t="s">
        <v>282</v>
      </c>
      <c r="E20" s="155"/>
      <c r="F20" s="200" t="s">
        <v>317</v>
      </c>
      <c r="G20" s="169">
        <v>0.011</v>
      </c>
      <c r="H20" s="196">
        <f t="shared" si="8"/>
        <v>4.454545455</v>
      </c>
      <c r="I20" s="169">
        <f t="shared" si="9"/>
        <v>0.049</v>
      </c>
      <c r="J20" s="169">
        <v>0.06</v>
      </c>
      <c r="K20" s="190">
        <f t="shared" si="10"/>
        <v>0.0732</v>
      </c>
      <c r="L20" s="155" t="s">
        <v>290</v>
      </c>
      <c r="M20" s="167">
        <f t="shared" si="11"/>
        <v>0.08052</v>
      </c>
      <c r="N20" s="160">
        <f t="shared" si="12"/>
        <v>0.0982344</v>
      </c>
      <c r="O20" s="191">
        <f t="shared" si="15"/>
        <v>0.083448</v>
      </c>
      <c r="P20" s="155">
        <f t="shared" si="16"/>
        <v>0.01265</v>
      </c>
      <c r="Q20" s="155"/>
      <c r="R20" s="155">
        <f t="shared" si="17"/>
        <v>0.0033</v>
      </c>
      <c r="S20" s="184">
        <f t="shared" si="18"/>
        <v>0.0143</v>
      </c>
      <c r="T20" s="155"/>
      <c r="U20" s="205" t="str">
        <f t="shared" si="13"/>
        <v>Tornllo T1 - Punta Mecha 8x1/2</v>
      </c>
      <c r="V20" s="193">
        <v>0.0</v>
      </c>
      <c r="W20" s="198">
        <f t="shared" si="14"/>
        <v>0</v>
      </c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</row>
    <row r="21" ht="15.75" customHeight="1">
      <c r="A21" s="208"/>
      <c r="B21" s="208"/>
      <c r="C21" s="208" t="s">
        <v>318</v>
      </c>
      <c r="D21" s="162" t="s">
        <v>282</v>
      </c>
      <c r="E21" s="155"/>
      <c r="F21" s="200" t="s">
        <v>319</v>
      </c>
      <c r="G21" s="169">
        <v>0.22</v>
      </c>
      <c r="H21" s="196">
        <f t="shared" si="8"/>
        <v>0.3</v>
      </c>
      <c r="I21" s="169">
        <f t="shared" si="9"/>
        <v>0.066</v>
      </c>
      <c r="J21" s="169">
        <v>0.286</v>
      </c>
      <c r="K21" s="190">
        <f t="shared" si="10"/>
        <v>0.34892</v>
      </c>
      <c r="L21" s="155" t="s">
        <v>290</v>
      </c>
      <c r="M21" s="167">
        <f t="shared" si="11"/>
        <v>0.383812</v>
      </c>
      <c r="N21" s="160">
        <f t="shared" si="12"/>
        <v>0.46825064</v>
      </c>
      <c r="O21" s="191">
        <f t="shared" si="15"/>
        <v>0.3977688</v>
      </c>
      <c r="P21" s="155">
        <f t="shared" si="16"/>
        <v>0.253</v>
      </c>
      <c r="Q21" s="155"/>
      <c r="R21" s="155">
        <f t="shared" si="17"/>
        <v>0.066</v>
      </c>
      <c r="S21" s="184">
        <f t="shared" si="18"/>
        <v>0.286</v>
      </c>
      <c r="T21" s="155"/>
      <c r="U21" s="187" t="str">
        <f t="shared" si="13"/>
        <v>Taco Expansivo Metalico Galv. 5/16</v>
      </c>
      <c r="V21" s="193">
        <v>0.0</v>
      </c>
      <c r="W21" s="198">
        <f t="shared" si="14"/>
        <v>0</v>
      </c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</row>
    <row r="22" ht="15.75" customHeight="1">
      <c r="A22" s="155" t="s">
        <v>313</v>
      </c>
      <c r="B22" s="155"/>
      <c r="C22" s="155"/>
      <c r="D22" s="162" t="s">
        <v>282</v>
      </c>
      <c r="E22" s="155"/>
      <c r="F22" s="187" t="s">
        <v>320</v>
      </c>
      <c r="G22" s="188">
        <v>0.264</v>
      </c>
      <c r="H22" s="189">
        <f t="shared" si="8"/>
        <v>1.2</v>
      </c>
      <c r="I22" s="188">
        <f t="shared" si="9"/>
        <v>0.3168</v>
      </c>
      <c r="J22" s="188">
        <f t="shared" ref="J22:J23" si="19">G22*2.2</f>
        <v>0.5808</v>
      </c>
      <c r="K22" s="190">
        <f t="shared" si="10"/>
        <v>0.708576</v>
      </c>
      <c r="L22" s="155" t="s">
        <v>290</v>
      </c>
      <c r="M22" s="167">
        <f t="shared" si="11"/>
        <v>0.7794336</v>
      </c>
      <c r="N22" s="160">
        <f t="shared" si="12"/>
        <v>0.950908992</v>
      </c>
      <c r="O22" s="191">
        <f t="shared" si="15"/>
        <v>0.80777664</v>
      </c>
      <c r="P22" s="155"/>
      <c r="Q22" s="155"/>
      <c r="R22" s="155"/>
      <c r="S22" s="184"/>
      <c r="T22" s="155"/>
      <c r="U22" s="187" t="str">
        <f t="shared" si="13"/>
        <v>Tornillo T2 p/aguja 3,5x25</v>
      </c>
      <c r="V22" s="193"/>
      <c r="W22" s="198">
        <f t="shared" si="14"/>
        <v>0</v>
      </c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</row>
    <row r="23" ht="15.75" customHeight="1">
      <c r="A23" s="155" t="s">
        <v>313</v>
      </c>
      <c r="B23" s="155"/>
      <c r="C23" s="155"/>
      <c r="D23" s="162" t="s">
        <v>282</v>
      </c>
      <c r="E23" s="155"/>
      <c r="F23" s="187" t="s">
        <v>321</v>
      </c>
      <c r="G23" s="188">
        <v>0.38</v>
      </c>
      <c r="H23" s="189">
        <f t="shared" si="8"/>
        <v>1.2</v>
      </c>
      <c r="I23" s="188">
        <f t="shared" si="9"/>
        <v>0.456</v>
      </c>
      <c r="J23" s="188">
        <f t="shared" si="19"/>
        <v>0.836</v>
      </c>
      <c r="K23" s="190">
        <f t="shared" si="10"/>
        <v>1.01992</v>
      </c>
      <c r="L23" s="155" t="s">
        <v>290</v>
      </c>
      <c r="M23" s="167">
        <f t="shared" si="11"/>
        <v>1.121912</v>
      </c>
      <c r="N23" s="160">
        <f t="shared" si="12"/>
        <v>1.36873264</v>
      </c>
      <c r="O23" s="191">
        <f t="shared" si="15"/>
        <v>1.1627088</v>
      </c>
      <c r="P23" s="155"/>
      <c r="Q23" s="155"/>
      <c r="R23" s="155"/>
      <c r="S23" s="184"/>
      <c r="T23" s="155"/>
      <c r="U23" s="187" t="str">
        <f t="shared" si="13"/>
        <v>Torninllo T3 p/aguja 3,5x38</v>
      </c>
      <c r="V23" s="193"/>
      <c r="W23" s="198">
        <f t="shared" si="14"/>
        <v>0</v>
      </c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</row>
    <row r="24" ht="15.75" customHeight="1">
      <c r="A24" s="155"/>
      <c r="B24" s="155"/>
      <c r="C24" s="208" t="s">
        <v>322</v>
      </c>
      <c r="D24" s="162" t="s">
        <v>282</v>
      </c>
      <c r="E24" s="155"/>
      <c r="F24" s="187" t="s">
        <v>323</v>
      </c>
      <c r="G24" s="188">
        <v>16.18</v>
      </c>
      <c r="H24" s="189">
        <f t="shared" si="8"/>
        <v>0.5618046972</v>
      </c>
      <c r="I24" s="188">
        <f t="shared" si="9"/>
        <v>9.09</v>
      </c>
      <c r="J24" s="188">
        <v>25.27</v>
      </c>
      <c r="K24" s="190">
        <f t="shared" si="10"/>
        <v>30.8294</v>
      </c>
      <c r="L24" s="155" t="s">
        <v>290</v>
      </c>
      <c r="M24" s="167">
        <f t="shared" si="11"/>
        <v>33.91234</v>
      </c>
      <c r="N24" s="160">
        <f t="shared" si="12"/>
        <v>41.3730548</v>
      </c>
      <c r="O24" s="191">
        <f t="shared" si="15"/>
        <v>35.145516</v>
      </c>
      <c r="P24" s="155">
        <f t="shared" ref="P24:P27" si="20">G24*1.15</f>
        <v>18.607</v>
      </c>
      <c r="Q24" s="155"/>
      <c r="R24" s="155">
        <f t="shared" ref="R24:R27" si="21">G24*0.3</f>
        <v>4.854</v>
      </c>
      <c r="S24" s="184">
        <f t="shared" ref="S24:S27" si="22">G24+R24</f>
        <v>21.034</v>
      </c>
      <c r="T24" s="155"/>
      <c r="U24" s="187" t="str">
        <f t="shared" si="13"/>
        <v>Rollo Membrana Autoadhesiva (20 cm x 10 m)</v>
      </c>
      <c r="V24" s="193"/>
      <c r="W24" s="198">
        <f t="shared" si="14"/>
        <v>0</v>
      </c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</row>
    <row r="25" ht="15.75" customHeight="1">
      <c r="A25" s="155" t="s">
        <v>313</v>
      </c>
      <c r="B25" s="155"/>
      <c r="C25" s="208" t="s">
        <v>322</v>
      </c>
      <c r="D25" s="162" t="s">
        <v>282</v>
      </c>
      <c r="E25" s="155"/>
      <c r="F25" s="187" t="s">
        <v>324</v>
      </c>
      <c r="G25" s="188">
        <v>24.46</v>
      </c>
      <c r="H25" s="189">
        <f t="shared" si="8"/>
        <v>0.4799672935</v>
      </c>
      <c r="I25" s="188">
        <f t="shared" si="9"/>
        <v>11.74</v>
      </c>
      <c r="J25" s="188">
        <v>36.2</v>
      </c>
      <c r="K25" s="190">
        <f t="shared" si="10"/>
        <v>44.164</v>
      </c>
      <c r="L25" s="155" t="s">
        <v>290</v>
      </c>
      <c r="M25" s="167">
        <f t="shared" si="11"/>
        <v>48.5804</v>
      </c>
      <c r="N25" s="160">
        <f t="shared" si="12"/>
        <v>59.268088</v>
      </c>
      <c r="O25" s="191">
        <f t="shared" si="15"/>
        <v>50.34696</v>
      </c>
      <c r="P25" s="155">
        <f t="shared" si="20"/>
        <v>28.129</v>
      </c>
      <c r="Q25" s="155"/>
      <c r="R25" s="155">
        <f t="shared" si="21"/>
        <v>7.338</v>
      </c>
      <c r="S25" s="184">
        <f t="shared" si="22"/>
        <v>31.798</v>
      </c>
      <c r="T25" s="155"/>
      <c r="U25" s="187" t="str">
        <f t="shared" si="13"/>
        <v>Rollo Membrana Autoadhesiva (30 cm x 10 m)</v>
      </c>
      <c r="V25" s="193"/>
      <c r="W25" s="198">
        <f t="shared" si="14"/>
        <v>0</v>
      </c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</row>
    <row r="26" ht="15.75" customHeight="1">
      <c r="A26" s="155" t="s">
        <v>313</v>
      </c>
      <c r="B26" s="155"/>
      <c r="C26" s="208" t="s">
        <v>325</v>
      </c>
      <c r="D26" s="162" t="s">
        <v>282</v>
      </c>
      <c r="E26" s="155"/>
      <c r="F26" s="199" t="s">
        <v>326</v>
      </c>
      <c r="G26" s="188">
        <v>24.1</v>
      </c>
      <c r="H26" s="189">
        <f t="shared" si="8"/>
        <v>0.5020746888</v>
      </c>
      <c r="I26" s="188">
        <f t="shared" si="9"/>
        <v>12.1</v>
      </c>
      <c r="J26" s="188">
        <v>36.2</v>
      </c>
      <c r="K26" s="190">
        <f t="shared" si="10"/>
        <v>44.164</v>
      </c>
      <c r="L26" s="155" t="s">
        <v>290</v>
      </c>
      <c r="M26" s="167">
        <f t="shared" si="11"/>
        <v>48.5804</v>
      </c>
      <c r="N26" s="160">
        <f t="shared" si="12"/>
        <v>59.268088</v>
      </c>
      <c r="O26" s="191">
        <f t="shared" si="15"/>
        <v>50.34696</v>
      </c>
      <c r="P26" s="155">
        <f t="shared" si="20"/>
        <v>27.715</v>
      </c>
      <c r="Q26" s="155"/>
      <c r="R26" s="155">
        <f t="shared" si="21"/>
        <v>7.23</v>
      </c>
      <c r="S26" s="184">
        <f t="shared" si="22"/>
        <v>31.33</v>
      </c>
      <c r="T26" s="155"/>
      <c r="U26" s="187" t="str">
        <f t="shared" si="13"/>
        <v>Rollo Membrana Autoadhesiva (30 cm x 10 m) VIAPOL</v>
      </c>
      <c r="V26" s="193"/>
      <c r="W26" s="198">
        <f t="shared" si="14"/>
        <v>0</v>
      </c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</row>
    <row r="27" ht="15.75" customHeight="1">
      <c r="A27" s="155" t="s">
        <v>313</v>
      </c>
      <c r="B27" s="155"/>
      <c r="C27" s="209" t="s">
        <v>327</v>
      </c>
      <c r="D27" s="162" t="s">
        <v>282</v>
      </c>
      <c r="E27" s="155"/>
      <c r="F27" s="199" t="s">
        <v>264</v>
      </c>
      <c r="G27" s="188">
        <v>13.85</v>
      </c>
      <c r="H27" s="189">
        <f t="shared" si="8"/>
        <v>1.613718412</v>
      </c>
      <c r="I27" s="188">
        <f t="shared" si="9"/>
        <v>22.35</v>
      </c>
      <c r="J27" s="188">
        <v>36.2</v>
      </c>
      <c r="K27" s="190">
        <f t="shared" si="10"/>
        <v>44.164</v>
      </c>
      <c r="L27" s="155" t="s">
        <v>290</v>
      </c>
      <c r="M27" s="167">
        <f t="shared" si="11"/>
        <v>48.5804</v>
      </c>
      <c r="N27" s="160">
        <f t="shared" si="12"/>
        <v>59.268088</v>
      </c>
      <c r="O27" s="191">
        <f t="shared" si="15"/>
        <v>50.34696</v>
      </c>
      <c r="P27" s="155">
        <f t="shared" si="20"/>
        <v>15.9275</v>
      </c>
      <c r="Q27" s="155"/>
      <c r="R27" s="155">
        <f t="shared" si="21"/>
        <v>4.155</v>
      </c>
      <c r="S27" s="184">
        <f t="shared" si="22"/>
        <v>18.005</v>
      </c>
      <c r="T27" s="155"/>
      <c r="U27" s="210" t="str">
        <f t="shared" si="13"/>
        <v>Rollo Membrana Autoadhesiva (30 cm x 10 m) DENVERFITA</v>
      </c>
      <c r="V27" s="193">
        <v>0.0</v>
      </c>
      <c r="W27" s="198">
        <f t="shared" si="14"/>
        <v>0</v>
      </c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</row>
    <row r="28" ht="15.75" customHeight="1">
      <c r="A28" s="155"/>
      <c r="B28" s="155" t="s">
        <v>328</v>
      </c>
      <c r="C28" s="209" t="s">
        <v>327</v>
      </c>
      <c r="D28" s="162" t="s">
        <v>282</v>
      </c>
      <c r="E28" s="155"/>
      <c r="F28" s="211" t="s">
        <v>329</v>
      </c>
      <c r="G28" s="212">
        <v>2.17</v>
      </c>
      <c r="H28" s="196">
        <f t="shared" si="8"/>
        <v>2.34562212</v>
      </c>
      <c r="I28" s="169">
        <f t="shared" si="9"/>
        <v>5.09</v>
      </c>
      <c r="J28" s="169">
        <v>7.26</v>
      </c>
      <c r="K28" s="190">
        <f t="shared" si="10"/>
        <v>8.8572</v>
      </c>
      <c r="L28" s="155" t="s">
        <v>290</v>
      </c>
      <c r="M28" s="167">
        <f t="shared" si="11"/>
        <v>9.74292</v>
      </c>
      <c r="N28" s="160">
        <f t="shared" si="12"/>
        <v>11.8863624</v>
      </c>
      <c r="O28" s="155"/>
      <c r="P28" s="155"/>
      <c r="Q28" s="155"/>
      <c r="R28" s="155"/>
      <c r="S28" s="155"/>
      <c r="T28" s="155"/>
      <c r="U28" s="210" t="str">
        <f t="shared" si="13"/>
        <v>Silicona Neutra - RyC - 400 gr. BLANCA</v>
      </c>
      <c r="V28" s="193">
        <v>8.0</v>
      </c>
      <c r="W28" s="198">
        <f t="shared" si="14"/>
        <v>17.36</v>
      </c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</row>
    <row r="29" ht="15.75" customHeight="1">
      <c r="A29" s="155"/>
      <c r="B29" s="155" t="s">
        <v>328</v>
      </c>
      <c r="C29" s="209" t="s">
        <v>327</v>
      </c>
      <c r="D29" s="162" t="s">
        <v>282</v>
      </c>
      <c r="E29" s="155"/>
      <c r="F29" s="200" t="s">
        <v>330</v>
      </c>
      <c r="G29" s="212">
        <v>3.12</v>
      </c>
      <c r="H29" s="196">
        <f t="shared" si="8"/>
        <v>2.349358974</v>
      </c>
      <c r="I29" s="169">
        <f t="shared" si="9"/>
        <v>7.33</v>
      </c>
      <c r="J29" s="169">
        <v>10.45</v>
      </c>
      <c r="K29" s="190">
        <f t="shared" si="10"/>
        <v>12.749</v>
      </c>
      <c r="L29" s="155" t="s">
        <v>290</v>
      </c>
      <c r="M29" s="167">
        <f t="shared" si="11"/>
        <v>14.0239</v>
      </c>
      <c r="N29" s="160">
        <f t="shared" si="12"/>
        <v>17.109158</v>
      </c>
      <c r="O29" s="155"/>
      <c r="P29" s="155"/>
      <c r="Q29" s="155"/>
      <c r="R29" s="155"/>
      <c r="S29" s="155"/>
      <c r="T29" s="155"/>
      <c r="U29" s="210" t="str">
        <f t="shared" si="13"/>
        <v>Espuma de Pliuretano Expansiva - Silva Selantes - 750 ml</v>
      </c>
      <c r="V29" s="193">
        <v>3.0</v>
      </c>
      <c r="W29" s="198">
        <f t="shared" si="14"/>
        <v>9.36</v>
      </c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</row>
    <row r="30" ht="15.75" customHeight="1">
      <c r="A30" s="155"/>
      <c r="B30" s="155"/>
      <c r="C30" s="201" t="s">
        <v>311</v>
      </c>
      <c r="D30" s="162" t="s">
        <v>331</v>
      </c>
      <c r="E30" s="155"/>
      <c r="F30" s="213" t="s">
        <v>332</v>
      </c>
      <c r="G30" s="214">
        <v>1.98</v>
      </c>
      <c r="H30" s="204">
        <f t="shared" si="8"/>
        <v>2.590909091</v>
      </c>
      <c r="I30" s="203">
        <f t="shared" si="9"/>
        <v>5.13</v>
      </c>
      <c r="J30" s="203">
        <v>7.11</v>
      </c>
      <c r="K30" s="190">
        <f t="shared" si="10"/>
        <v>8.6742</v>
      </c>
      <c r="L30" s="155" t="s">
        <v>290</v>
      </c>
      <c r="M30" s="167">
        <f t="shared" si="11"/>
        <v>9.54162</v>
      </c>
      <c r="N30" s="160">
        <f t="shared" si="12"/>
        <v>11.6407764</v>
      </c>
      <c r="O30" s="155"/>
      <c r="P30" s="155"/>
      <c r="Q30" s="155"/>
      <c r="R30" s="155"/>
      <c r="S30" s="155"/>
      <c r="T30" s="155"/>
      <c r="U30" s="187" t="str">
        <f t="shared" si="13"/>
        <v>Silicona Neutra -  Adhera - 300 ml. BLANCA</v>
      </c>
      <c r="V30" s="193"/>
      <c r="W30" s="198">
        <f t="shared" si="14"/>
        <v>0</v>
      </c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</row>
    <row r="31" ht="15.75" customHeight="1">
      <c r="A31" s="155"/>
      <c r="B31" s="155"/>
      <c r="C31" s="208" t="s">
        <v>325</v>
      </c>
      <c r="D31" s="162" t="s">
        <v>282</v>
      </c>
      <c r="E31" s="155"/>
      <c r="F31" s="187" t="s">
        <v>333</v>
      </c>
      <c r="G31" s="187">
        <v>2.78</v>
      </c>
      <c r="H31" s="187">
        <f t="shared" si="8"/>
        <v>1.18705036</v>
      </c>
      <c r="I31" s="187">
        <f t="shared" si="9"/>
        <v>3.3</v>
      </c>
      <c r="J31" s="187">
        <v>6.08</v>
      </c>
      <c r="K31" s="215">
        <f t="shared" si="10"/>
        <v>7.4176</v>
      </c>
      <c r="L31" s="155" t="s">
        <v>290</v>
      </c>
      <c r="M31" s="167">
        <f t="shared" si="11"/>
        <v>8.15936</v>
      </c>
      <c r="N31" s="160">
        <f t="shared" si="12"/>
        <v>9.9544192</v>
      </c>
      <c r="O31" s="155"/>
      <c r="P31" s="155"/>
      <c r="Q31" s="155"/>
      <c r="R31" s="155"/>
      <c r="S31" s="155"/>
      <c r="T31" s="155"/>
      <c r="U31" s="187" t="str">
        <f t="shared" si="13"/>
        <v>Silicona Neutra - RyC - 280 gr. BLANCA</v>
      </c>
      <c r="V31" s="193"/>
      <c r="W31" s="198">
        <f t="shared" si="14"/>
        <v>0</v>
      </c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</row>
    <row r="32" ht="15.75" customHeight="1">
      <c r="A32" s="155"/>
      <c r="B32" s="155"/>
      <c r="C32" s="208" t="s">
        <v>325</v>
      </c>
      <c r="D32" s="162" t="s">
        <v>282</v>
      </c>
      <c r="E32" s="155"/>
      <c r="F32" s="187" t="s">
        <v>334</v>
      </c>
      <c r="G32" s="187">
        <v>2.78</v>
      </c>
      <c r="H32" s="187">
        <f t="shared" si="8"/>
        <v>1.18705036</v>
      </c>
      <c r="I32" s="187">
        <f t="shared" si="9"/>
        <v>3.3</v>
      </c>
      <c r="J32" s="187">
        <v>6.08</v>
      </c>
      <c r="K32" s="215">
        <f t="shared" si="10"/>
        <v>7.4176</v>
      </c>
      <c r="L32" s="155" t="s">
        <v>290</v>
      </c>
      <c r="M32" s="167">
        <f t="shared" si="11"/>
        <v>8.15936</v>
      </c>
      <c r="N32" s="160">
        <f t="shared" si="12"/>
        <v>9.9544192</v>
      </c>
      <c r="O32" s="155"/>
      <c r="P32" s="155"/>
      <c r="Q32" s="155"/>
      <c r="R32" s="155"/>
      <c r="S32" s="155"/>
      <c r="T32" s="155"/>
      <c r="U32" s="187" t="str">
        <f t="shared" si="13"/>
        <v>Silicona Neutra - UNIPEGA - 280 gr. BLANCA</v>
      </c>
      <c r="V32" s="193"/>
      <c r="W32" s="198">
        <f t="shared" si="14"/>
        <v>0</v>
      </c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</row>
    <row r="33" ht="15.75" customHeight="1">
      <c r="A33" s="155"/>
      <c r="B33" s="155"/>
      <c r="C33" s="208" t="s">
        <v>325</v>
      </c>
      <c r="D33" s="162" t="s">
        <v>282</v>
      </c>
      <c r="E33" s="155"/>
      <c r="F33" s="216" t="s">
        <v>335</v>
      </c>
      <c r="G33" s="217">
        <v>2.78</v>
      </c>
      <c r="H33" s="218">
        <f t="shared" si="8"/>
        <v>1.18705036</v>
      </c>
      <c r="I33" s="217">
        <f t="shared" si="9"/>
        <v>3.3</v>
      </c>
      <c r="J33" s="219">
        <v>6.08</v>
      </c>
      <c r="K33" s="215">
        <f t="shared" si="10"/>
        <v>7.4176</v>
      </c>
      <c r="L33" s="155" t="s">
        <v>290</v>
      </c>
      <c r="M33" s="167">
        <f t="shared" si="11"/>
        <v>8.15936</v>
      </c>
      <c r="N33" s="160">
        <f t="shared" si="12"/>
        <v>9.9544192</v>
      </c>
      <c r="O33" s="155"/>
      <c r="P33" s="155">
        <f>N38*1000</f>
        <v>196.4688</v>
      </c>
      <c r="Q33" s="155"/>
      <c r="R33" s="155"/>
      <c r="S33" s="155"/>
      <c r="T33" s="155"/>
      <c r="U33" s="187" t="str">
        <f t="shared" si="13"/>
        <v>Silicona Neutra - UNIPEGA - 280 gr. INCOLOR</v>
      </c>
      <c r="V33" s="193"/>
      <c r="W33" s="198">
        <f t="shared" si="14"/>
        <v>0</v>
      </c>
      <c r="X33" s="155"/>
      <c r="Y33" s="155"/>
      <c r="Z33" s="220"/>
      <c r="AA33" s="155"/>
      <c r="AB33" s="155"/>
      <c r="AC33" s="155"/>
      <c r="AD33" s="155"/>
      <c r="AE33" s="155"/>
      <c r="AF33" s="155"/>
      <c r="AG33" s="155"/>
      <c r="AH33" s="155"/>
    </row>
    <row r="34" ht="15.75" customHeight="1">
      <c r="A34" s="155"/>
      <c r="B34" s="155"/>
      <c r="C34" s="208" t="s">
        <v>325</v>
      </c>
      <c r="D34" s="162" t="s">
        <v>282</v>
      </c>
      <c r="E34" s="155"/>
      <c r="F34" s="216" t="s">
        <v>336</v>
      </c>
      <c r="G34" s="217">
        <v>4.38</v>
      </c>
      <c r="H34" s="218">
        <f t="shared" si="8"/>
        <v>0.6484018265</v>
      </c>
      <c r="I34" s="217">
        <f t="shared" si="9"/>
        <v>2.84</v>
      </c>
      <c r="J34" s="219">
        <v>7.22</v>
      </c>
      <c r="K34" s="215">
        <f t="shared" si="10"/>
        <v>8.8084</v>
      </c>
      <c r="L34" s="155" t="s">
        <v>290</v>
      </c>
      <c r="M34" s="167">
        <f t="shared" si="11"/>
        <v>9.68924</v>
      </c>
      <c r="N34" s="160">
        <f t="shared" si="12"/>
        <v>11.8208728</v>
      </c>
      <c r="O34" s="155"/>
      <c r="P34" s="155"/>
      <c r="Q34" s="155"/>
      <c r="R34" s="155"/>
      <c r="S34" s="155"/>
      <c r="T34" s="155"/>
      <c r="U34" s="187" t="str">
        <f t="shared" si="13"/>
        <v>Selladore PU 40 - 280 ml - UNIPEGA</v>
      </c>
      <c r="V34" s="193"/>
      <c r="W34" s="198">
        <f t="shared" si="14"/>
        <v>0</v>
      </c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</row>
    <row r="35" ht="15.75" customHeight="1">
      <c r="A35" s="155"/>
      <c r="B35" s="155"/>
      <c r="C35" s="155"/>
      <c r="D35" s="162" t="s">
        <v>282</v>
      </c>
      <c r="E35" s="155"/>
      <c r="F35" s="221" t="s">
        <v>337</v>
      </c>
      <c r="G35" s="222">
        <v>0.35</v>
      </c>
      <c r="H35" s="189">
        <f t="shared" si="8"/>
        <v>1</v>
      </c>
      <c r="I35" s="188">
        <f t="shared" si="9"/>
        <v>0.35</v>
      </c>
      <c r="J35" s="222">
        <v>0.7</v>
      </c>
      <c r="K35" s="190">
        <f t="shared" si="10"/>
        <v>0.854</v>
      </c>
      <c r="L35" s="155" t="s">
        <v>290</v>
      </c>
      <c r="M35" s="167">
        <f t="shared" si="11"/>
        <v>0.9394</v>
      </c>
      <c r="N35" s="160">
        <f t="shared" si="12"/>
        <v>1.146068</v>
      </c>
      <c r="O35" s="191"/>
      <c r="P35" s="155"/>
      <c r="Q35" s="155"/>
      <c r="R35" s="155"/>
      <c r="S35" s="184"/>
      <c r="T35" s="155"/>
      <c r="U35" s="187" t="str">
        <f t="shared" si="13"/>
        <v>Gancho Gal. P. TEcho con Tuerca -  1/4 x 15cm</v>
      </c>
      <c r="V35" s="193"/>
      <c r="W35" s="198">
        <f t="shared" si="14"/>
        <v>0</v>
      </c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</row>
    <row r="36" ht="15.75" customHeight="1">
      <c r="A36" s="155"/>
      <c r="B36" s="155"/>
      <c r="C36" s="155"/>
      <c r="D36" s="162" t="s">
        <v>282</v>
      </c>
      <c r="E36" s="155"/>
      <c r="F36" s="223" t="s">
        <v>338</v>
      </c>
      <c r="G36" s="224">
        <v>3.54</v>
      </c>
      <c r="H36" s="225">
        <f t="shared" si="8"/>
        <v>0.6666666667</v>
      </c>
      <c r="I36" s="224">
        <f t="shared" si="9"/>
        <v>2.36</v>
      </c>
      <c r="J36" s="224">
        <v>5.9</v>
      </c>
      <c r="K36" s="226">
        <f t="shared" si="10"/>
        <v>7.198</v>
      </c>
      <c r="L36" s="227" t="s">
        <v>290</v>
      </c>
      <c r="M36" s="167">
        <f t="shared" si="11"/>
        <v>7.9178</v>
      </c>
      <c r="N36" s="160">
        <f t="shared" si="12"/>
        <v>9.659716</v>
      </c>
      <c r="O36" s="228">
        <f t="shared" ref="O36:O40" si="23">K36*1.14</f>
        <v>8.20572</v>
      </c>
      <c r="P36" s="155">
        <f t="shared" ref="P36:P41" si="24">G36*1.15</f>
        <v>4.071</v>
      </c>
      <c r="Q36" s="155"/>
      <c r="R36" s="155"/>
      <c r="S36" s="155"/>
      <c r="T36" s="155"/>
      <c r="U36" s="187" t="str">
        <f t="shared" si="13"/>
        <v>PU 40 Multiusos - Blanco - 360 gr.</v>
      </c>
      <c r="V36" s="193"/>
      <c r="W36" s="198">
        <f t="shared" si="14"/>
        <v>0</v>
      </c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</row>
    <row r="37" ht="15.75" customHeight="1">
      <c r="A37" s="155" t="s">
        <v>313</v>
      </c>
      <c r="B37" s="155"/>
      <c r="C37" s="155"/>
      <c r="D37" s="162" t="s">
        <v>282</v>
      </c>
      <c r="E37" s="155"/>
      <c r="F37" s="229" t="s">
        <v>339</v>
      </c>
      <c r="G37" s="230">
        <v>0.61</v>
      </c>
      <c r="H37" s="231">
        <f t="shared" si="8"/>
        <v>1.786885246</v>
      </c>
      <c r="I37" s="230">
        <f t="shared" si="9"/>
        <v>1.09</v>
      </c>
      <c r="J37" s="230">
        <v>1.7</v>
      </c>
      <c r="K37" s="232">
        <f t="shared" si="10"/>
        <v>2.074</v>
      </c>
      <c r="L37" s="233" t="s">
        <v>290</v>
      </c>
      <c r="M37" s="167">
        <f t="shared" si="11"/>
        <v>2.2814</v>
      </c>
      <c r="N37" s="160">
        <f t="shared" si="12"/>
        <v>2.783308</v>
      </c>
      <c r="O37" s="234">
        <f t="shared" si="23"/>
        <v>2.36436</v>
      </c>
      <c r="P37" s="155">
        <f t="shared" si="24"/>
        <v>0.7015</v>
      </c>
      <c r="Q37" s="155"/>
      <c r="R37" s="155"/>
      <c r="S37" s="155"/>
      <c r="T37" s="155"/>
      <c r="U37" s="235" t="str">
        <f t="shared" si="13"/>
        <v>Tortuga Plastica PVC - Gris R y C</v>
      </c>
      <c r="V37" s="193">
        <v>0.0</v>
      </c>
      <c r="W37" s="198">
        <f t="shared" si="14"/>
        <v>0</v>
      </c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</row>
    <row r="38" ht="15.75" customHeight="1">
      <c r="A38" s="155" t="s">
        <v>313</v>
      </c>
      <c r="B38" s="155"/>
      <c r="C38" s="155"/>
      <c r="D38" s="162" t="s">
        <v>282</v>
      </c>
      <c r="E38" s="155"/>
      <c r="F38" s="236" t="s">
        <v>340</v>
      </c>
      <c r="G38" s="237">
        <v>0.025</v>
      </c>
      <c r="H38" s="238">
        <f t="shared" si="8"/>
        <v>3.8</v>
      </c>
      <c r="I38" s="219">
        <f t="shared" si="9"/>
        <v>0.095</v>
      </c>
      <c r="J38" s="219">
        <v>0.12</v>
      </c>
      <c r="K38" s="239">
        <f t="shared" si="10"/>
        <v>0.1464</v>
      </c>
      <c r="L38" s="155" t="s">
        <v>290</v>
      </c>
      <c r="M38" s="167">
        <f t="shared" si="11"/>
        <v>0.16104</v>
      </c>
      <c r="N38" s="160">
        <f t="shared" si="12"/>
        <v>0.1964688</v>
      </c>
      <c r="O38" s="191">
        <f t="shared" si="23"/>
        <v>0.166896</v>
      </c>
      <c r="P38" s="155">
        <f t="shared" si="24"/>
        <v>0.02875</v>
      </c>
      <c r="Q38" s="155"/>
      <c r="R38" s="155">
        <f t="shared" ref="R38:R39" si="25">G38*0.3</f>
        <v>0.0075</v>
      </c>
      <c r="S38" s="184">
        <f t="shared" ref="S38:S39" si="26">G38+R38</f>
        <v>0.0325</v>
      </c>
      <c r="T38" s="155"/>
      <c r="U38" s="205" t="str">
        <f t="shared" si="13"/>
        <v>Remache Pop Blanco para Isopanel</v>
      </c>
      <c r="V38" s="193">
        <v>0.0</v>
      </c>
      <c r="W38" s="198">
        <f t="shared" si="14"/>
        <v>0</v>
      </c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</row>
    <row r="39" ht="15.75" customHeight="1">
      <c r="A39" s="155" t="s">
        <v>313</v>
      </c>
      <c r="B39" s="155"/>
      <c r="C39" s="155"/>
      <c r="D39" s="162" t="s">
        <v>282</v>
      </c>
      <c r="E39" s="155"/>
      <c r="F39" s="236" t="s">
        <v>341</v>
      </c>
      <c r="G39" s="237">
        <f>0.025*1000</f>
        <v>25</v>
      </c>
      <c r="H39" s="238">
        <f t="shared" si="8"/>
        <v>2</v>
      </c>
      <c r="I39" s="219">
        <f t="shared" si="9"/>
        <v>50</v>
      </c>
      <c r="J39" s="219">
        <f>G39*3</f>
        <v>75</v>
      </c>
      <c r="K39" s="239">
        <f t="shared" si="10"/>
        <v>91.5</v>
      </c>
      <c r="L39" s="155" t="s">
        <v>290</v>
      </c>
      <c r="M39" s="167">
        <f t="shared" si="11"/>
        <v>100.65</v>
      </c>
      <c r="N39" s="160">
        <f t="shared" si="12"/>
        <v>122.793</v>
      </c>
      <c r="O39" s="191">
        <f t="shared" si="23"/>
        <v>104.31</v>
      </c>
      <c r="P39" s="155">
        <f t="shared" si="24"/>
        <v>28.75</v>
      </c>
      <c r="Q39" s="155"/>
      <c r="R39" s="155">
        <f t="shared" si="25"/>
        <v>7.5</v>
      </c>
      <c r="S39" s="184">
        <f t="shared" si="26"/>
        <v>32.5</v>
      </c>
      <c r="T39" s="155"/>
      <c r="U39" s="205" t="str">
        <f t="shared" si="13"/>
        <v>Remache Pop Blanco para Isopanel (CAJA 1000 UNIDADES)</v>
      </c>
      <c r="V39" s="193"/>
      <c r="W39" s="198">
        <f t="shared" si="14"/>
        <v>0</v>
      </c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</row>
    <row r="40" ht="15.75" customHeight="1">
      <c r="A40" s="155"/>
      <c r="B40" s="155"/>
      <c r="C40" s="155"/>
      <c r="D40" s="162" t="s">
        <v>282</v>
      </c>
      <c r="E40" s="155"/>
      <c r="F40" s="240" t="s">
        <v>342</v>
      </c>
      <c r="G40" s="241">
        <v>0.045</v>
      </c>
      <c r="H40" s="242">
        <f t="shared" si="8"/>
        <v>1.222222222</v>
      </c>
      <c r="I40" s="241">
        <f t="shared" si="9"/>
        <v>0.055</v>
      </c>
      <c r="J40" s="241">
        <v>0.1</v>
      </c>
      <c r="K40" s="243">
        <f t="shared" si="10"/>
        <v>0.122</v>
      </c>
      <c r="L40" s="233" t="s">
        <v>290</v>
      </c>
      <c r="M40" s="167">
        <f t="shared" si="11"/>
        <v>0.1342</v>
      </c>
      <c r="N40" s="160">
        <f t="shared" si="12"/>
        <v>0.163724</v>
      </c>
      <c r="O40" s="234">
        <f t="shared" si="23"/>
        <v>0.13908</v>
      </c>
      <c r="P40" s="155">
        <f t="shared" si="24"/>
        <v>0.05175</v>
      </c>
      <c r="Q40" s="155"/>
      <c r="R40" s="155"/>
      <c r="S40" s="155"/>
      <c r="T40" s="155"/>
      <c r="U40" s="187" t="str">
        <f t="shared" si="13"/>
        <v>Tornillo Hexagonal Galv. de 2 cm</v>
      </c>
      <c r="V40" s="193"/>
      <c r="W40" s="198">
        <f t="shared" si="14"/>
        <v>0</v>
      </c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</row>
    <row r="41" ht="15.75" customHeight="1">
      <c r="A41" s="208"/>
      <c r="B41" s="208"/>
      <c r="C41" s="208" t="s">
        <v>318</v>
      </c>
      <c r="D41" s="162" t="s">
        <v>282</v>
      </c>
      <c r="E41" s="155"/>
      <c r="F41" s="240" t="s">
        <v>343</v>
      </c>
      <c r="G41" s="241">
        <v>7.3</v>
      </c>
      <c r="H41" s="242">
        <f t="shared" si="8"/>
        <v>1</v>
      </c>
      <c r="I41" s="241">
        <f t="shared" si="9"/>
        <v>7.3</v>
      </c>
      <c r="J41" s="241">
        <f>G41*2</f>
        <v>14.6</v>
      </c>
      <c r="K41" s="243">
        <f t="shared" si="10"/>
        <v>17.812</v>
      </c>
      <c r="L41" s="155" t="s">
        <v>290</v>
      </c>
      <c r="M41" s="167">
        <f t="shared" si="11"/>
        <v>19.5932</v>
      </c>
      <c r="N41" s="160">
        <f t="shared" si="12"/>
        <v>23.903704</v>
      </c>
      <c r="O41" s="234"/>
      <c r="P41" s="155">
        <f t="shared" si="24"/>
        <v>8.395</v>
      </c>
      <c r="Q41" s="155"/>
      <c r="R41" s="155"/>
      <c r="S41" s="155"/>
      <c r="T41" s="155"/>
      <c r="U41" s="187" t="str">
        <f t="shared" si="13"/>
        <v>Pomo Espuma de PoliUretano 750cc     Mínimo caja de 12 U.</v>
      </c>
      <c r="V41" s="193"/>
      <c r="W41" s="198">
        <f t="shared" si="14"/>
        <v>0</v>
      </c>
      <c r="X41" s="155"/>
      <c r="Y41" s="155"/>
      <c r="Z41" s="220"/>
      <c r="AA41" s="155"/>
      <c r="AB41" s="155"/>
      <c r="AC41" s="155"/>
      <c r="AD41" s="155"/>
      <c r="AE41" s="155"/>
      <c r="AF41" s="155"/>
      <c r="AG41" s="155"/>
      <c r="AH41" s="155"/>
    </row>
    <row r="42" ht="15.75" customHeight="1">
      <c r="A42" s="155"/>
      <c r="B42" s="155"/>
      <c r="C42" s="155"/>
      <c r="D42" s="162" t="s">
        <v>282</v>
      </c>
      <c r="E42" s="155"/>
      <c r="F42" s="240" t="s">
        <v>344</v>
      </c>
      <c r="G42" s="244">
        <v>6.71</v>
      </c>
      <c r="H42" s="245">
        <f t="shared" si="8"/>
        <v>0.2667660209</v>
      </c>
      <c r="I42" s="246">
        <f t="shared" si="9"/>
        <v>1.79</v>
      </c>
      <c r="J42" s="246">
        <v>8.5</v>
      </c>
      <c r="K42" s="243">
        <f t="shared" si="10"/>
        <v>10.37</v>
      </c>
      <c r="L42" s="155" t="s">
        <v>290</v>
      </c>
      <c r="M42" s="167">
        <f t="shared" si="11"/>
        <v>11.407</v>
      </c>
      <c r="N42" s="160">
        <f t="shared" si="12"/>
        <v>13.91654</v>
      </c>
      <c r="O42" s="234"/>
      <c r="P42" s="155"/>
      <c r="Q42" s="155"/>
      <c r="R42" s="155"/>
      <c r="S42" s="155"/>
      <c r="T42" s="155"/>
      <c r="U42" s="187" t="str">
        <f t="shared" si="13"/>
        <v>Kit U-Platea (T. Exp. 6mm+Arandela+tuerca hexa.+1/8 Varilla6mm) </v>
      </c>
      <c r="V42" s="193"/>
      <c r="W42" s="198">
        <f t="shared" si="14"/>
        <v>0</v>
      </c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</row>
    <row r="43" ht="15.75" customHeight="1">
      <c r="A43" s="208"/>
      <c r="B43" s="208"/>
      <c r="C43" s="208"/>
      <c r="D43" s="162" t="s">
        <v>282</v>
      </c>
      <c r="E43" s="155"/>
      <c r="F43" s="240" t="s">
        <v>345</v>
      </c>
      <c r="G43" s="244">
        <v>0.05</v>
      </c>
      <c r="H43" s="245">
        <f t="shared" si="8"/>
        <v>3</v>
      </c>
      <c r="I43" s="246">
        <f t="shared" si="9"/>
        <v>0.15</v>
      </c>
      <c r="J43" s="246">
        <v>0.2</v>
      </c>
      <c r="K43" s="247">
        <f t="shared" si="10"/>
        <v>0.244</v>
      </c>
      <c r="L43" s="155" t="s">
        <v>290</v>
      </c>
      <c r="M43" s="167">
        <f t="shared" si="11"/>
        <v>0.2684</v>
      </c>
      <c r="N43" s="160">
        <f t="shared" si="12"/>
        <v>0.327448</v>
      </c>
      <c r="O43" s="191"/>
      <c r="P43" s="155"/>
      <c r="Q43" s="155"/>
      <c r="R43" s="155"/>
      <c r="S43" s="184"/>
      <c r="T43" s="155"/>
      <c r="U43" s="187" t="str">
        <f t="shared" si="13"/>
        <v>Kit U-Platea (Taco plastico. tornillo Binding 8mm + Arandela) </v>
      </c>
      <c r="V43" s="193"/>
      <c r="W43" s="198">
        <f t="shared" si="14"/>
        <v>0</v>
      </c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</row>
    <row r="44" ht="15.75" customHeight="1">
      <c r="A44" s="208"/>
      <c r="B44" s="208"/>
      <c r="C44" s="208"/>
      <c r="D44" s="162" t="s">
        <v>282</v>
      </c>
      <c r="E44" s="155"/>
      <c r="F44" s="240" t="s">
        <v>346</v>
      </c>
      <c r="G44" s="244">
        <v>0.096</v>
      </c>
      <c r="H44" s="245">
        <f t="shared" si="8"/>
        <v>5.25</v>
      </c>
      <c r="I44" s="246">
        <f t="shared" si="9"/>
        <v>0.504</v>
      </c>
      <c r="J44" s="246">
        <v>0.6</v>
      </c>
      <c r="K44" s="247">
        <f t="shared" si="10"/>
        <v>0.732</v>
      </c>
      <c r="L44" s="155" t="s">
        <v>290</v>
      </c>
      <c r="M44" s="167">
        <f t="shared" si="11"/>
        <v>0.8052</v>
      </c>
      <c r="N44" s="160">
        <f t="shared" si="12"/>
        <v>0.982344</v>
      </c>
      <c r="O44" s="191"/>
      <c r="P44" s="155"/>
      <c r="Q44" s="155"/>
      <c r="R44" s="155"/>
      <c r="S44" s="184"/>
      <c r="T44" s="155"/>
      <c r="U44" s="205" t="str">
        <f t="shared" si="13"/>
        <v>Kit U-Platea Nuevo (Taco plastico. Tira fondo 10mm + Arandela) </v>
      </c>
      <c r="V44" s="193">
        <v>0.0</v>
      </c>
      <c r="W44" s="198">
        <f t="shared" si="14"/>
        <v>0</v>
      </c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</row>
    <row r="45" ht="15.75" customHeight="1">
      <c r="A45" s="208" t="s">
        <v>313</v>
      </c>
      <c r="B45" s="208"/>
      <c r="C45" s="208" t="s">
        <v>318</v>
      </c>
      <c r="D45" s="162" t="s">
        <v>282</v>
      </c>
      <c r="E45" s="155"/>
      <c r="F45" s="200" t="s">
        <v>347</v>
      </c>
      <c r="G45" s="169">
        <v>1.15</v>
      </c>
      <c r="H45" s="196">
        <f t="shared" si="8"/>
        <v>1.113043478</v>
      </c>
      <c r="I45" s="169">
        <f t="shared" si="9"/>
        <v>1.28</v>
      </c>
      <c r="J45" s="169">
        <v>2.43</v>
      </c>
      <c r="K45" s="190">
        <f t="shared" si="10"/>
        <v>2.9646</v>
      </c>
      <c r="L45" s="155" t="s">
        <v>290</v>
      </c>
      <c r="M45" s="167">
        <f t="shared" si="11"/>
        <v>3.26106</v>
      </c>
      <c r="N45" s="160">
        <f t="shared" si="12"/>
        <v>3.9784932</v>
      </c>
      <c r="O45" s="191">
        <f t="shared" ref="O45:O49" si="27">K45*1.14</f>
        <v>3.379644</v>
      </c>
      <c r="P45" s="155">
        <f t="shared" ref="P45:P49" si="28">G45*1.15</f>
        <v>1.3225</v>
      </c>
      <c r="Q45" s="155"/>
      <c r="R45" s="155">
        <f t="shared" ref="R45:R49" si="29">G45*0.3</f>
        <v>0.345</v>
      </c>
      <c r="S45" s="184">
        <f t="shared" ref="S45:S49" si="30">G45+R45</f>
        <v>1.495</v>
      </c>
      <c r="T45" s="155"/>
      <c r="U45" s="187" t="str">
        <f t="shared" si="13"/>
        <v>Varilla Roscada 3/8</v>
      </c>
      <c r="V45" s="193"/>
      <c r="W45" s="198">
        <f t="shared" si="14"/>
        <v>0</v>
      </c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</row>
    <row r="46" ht="15.75" customHeight="1">
      <c r="A46" s="208" t="s">
        <v>313</v>
      </c>
      <c r="B46" s="208"/>
      <c r="C46" s="201" t="s">
        <v>311</v>
      </c>
      <c r="D46" s="162" t="s">
        <v>282</v>
      </c>
      <c r="E46" s="155"/>
      <c r="F46" s="202" t="s">
        <v>348</v>
      </c>
      <c r="G46" s="203">
        <v>0.835</v>
      </c>
      <c r="H46" s="204">
        <f t="shared" si="8"/>
        <v>1.910179641</v>
      </c>
      <c r="I46" s="203">
        <f t="shared" si="9"/>
        <v>1.595</v>
      </c>
      <c r="J46" s="203">
        <v>2.43</v>
      </c>
      <c r="K46" s="190">
        <f t="shared" si="10"/>
        <v>2.9646</v>
      </c>
      <c r="L46" s="155" t="s">
        <v>290</v>
      </c>
      <c r="M46" s="167">
        <f t="shared" si="11"/>
        <v>3.26106</v>
      </c>
      <c r="N46" s="160">
        <f t="shared" si="12"/>
        <v>3.9784932</v>
      </c>
      <c r="O46" s="191">
        <f t="shared" si="27"/>
        <v>3.379644</v>
      </c>
      <c r="P46" s="155">
        <f t="shared" si="28"/>
        <v>0.96025</v>
      </c>
      <c r="Q46" s="155"/>
      <c r="R46" s="155">
        <f t="shared" si="29"/>
        <v>0.2505</v>
      </c>
      <c r="S46" s="184">
        <f t="shared" si="30"/>
        <v>1.0855</v>
      </c>
      <c r="T46" s="155"/>
      <c r="U46" s="205" t="str">
        <f t="shared" si="13"/>
        <v>Varilla Roscada 3/8 - Mvdeo Industrial</v>
      </c>
      <c r="V46" s="206">
        <v>8.0</v>
      </c>
      <c r="W46" s="198">
        <f t="shared" si="14"/>
        <v>6.68</v>
      </c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</row>
    <row r="47" ht="15.75" customHeight="1">
      <c r="A47" s="208" t="s">
        <v>313</v>
      </c>
      <c r="B47" s="208"/>
      <c r="C47" s="208" t="s">
        <v>318</v>
      </c>
      <c r="D47" s="162" t="s">
        <v>282</v>
      </c>
      <c r="E47" s="155"/>
      <c r="F47" s="200" t="s">
        <v>349</v>
      </c>
      <c r="G47" s="169">
        <v>0.03</v>
      </c>
      <c r="H47" s="196">
        <f t="shared" si="8"/>
        <v>4</v>
      </c>
      <c r="I47" s="169">
        <f t="shared" si="9"/>
        <v>0.12</v>
      </c>
      <c r="J47" s="169">
        <v>0.15</v>
      </c>
      <c r="K47" s="190">
        <f t="shared" si="10"/>
        <v>0.183</v>
      </c>
      <c r="L47" s="155" t="s">
        <v>290</v>
      </c>
      <c r="M47" s="167">
        <f t="shared" si="11"/>
        <v>0.2013</v>
      </c>
      <c r="N47" s="160">
        <f t="shared" si="12"/>
        <v>0.245586</v>
      </c>
      <c r="O47" s="191">
        <f t="shared" si="27"/>
        <v>0.20862</v>
      </c>
      <c r="P47" s="155">
        <f t="shared" si="28"/>
        <v>0.0345</v>
      </c>
      <c r="Q47" s="155"/>
      <c r="R47" s="155">
        <f t="shared" si="29"/>
        <v>0.009</v>
      </c>
      <c r="S47" s="184">
        <f t="shared" si="30"/>
        <v>0.039</v>
      </c>
      <c r="T47" s="155"/>
      <c r="U47" s="205" t="str">
        <f t="shared" si="13"/>
        <v>Tuerca Hexagonal Galv. 3/8</v>
      </c>
      <c r="V47" s="193">
        <v>30.0</v>
      </c>
      <c r="W47" s="198">
        <f t="shared" si="14"/>
        <v>0.9</v>
      </c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</row>
    <row r="48" ht="15.75" customHeight="1">
      <c r="A48" s="208" t="s">
        <v>313</v>
      </c>
      <c r="B48" s="208"/>
      <c r="C48" s="208" t="s">
        <v>318</v>
      </c>
      <c r="D48" s="162" t="s">
        <v>282</v>
      </c>
      <c r="E48" s="155"/>
      <c r="F48" s="200" t="s">
        <v>350</v>
      </c>
      <c r="G48" s="169">
        <v>0.33</v>
      </c>
      <c r="H48" s="196">
        <f t="shared" si="8"/>
        <v>0.6</v>
      </c>
      <c r="I48" s="169">
        <f t="shared" si="9"/>
        <v>0.198</v>
      </c>
      <c r="J48" s="169">
        <v>0.528</v>
      </c>
      <c r="K48" s="190">
        <f t="shared" si="10"/>
        <v>0.64416</v>
      </c>
      <c r="L48" s="155" t="s">
        <v>290</v>
      </c>
      <c r="M48" s="167">
        <f t="shared" si="11"/>
        <v>0.708576</v>
      </c>
      <c r="N48" s="160">
        <f t="shared" si="12"/>
        <v>0.86446272</v>
      </c>
      <c r="O48" s="191">
        <f t="shared" si="27"/>
        <v>0.7343424</v>
      </c>
      <c r="P48" s="155">
        <f t="shared" si="28"/>
        <v>0.3795</v>
      </c>
      <c r="Q48" s="155"/>
      <c r="R48" s="155">
        <f t="shared" si="29"/>
        <v>0.099</v>
      </c>
      <c r="S48" s="184">
        <f t="shared" si="30"/>
        <v>0.429</v>
      </c>
      <c r="T48" s="155"/>
      <c r="U48" s="205" t="str">
        <f t="shared" si="13"/>
        <v>Taco Expansivo Metalico Galv. 3/8</v>
      </c>
      <c r="V48" s="193">
        <v>0.0</v>
      </c>
      <c r="W48" s="198">
        <f t="shared" si="14"/>
        <v>0</v>
      </c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</row>
    <row r="49" ht="15.75" customHeight="1">
      <c r="A49" s="208"/>
      <c r="B49" s="208"/>
      <c r="C49" s="208" t="s">
        <v>318</v>
      </c>
      <c r="D49" s="162" t="s">
        <v>282</v>
      </c>
      <c r="E49" s="155"/>
      <c r="F49" s="195" t="s">
        <v>351</v>
      </c>
      <c r="G49" s="169">
        <v>0.26</v>
      </c>
      <c r="H49" s="196">
        <f t="shared" si="8"/>
        <v>1.692307692</v>
      </c>
      <c r="I49" s="169">
        <f t="shared" si="9"/>
        <v>0.44</v>
      </c>
      <c r="J49" s="169">
        <v>0.7</v>
      </c>
      <c r="K49" s="190">
        <f t="shared" si="10"/>
        <v>0.854</v>
      </c>
      <c r="L49" s="155" t="s">
        <v>290</v>
      </c>
      <c r="M49" s="167">
        <f t="shared" si="11"/>
        <v>0.9394</v>
      </c>
      <c r="N49" s="160">
        <f t="shared" si="12"/>
        <v>1.146068</v>
      </c>
      <c r="O49" s="191">
        <f t="shared" si="27"/>
        <v>0.97356</v>
      </c>
      <c r="P49" s="155">
        <f t="shared" si="28"/>
        <v>0.299</v>
      </c>
      <c r="Q49" s="155"/>
      <c r="R49" s="155">
        <f t="shared" si="29"/>
        <v>0.078</v>
      </c>
      <c r="S49" s="184">
        <f t="shared" si="30"/>
        <v>0.338</v>
      </c>
      <c r="T49" s="155"/>
      <c r="U49" s="187" t="str">
        <f t="shared" si="13"/>
        <v>Gancho p/techo Completo 1/4 150 mm</v>
      </c>
      <c r="V49" s="193"/>
      <c r="W49" s="198">
        <f t="shared" si="14"/>
        <v>0</v>
      </c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</row>
    <row r="50" ht="15.75" customHeight="1">
      <c r="A50" s="155"/>
      <c r="B50" s="155"/>
      <c r="C50" s="155"/>
      <c r="D50" s="162" t="s">
        <v>282</v>
      </c>
      <c r="E50" s="155"/>
      <c r="F50" s="187" t="s">
        <v>352</v>
      </c>
      <c r="G50" s="188">
        <f t="shared" ref="G50:G51" si="31">0.26+0.41</f>
        <v>0.67</v>
      </c>
      <c r="H50" s="189">
        <f t="shared" si="8"/>
        <v>1.388059701</v>
      </c>
      <c r="I50" s="188">
        <f t="shared" si="9"/>
        <v>0.93</v>
      </c>
      <c r="J50" s="188">
        <v>1.6</v>
      </c>
      <c r="K50" s="190">
        <f t="shared" si="10"/>
        <v>1.952</v>
      </c>
      <c r="L50" s="155" t="s">
        <v>290</v>
      </c>
      <c r="M50" s="167">
        <f t="shared" si="11"/>
        <v>2.1472</v>
      </c>
      <c r="N50" s="160">
        <f t="shared" si="12"/>
        <v>2.619584</v>
      </c>
      <c r="O50" s="191"/>
      <c r="P50" s="155"/>
      <c r="Q50" s="155"/>
      <c r="R50" s="155"/>
      <c r="S50" s="184"/>
      <c r="T50" s="155"/>
      <c r="U50" s="187" t="str">
        <f t="shared" si="13"/>
        <v>Kit ROOF Mecha - Tornillo Hexagonal Galv. 4" + Arandela Trap. 30 mm</v>
      </c>
      <c r="V50" s="193"/>
      <c r="W50" s="198">
        <f t="shared" si="14"/>
        <v>0</v>
      </c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</row>
    <row r="51" ht="15.75" customHeight="1">
      <c r="A51" s="155"/>
      <c r="B51" s="155"/>
      <c r="C51" s="155"/>
      <c r="D51" s="162" t="s">
        <v>282</v>
      </c>
      <c r="E51" s="155"/>
      <c r="F51" s="221" t="s">
        <v>353</v>
      </c>
      <c r="G51" s="222">
        <f t="shared" si="31"/>
        <v>0.67</v>
      </c>
      <c r="H51" s="248">
        <f t="shared" si="8"/>
        <v>1.388059701</v>
      </c>
      <c r="I51" s="222">
        <f t="shared" si="9"/>
        <v>0.93</v>
      </c>
      <c r="J51" s="222">
        <v>1.6</v>
      </c>
      <c r="K51" s="247">
        <f t="shared" si="10"/>
        <v>1.952</v>
      </c>
      <c r="L51" s="155" t="s">
        <v>290</v>
      </c>
      <c r="M51" s="167">
        <f t="shared" si="11"/>
        <v>2.1472</v>
      </c>
      <c r="N51" s="160">
        <f t="shared" si="12"/>
        <v>2.619584</v>
      </c>
      <c r="O51" s="249">
        <f>K51*1.14</f>
        <v>2.22528</v>
      </c>
      <c r="P51" s="155">
        <f>G51*1.15</f>
        <v>0.7705</v>
      </c>
      <c r="Q51" s="155"/>
      <c r="R51" s="155">
        <f>G51*0.3</f>
        <v>0.201</v>
      </c>
      <c r="S51" s="184">
        <f>G51+R51</f>
        <v>0.871</v>
      </c>
      <c r="T51" s="155"/>
      <c r="U51" s="187" t="str">
        <f t="shared" si="13"/>
        <v>Kit ROOF Aguja - Tornillo Hexagonal Galv. 5· + Arandela Trap. 30 mm</v>
      </c>
      <c r="V51" s="193"/>
      <c r="W51" s="198">
        <f t="shared" si="14"/>
        <v>0</v>
      </c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</row>
    <row r="52" ht="15.75" customHeight="1">
      <c r="A52" s="250"/>
      <c r="B52" s="250"/>
      <c r="C52" s="250" t="s">
        <v>327</v>
      </c>
      <c r="D52" s="162" t="s">
        <v>282</v>
      </c>
      <c r="E52" s="155"/>
      <c r="F52" s="251" t="s">
        <v>354</v>
      </c>
      <c r="G52" s="252">
        <v>0.025</v>
      </c>
      <c r="H52" s="253">
        <f t="shared" si="8"/>
        <v>0.6</v>
      </c>
      <c r="I52" s="252">
        <f t="shared" si="9"/>
        <v>0.015</v>
      </c>
      <c r="J52" s="254">
        <v>0.04</v>
      </c>
      <c r="K52" s="255">
        <f t="shared" si="10"/>
        <v>0.0488</v>
      </c>
      <c r="L52" s="155" t="s">
        <v>290</v>
      </c>
      <c r="M52" s="167">
        <f t="shared" si="11"/>
        <v>0.05368</v>
      </c>
      <c r="N52" s="160">
        <f t="shared" si="12"/>
        <v>0.0654896</v>
      </c>
      <c r="O52" s="155"/>
      <c r="P52" s="155"/>
      <c r="Q52" s="155"/>
      <c r="R52" s="155"/>
      <c r="S52" s="155"/>
      <c r="T52" s="155"/>
      <c r="U52" s="187" t="str">
        <f t="shared" si="13"/>
        <v>Bulon 1/4 x 1 " - Chapa BC-120</v>
      </c>
      <c r="V52" s="193"/>
      <c r="W52" s="198">
        <f t="shared" si="14"/>
        <v>0</v>
      </c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</row>
    <row r="53" ht="15.75" customHeight="1">
      <c r="A53" s="250"/>
      <c r="B53" s="250"/>
      <c r="C53" s="250" t="s">
        <v>327</v>
      </c>
      <c r="D53" s="162" t="s">
        <v>282</v>
      </c>
      <c r="E53" s="155"/>
      <c r="F53" s="251" t="s">
        <v>355</v>
      </c>
      <c r="G53" s="252">
        <v>0.24</v>
      </c>
      <c r="H53" s="253">
        <f t="shared" si="8"/>
        <v>0.5</v>
      </c>
      <c r="I53" s="252">
        <f t="shared" si="9"/>
        <v>0.12</v>
      </c>
      <c r="J53" s="254">
        <v>0.36</v>
      </c>
      <c r="K53" s="255">
        <f t="shared" si="10"/>
        <v>0.4392</v>
      </c>
      <c r="L53" s="155" t="s">
        <v>290</v>
      </c>
      <c r="M53" s="167">
        <f t="shared" si="11"/>
        <v>0.48312</v>
      </c>
      <c r="N53" s="160">
        <f t="shared" si="12"/>
        <v>0.5894064</v>
      </c>
      <c r="O53" s="155"/>
      <c r="P53" s="155"/>
      <c r="Q53" s="155"/>
      <c r="R53" s="155"/>
      <c r="S53" s="155"/>
      <c r="T53" s="155"/>
      <c r="U53" s="187" t="str">
        <f t="shared" si="13"/>
        <v>Gancho J p. Cerchas COMPLETO - 1/4 x 110 mm</v>
      </c>
      <c r="V53" s="193"/>
      <c r="W53" s="198">
        <f t="shared" si="14"/>
        <v>0</v>
      </c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</row>
    <row r="54" ht="15.75" customHeight="1">
      <c r="A54" s="250"/>
      <c r="B54" s="250"/>
      <c r="C54" s="250" t="s">
        <v>327</v>
      </c>
      <c r="D54" s="162" t="s">
        <v>282</v>
      </c>
      <c r="E54" s="155"/>
      <c r="F54" s="251" t="s">
        <v>356</v>
      </c>
      <c r="G54" s="252">
        <v>0.25</v>
      </c>
      <c r="H54" s="253">
        <f t="shared" si="8"/>
        <v>0.56</v>
      </c>
      <c r="I54" s="252">
        <f t="shared" si="9"/>
        <v>0.14</v>
      </c>
      <c r="J54" s="254">
        <v>0.39</v>
      </c>
      <c r="K54" s="215">
        <f t="shared" si="10"/>
        <v>0.4758</v>
      </c>
      <c r="L54" s="155" t="s">
        <v>290</v>
      </c>
      <c r="M54" s="167">
        <f t="shared" si="11"/>
        <v>0.52338</v>
      </c>
      <c r="N54" s="160">
        <f t="shared" si="12"/>
        <v>0.6385236</v>
      </c>
      <c r="O54" s="155"/>
      <c r="P54" s="155"/>
      <c r="Q54" s="155"/>
      <c r="R54" s="155"/>
      <c r="S54" s="155"/>
      <c r="T54" s="155"/>
      <c r="U54" s="187" t="str">
        <f t="shared" si="13"/>
        <v>Gancho J p. Cerchas COMPLETO - 1/4 x 150 mm</v>
      </c>
      <c r="V54" s="193"/>
      <c r="W54" s="198">
        <f t="shared" si="14"/>
        <v>0</v>
      </c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</row>
    <row r="55" ht="15.75" customHeight="1">
      <c r="A55" s="250"/>
      <c r="B55" s="250"/>
      <c r="C55" s="250" t="s">
        <v>327</v>
      </c>
      <c r="D55" s="162" t="s">
        <v>282</v>
      </c>
      <c r="E55" s="155"/>
      <c r="F55" s="251" t="s">
        <v>357</v>
      </c>
      <c r="G55" s="252">
        <v>3.12</v>
      </c>
      <c r="H55" s="253">
        <f t="shared" si="8"/>
        <v>0.9487179487</v>
      </c>
      <c r="I55" s="252">
        <f t="shared" si="9"/>
        <v>2.96</v>
      </c>
      <c r="J55" s="254">
        <v>6.08</v>
      </c>
      <c r="K55" s="255">
        <f t="shared" si="10"/>
        <v>7.4176</v>
      </c>
      <c r="L55" s="155" t="s">
        <v>290</v>
      </c>
      <c r="M55" s="167">
        <f t="shared" si="11"/>
        <v>8.15936</v>
      </c>
      <c r="N55" s="160">
        <f t="shared" si="12"/>
        <v>9.9544192</v>
      </c>
      <c r="O55" s="155"/>
      <c r="P55" s="155"/>
      <c r="Q55" s="155"/>
      <c r="R55" s="155"/>
      <c r="S55" s="155"/>
      <c r="T55" s="155"/>
      <c r="U55" s="187" t="str">
        <f t="shared" si="13"/>
        <v>Silicona Neutra - Silva Selantes - 380 gr. BLNCA</v>
      </c>
      <c r="V55" s="193"/>
      <c r="W55" s="198">
        <f t="shared" si="14"/>
        <v>0</v>
      </c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</row>
    <row r="56" ht="15.75" customHeight="1">
      <c r="A56" s="250"/>
      <c r="B56" s="250"/>
      <c r="C56" s="250" t="s">
        <v>327</v>
      </c>
      <c r="D56" s="162" t="s">
        <v>282</v>
      </c>
      <c r="E56" s="155"/>
      <c r="F56" s="251" t="s">
        <v>358</v>
      </c>
      <c r="G56" s="252">
        <v>3.12</v>
      </c>
      <c r="H56" s="253">
        <f t="shared" si="8"/>
        <v>0.9487179487</v>
      </c>
      <c r="I56" s="252">
        <f t="shared" si="9"/>
        <v>2.96</v>
      </c>
      <c r="J56" s="254">
        <v>6.08</v>
      </c>
      <c r="K56" s="255">
        <f t="shared" si="10"/>
        <v>7.4176</v>
      </c>
      <c r="L56" s="155" t="s">
        <v>290</v>
      </c>
      <c r="M56" s="167">
        <f t="shared" si="11"/>
        <v>8.15936</v>
      </c>
      <c r="N56" s="160">
        <f t="shared" si="12"/>
        <v>9.9544192</v>
      </c>
      <c r="O56" s="155"/>
      <c r="P56" s="155"/>
      <c r="Q56" s="155"/>
      <c r="R56" s="155"/>
      <c r="S56" s="155"/>
      <c r="T56" s="155"/>
      <c r="U56" s="187" t="str">
        <f t="shared" si="13"/>
        <v>Silicona Neutra - Silva Selantes - 270 gr. BLNCA</v>
      </c>
      <c r="V56" s="193"/>
      <c r="W56" s="198">
        <f t="shared" si="14"/>
        <v>0</v>
      </c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</row>
    <row r="57" ht="15.75" customHeight="1">
      <c r="A57" s="250"/>
      <c r="B57" s="250"/>
      <c r="C57" s="250" t="s">
        <v>327</v>
      </c>
      <c r="D57" s="162" t="s">
        <v>282</v>
      </c>
      <c r="E57" s="155"/>
      <c r="F57" s="195" t="s">
        <v>330</v>
      </c>
      <c r="G57" s="219">
        <v>5.63</v>
      </c>
      <c r="H57" s="238">
        <f t="shared" si="8"/>
        <v>0.6</v>
      </c>
      <c r="I57" s="219">
        <f t="shared" si="9"/>
        <v>3.378</v>
      </c>
      <c r="J57" s="219">
        <f>G57*1.6</f>
        <v>9.008</v>
      </c>
      <c r="K57" s="215">
        <f t="shared" si="10"/>
        <v>10.98976</v>
      </c>
      <c r="L57" s="155" t="s">
        <v>290</v>
      </c>
      <c r="M57" s="167">
        <f t="shared" si="11"/>
        <v>12.088736</v>
      </c>
      <c r="N57" s="160">
        <f t="shared" si="12"/>
        <v>14.74825792</v>
      </c>
      <c r="O57" s="155"/>
      <c r="P57" s="155"/>
      <c r="Q57" s="155"/>
      <c r="R57" s="155"/>
      <c r="S57" s="155"/>
      <c r="T57" s="155"/>
      <c r="U57" s="187" t="str">
        <f t="shared" si="13"/>
        <v>Espuma de Pliuretano Expansiva - Silva Selantes - 750 ml</v>
      </c>
      <c r="V57" s="193"/>
      <c r="W57" s="198">
        <f t="shared" si="14"/>
        <v>0</v>
      </c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</row>
    <row r="58" ht="15.75" customHeight="1">
      <c r="A58" s="250"/>
      <c r="B58" s="250"/>
      <c r="C58" s="250" t="s">
        <v>327</v>
      </c>
      <c r="D58" s="162" t="s">
        <v>282</v>
      </c>
      <c r="E58" s="155"/>
      <c r="F58" s="200" t="s">
        <v>359</v>
      </c>
      <c r="G58" s="169">
        <v>0.19</v>
      </c>
      <c r="H58" s="196">
        <f t="shared" si="8"/>
        <v>4.921052632</v>
      </c>
      <c r="I58" s="169">
        <f t="shared" si="9"/>
        <v>0.935</v>
      </c>
      <c r="J58" s="169">
        <v>1.125</v>
      </c>
      <c r="K58" s="190">
        <f t="shared" si="10"/>
        <v>1.3725</v>
      </c>
      <c r="L58" s="155" t="s">
        <v>290</v>
      </c>
      <c r="M58" s="167">
        <f t="shared" si="11"/>
        <v>1.50975</v>
      </c>
      <c r="N58" s="160">
        <f t="shared" si="12"/>
        <v>1.841895</v>
      </c>
      <c r="O58" s="155"/>
      <c r="P58" s="155"/>
      <c r="Q58" s="155"/>
      <c r="R58" s="155"/>
      <c r="S58" s="155"/>
      <c r="T58" s="155"/>
      <c r="U58" s="187" t="str">
        <f t="shared" si="13"/>
        <v>Tornillo Hexagonal Galv. de 6" pta. mecha </v>
      </c>
      <c r="V58" s="193">
        <v>0.0</v>
      </c>
      <c r="W58" s="198">
        <f t="shared" si="14"/>
        <v>0</v>
      </c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</row>
    <row r="59" ht="15.75" customHeight="1">
      <c r="A59" s="250"/>
      <c r="B59" s="250"/>
      <c r="C59" s="250" t="s">
        <v>327</v>
      </c>
      <c r="D59" s="162" t="s">
        <v>282</v>
      </c>
      <c r="E59" s="155"/>
      <c r="F59" s="256" t="s">
        <v>360</v>
      </c>
      <c r="G59" s="257">
        <v>0.1</v>
      </c>
      <c r="H59" s="258">
        <f t="shared" si="8"/>
        <v>3</v>
      </c>
      <c r="I59" s="257">
        <f t="shared" si="9"/>
        <v>0.3</v>
      </c>
      <c r="J59" s="257">
        <f t="shared" ref="J59:J61" si="32">G59*4</f>
        <v>0.4</v>
      </c>
      <c r="K59" s="259">
        <f t="shared" si="10"/>
        <v>0.488</v>
      </c>
      <c r="L59" s="155" t="s">
        <v>290</v>
      </c>
      <c r="M59" s="167">
        <f t="shared" si="11"/>
        <v>0.5368</v>
      </c>
      <c r="N59" s="160">
        <f t="shared" si="12"/>
        <v>0.654896</v>
      </c>
      <c r="O59" s="155"/>
      <c r="P59" s="155"/>
      <c r="Q59" s="155"/>
      <c r="R59" s="155"/>
      <c r="S59" s="155"/>
      <c r="T59" s="155"/>
      <c r="U59" s="187" t="str">
        <f t="shared" si="13"/>
        <v>Tornillo Hexagonal Galv. de 3" pta. mecha</v>
      </c>
      <c r="V59" s="193">
        <v>0.0</v>
      </c>
      <c r="W59" s="198">
        <f t="shared" si="14"/>
        <v>0</v>
      </c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</row>
    <row r="60" ht="15.75" customHeight="1">
      <c r="A60" s="250" t="s">
        <v>313</v>
      </c>
      <c r="B60" s="250"/>
      <c r="C60" s="250" t="s">
        <v>327</v>
      </c>
      <c r="D60" s="162" t="s">
        <v>282</v>
      </c>
      <c r="E60" s="155"/>
      <c r="F60" s="256" t="s">
        <v>361</v>
      </c>
      <c r="G60" s="257">
        <v>0.22</v>
      </c>
      <c r="H60" s="258">
        <f t="shared" si="8"/>
        <v>3</v>
      </c>
      <c r="I60" s="257">
        <f t="shared" si="9"/>
        <v>0.66</v>
      </c>
      <c r="J60" s="257">
        <f t="shared" si="32"/>
        <v>0.88</v>
      </c>
      <c r="K60" s="259">
        <f t="shared" si="10"/>
        <v>1.0736</v>
      </c>
      <c r="L60" s="155" t="s">
        <v>290</v>
      </c>
      <c r="M60" s="167">
        <f t="shared" si="11"/>
        <v>1.18096</v>
      </c>
      <c r="N60" s="160">
        <f t="shared" si="12"/>
        <v>1.4407712</v>
      </c>
      <c r="O60" s="155"/>
      <c r="P60" s="155"/>
      <c r="Q60" s="155"/>
      <c r="R60" s="155"/>
      <c r="S60" s="155"/>
      <c r="T60" s="155"/>
      <c r="U60" s="210" t="str">
        <f t="shared" si="13"/>
        <v>Tornillo Hexagonal Galv. de 4" pta. mecha</v>
      </c>
      <c r="V60" s="193">
        <v>0.0</v>
      </c>
      <c r="W60" s="198">
        <f t="shared" si="14"/>
        <v>0</v>
      </c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</row>
    <row r="61" ht="15.75" customHeight="1">
      <c r="A61" s="250" t="s">
        <v>313</v>
      </c>
      <c r="B61" s="250"/>
      <c r="C61" s="250" t="s">
        <v>362</v>
      </c>
      <c r="D61" s="162" t="s">
        <v>282</v>
      </c>
      <c r="E61" s="155"/>
      <c r="F61" s="200" t="s">
        <v>363</v>
      </c>
      <c r="G61" s="169">
        <v>0.26</v>
      </c>
      <c r="H61" s="196">
        <f t="shared" si="8"/>
        <v>3</v>
      </c>
      <c r="I61" s="169">
        <f t="shared" si="9"/>
        <v>0.78</v>
      </c>
      <c r="J61" s="169">
        <f t="shared" si="32"/>
        <v>1.04</v>
      </c>
      <c r="K61" s="190">
        <f t="shared" si="10"/>
        <v>1.2688</v>
      </c>
      <c r="L61" s="155" t="s">
        <v>290</v>
      </c>
      <c r="M61" s="167">
        <f t="shared" si="11"/>
        <v>1.39568</v>
      </c>
      <c r="N61" s="160">
        <f t="shared" si="12"/>
        <v>1.7027296</v>
      </c>
      <c r="O61" s="155"/>
      <c r="P61" s="155"/>
      <c r="Q61" s="155"/>
      <c r="R61" s="155"/>
      <c r="S61" s="155"/>
      <c r="T61" s="155"/>
      <c r="U61" s="187" t="str">
        <f t="shared" si="13"/>
        <v>Tornillo Hexagonal Galv. de 4" pta. mecha (100 u.)</v>
      </c>
      <c r="V61" s="193">
        <v>0.0</v>
      </c>
      <c r="W61" s="198">
        <f t="shared" si="14"/>
        <v>0</v>
      </c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</row>
    <row r="62" ht="15.75" customHeight="1">
      <c r="A62" s="250"/>
      <c r="B62" s="250"/>
      <c r="C62" s="250" t="s">
        <v>362</v>
      </c>
      <c r="D62" s="162" t="s">
        <v>282</v>
      </c>
      <c r="E62" s="155"/>
      <c r="F62" s="200" t="s">
        <v>364</v>
      </c>
      <c r="G62" s="169">
        <v>0.72</v>
      </c>
      <c r="H62" s="196">
        <f t="shared" si="8"/>
        <v>0.5625</v>
      </c>
      <c r="I62" s="169">
        <f t="shared" si="9"/>
        <v>0.405</v>
      </c>
      <c r="J62" s="169">
        <v>1.125</v>
      </c>
      <c r="K62" s="190">
        <f t="shared" si="10"/>
        <v>1.3725</v>
      </c>
      <c r="L62" s="155" t="s">
        <v>290</v>
      </c>
      <c r="M62" s="167">
        <f t="shared" si="11"/>
        <v>1.50975</v>
      </c>
      <c r="N62" s="160">
        <f t="shared" si="12"/>
        <v>1.841895</v>
      </c>
      <c r="O62" s="155"/>
      <c r="P62" s="155"/>
      <c r="Q62" s="155"/>
      <c r="R62" s="155"/>
      <c r="S62" s="155"/>
      <c r="T62" s="155"/>
      <c r="U62" s="187" t="str">
        <f t="shared" si="13"/>
        <v>Tornillo Hexagonal Galv. de 6" pta. mecha (100 u.)</v>
      </c>
      <c r="V62" s="193">
        <v>0.0</v>
      </c>
      <c r="W62" s="198">
        <f t="shared" si="14"/>
        <v>0</v>
      </c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</row>
    <row r="63" ht="15.75" customHeight="1">
      <c r="A63" s="250"/>
      <c r="B63" s="250"/>
      <c r="C63" s="250" t="s">
        <v>362</v>
      </c>
      <c r="D63" s="162" t="s">
        <v>282</v>
      </c>
      <c r="E63" s="155"/>
      <c r="F63" s="200" t="s">
        <v>365</v>
      </c>
      <c r="G63" s="169">
        <v>0.86</v>
      </c>
      <c r="H63" s="196">
        <f t="shared" si="8"/>
        <v>0.5348837209</v>
      </c>
      <c r="I63" s="169">
        <f t="shared" si="9"/>
        <v>0.46</v>
      </c>
      <c r="J63" s="169">
        <v>1.32</v>
      </c>
      <c r="K63" s="190">
        <f t="shared" si="10"/>
        <v>1.6104</v>
      </c>
      <c r="L63" s="155" t="s">
        <v>290</v>
      </c>
      <c r="M63" s="167">
        <f t="shared" si="11"/>
        <v>1.77144</v>
      </c>
      <c r="N63" s="160">
        <f t="shared" si="12"/>
        <v>2.1611568</v>
      </c>
      <c r="O63" s="155"/>
      <c r="P63" s="155"/>
      <c r="Q63" s="155"/>
      <c r="R63" s="155"/>
      <c r="S63" s="155"/>
      <c r="T63" s="155"/>
      <c r="U63" s="187" t="str">
        <f t="shared" si="13"/>
        <v>Tornillo Hexagonal Galv. de 7" pta. aguja (100 u.)</v>
      </c>
      <c r="V63" s="193">
        <v>0.0</v>
      </c>
      <c r="W63" s="198">
        <f t="shared" si="14"/>
        <v>0</v>
      </c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</row>
    <row r="64" ht="15.75" customHeight="1">
      <c r="A64" s="250"/>
      <c r="B64" s="250"/>
      <c r="C64" s="250" t="s">
        <v>366</v>
      </c>
      <c r="D64" s="162" t="s">
        <v>282</v>
      </c>
      <c r="E64" s="155"/>
      <c r="F64" s="195" t="s">
        <v>367</v>
      </c>
      <c r="G64" s="169">
        <v>2.0</v>
      </c>
      <c r="H64" s="196">
        <f t="shared" si="8"/>
        <v>0.2</v>
      </c>
      <c r="I64" s="169">
        <f t="shared" si="9"/>
        <v>0.4</v>
      </c>
      <c r="J64" s="169">
        <f t="shared" ref="J64:J65" si="33">G64*1.2</f>
        <v>2.4</v>
      </c>
      <c r="K64" s="190">
        <f t="shared" si="10"/>
        <v>2.928</v>
      </c>
      <c r="L64" s="155">
        <f t="shared" ref="L64:L65" si="34">K64*1.22</f>
        <v>3.57216</v>
      </c>
      <c r="M64" s="167">
        <f t="shared" si="11"/>
        <v>3.2208</v>
      </c>
      <c r="N64" s="160">
        <f t="shared" si="12"/>
        <v>3.929376</v>
      </c>
      <c r="O64" s="155"/>
      <c r="P64" s="155"/>
      <c r="Q64" s="155"/>
      <c r="R64" s="155"/>
      <c r="S64" s="155"/>
      <c r="T64" s="155"/>
      <c r="U64" s="187" t="str">
        <f t="shared" si="13"/>
        <v>Anclaje Z</v>
      </c>
      <c r="V64" s="193"/>
      <c r="W64" s="198">
        <f t="shared" si="14"/>
        <v>0</v>
      </c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</row>
    <row r="65" ht="15.75" customHeight="1">
      <c r="A65" s="250"/>
      <c r="B65" s="250"/>
      <c r="C65" s="260" t="s">
        <v>368</v>
      </c>
      <c r="D65" s="162" t="s">
        <v>282</v>
      </c>
      <c r="E65" s="155"/>
      <c r="F65" s="195" t="s">
        <v>369</v>
      </c>
      <c r="G65" s="169">
        <v>0.435</v>
      </c>
      <c r="H65" s="196">
        <f t="shared" si="8"/>
        <v>0.2</v>
      </c>
      <c r="I65" s="169">
        <f t="shared" si="9"/>
        <v>0.087</v>
      </c>
      <c r="J65" s="169">
        <f t="shared" si="33"/>
        <v>0.522</v>
      </c>
      <c r="K65" s="190">
        <f t="shared" si="10"/>
        <v>0.63684</v>
      </c>
      <c r="L65" s="155">
        <f t="shared" si="34"/>
        <v>0.7769448</v>
      </c>
      <c r="M65" s="167">
        <f t="shared" si="11"/>
        <v>0.700524</v>
      </c>
      <c r="N65" s="160">
        <f t="shared" si="12"/>
        <v>0.85463928</v>
      </c>
      <c r="O65" s="155"/>
      <c r="P65" s="155"/>
      <c r="Q65" s="155"/>
      <c r="R65" s="155"/>
      <c r="S65" s="155"/>
      <c r="T65" s="155"/>
      <c r="U65" s="187" t="str">
        <f t="shared" si="13"/>
        <v>Tuerca union Hexagonal - Extencion de Varilla</v>
      </c>
      <c r="V65" s="193"/>
      <c r="W65" s="198">
        <f t="shared" si="14"/>
        <v>0</v>
      </c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</row>
    <row r="66" ht="15.75" customHeight="1">
      <c r="A66" s="155"/>
      <c r="B66" s="155"/>
      <c r="C66" s="155"/>
      <c r="D66" s="162" t="s">
        <v>282</v>
      </c>
      <c r="E66" s="155"/>
      <c r="F66" s="187" t="s">
        <v>370</v>
      </c>
      <c r="G66" s="188">
        <v>0.41</v>
      </c>
      <c r="H66" s="189">
        <f t="shared" si="8"/>
        <v>0.9512195122</v>
      </c>
      <c r="I66" s="188">
        <f t="shared" si="9"/>
        <v>0.39</v>
      </c>
      <c r="J66" s="188">
        <v>0.8</v>
      </c>
      <c r="K66" s="190">
        <f t="shared" si="10"/>
        <v>0.976</v>
      </c>
      <c r="L66" s="155" t="s">
        <v>290</v>
      </c>
      <c r="M66" s="167">
        <f t="shared" si="11"/>
        <v>1.0736</v>
      </c>
      <c r="N66" s="160">
        <f t="shared" si="12"/>
        <v>1.309792</v>
      </c>
      <c r="O66" s="191">
        <f>K66*1.14</f>
        <v>1.11264</v>
      </c>
      <c r="P66" s="155">
        <f>G66*1.15</f>
        <v>0.4715</v>
      </c>
      <c r="Q66" s="155"/>
      <c r="R66" s="155"/>
      <c r="S66" s="184"/>
      <c r="T66" s="155"/>
      <c r="U66" s="192" t="str">
        <f t="shared" si="13"/>
        <v>Caballete Roof</v>
      </c>
      <c r="V66" s="193"/>
      <c r="W66" s="194">
        <f t="shared" si="14"/>
        <v>0</v>
      </c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</row>
    <row r="67" ht="27.0" customHeight="1">
      <c r="A67" s="250"/>
      <c r="B67" s="250"/>
      <c r="C67" s="250"/>
      <c r="D67" s="162" t="s">
        <v>282</v>
      </c>
      <c r="E67" s="155"/>
      <c r="F67" s="261"/>
      <c r="G67" s="261">
        <v>7.11</v>
      </c>
      <c r="H67" s="261"/>
      <c r="I67" s="261"/>
      <c r="J67" s="261"/>
      <c r="K67" s="261"/>
      <c r="L67" s="155"/>
      <c r="M67" s="155"/>
      <c r="N67" s="155"/>
      <c r="O67" s="155"/>
      <c r="P67" s="155"/>
      <c r="Q67" s="155"/>
      <c r="R67" s="155"/>
      <c r="S67" s="155"/>
      <c r="T67" s="155"/>
      <c r="U67" s="192" t="s">
        <v>371</v>
      </c>
      <c r="V67" s="193"/>
      <c r="W67" s="194">
        <f t="shared" si="14"/>
        <v>0</v>
      </c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</row>
    <row r="68" ht="27.0" customHeight="1">
      <c r="A68" s="250"/>
      <c r="B68" s="250"/>
      <c r="C68" s="250"/>
      <c r="D68" s="162" t="s">
        <v>282</v>
      </c>
      <c r="E68" s="155"/>
      <c r="F68" s="261"/>
      <c r="G68" s="261">
        <v>0.03</v>
      </c>
      <c r="H68" s="261"/>
      <c r="I68" s="261"/>
      <c r="J68" s="261"/>
      <c r="K68" s="261"/>
      <c r="L68" s="155"/>
      <c r="M68" s="155"/>
      <c r="N68" s="155"/>
      <c r="O68" s="155"/>
      <c r="P68" s="155"/>
      <c r="Q68" s="155"/>
      <c r="R68" s="155"/>
      <c r="S68" s="155"/>
      <c r="T68" s="155"/>
      <c r="U68" s="192" t="s">
        <v>340</v>
      </c>
      <c r="V68" s="193"/>
      <c r="W68" s="194">
        <f t="shared" si="14"/>
        <v>0</v>
      </c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</row>
    <row r="69" ht="27.0" customHeight="1">
      <c r="A69" s="250"/>
      <c r="B69" s="250"/>
      <c r="C69" s="250"/>
      <c r="D69" s="250"/>
      <c r="E69" s="250"/>
      <c r="F69" s="229" t="s">
        <v>372</v>
      </c>
      <c r="G69" s="230">
        <v>1.1</v>
      </c>
      <c r="H69" s="231">
        <f>I69/G69</f>
        <v>0.5454545455</v>
      </c>
      <c r="I69" s="230">
        <f>J69-G69</f>
        <v>0.6</v>
      </c>
      <c r="J69" s="230">
        <v>1.7</v>
      </c>
      <c r="K69" s="232">
        <f>J69*1.22</f>
        <v>2.074</v>
      </c>
      <c r="L69" s="233" t="s">
        <v>290</v>
      </c>
      <c r="M69" s="167">
        <f>K69*1.1</f>
        <v>2.2814</v>
      </c>
      <c r="N69" s="160">
        <f>M69*1.22</f>
        <v>2.783308</v>
      </c>
      <c r="O69" s="234">
        <f>K69*1.14</f>
        <v>2.36436</v>
      </c>
      <c r="P69" s="155">
        <f>G69*1.15</f>
        <v>1.265</v>
      </c>
      <c r="Q69" s="155"/>
      <c r="R69" s="155"/>
      <c r="S69" s="155"/>
      <c r="T69" s="155"/>
      <c r="U69" s="210" t="str">
        <f>F69</f>
        <v>Tortuga Plastica PVC - Gris - BROMYROS</v>
      </c>
      <c r="V69" s="193">
        <v>0.0</v>
      </c>
      <c r="W69" s="198">
        <f t="shared" si="14"/>
        <v>0</v>
      </c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</row>
    <row r="70" ht="27.0" customHeight="1">
      <c r="A70" s="250"/>
      <c r="B70" s="250"/>
      <c r="C70" s="250"/>
      <c r="D70" s="162"/>
      <c r="E70" s="155"/>
      <c r="F70" s="261"/>
      <c r="G70" s="261"/>
      <c r="H70" s="261"/>
      <c r="I70" s="261"/>
      <c r="J70" s="261"/>
      <c r="K70" s="261"/>
      <c r="L70" s="155"/>
      <c r="M70" s="155"/>
      <c r="N70" s="155"/>
      <c r="O70" s="155"/>
      <c r="P70" s="155"/>
      <c r="Q70" s="155"/>
      <c r="R70" s="155"/>
      <c r="S70" s="155"/>
      <c r="T70" s="155"/>
      <c r="U70" s="262"/>
      <c r="V70" s="263"/>
      <c r="W70" s="264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</row>
    <row r="71" ht="27.0" customHeight="1">
      <c r="A71" s="250"/>
      <c r="B71" s="250"/>
      <c r="C71" s="250"/>
      <c r="D71" s="162" t="s">
        <v>282</v>
      </c>
      <c r="E71" s="155"/>
      <c r="F71" s="265" t="s">
        <v>373</v>
      </c>
      <c r="G71" s="266"/>
      <c r="H71" s="266"/>
      <c r="I71" s="266"/>
      <c r="J71" s="266"/>
      <c r="K71" s="267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</row>
    <row r="72" ht="15.75" customHeight="1">
      <c r="A72" s="155"/>
      <c r="B72" s="155"/>
      <c r="C72" s="155" t="s">
        <v>373</v>
      </c>
      <c r="D72" s="162" t="s">
        <v>282</v>
      </c>
      <c r="E72" s="155"/>
      <c r="F72" s="268" t="s">
        <v>374</v>
      </c>
      <c r="G72" s="175">
        <v>5.5</v>
      </c>
      <c r="H72" s="269">
        <f t="shared" ref="H72:H74" si="36">I72/G72</f>
        <v>0.6</v>
      </c>
      <c r="I72" s="175">
        <f t="shared" ref="I72:I74" si="37">J72-G72</f>
        <v>3.3</v>
      </c>
      <c r="J72" s="175">
        <f>G72*1.6</f>
        <v>8.8</v>
      </c>
      <c r="K72" s="215">
        <f t="shared" ref="K72:L72" si="35">J72*1.22</f>
        <v>10.736</v>
      </c>
      <c r="L72" s="155">
        <f t="shared" si="35"/>
        <v>13.09792</v>
      </c>
      <c r="M72" s="167">
        <f t="shared" ref="M72:M83" si="39">K72*1.1</f>
        <v>11.8096</v>
      </c>
      <c r="N72" s="160">
        <f t="shared" ref="N72:N83" si="40">M72*1.22</f>
        <v>14.407712</v>
      </c>
      <c r="O72" s="155"/>
      <c r="P72" s="155"/>
      <c r="Q72" s="155"/>
      <c r="R72" s="155"/>
      <c r="S72" s="155"/>
      <c r="T72" s="155"/>
      <c r="U72" s="270" t="str">
        <f t="shared" ref="U72:U75" si="41">F72</f>
        <v>DX900 - Sellador Estructural de Silicona</v>
      </c>
      <c r="V72" s="271"/>
      <c r="W72" s="272">
        <f t="shared" ref="W72:W74" si="42">G72*V72</f>
        <v>0</v>
      </c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</row>
    <row r="73" ht="15.75" customHeight="1">
      <c r="A73" s="273" t="s">
        <v>313</v>
      </c>
      <c r="B73" s="273"/>
      <c r="C73" s="274" t="s">
        <v>373</v>
      </c>
      <c r="D73" s="162" t="s">
        <v>282</v>
      </c>
      <c r="E73" s="155"/>
      <c r="F73" s="275" t="s">
        <v>375</v>
      </c>
      <c r="G73" s="276">
        <v>3.8</v>
      </c>
      <c r="H73" s="277">
        <f t="shared" si="36"/>
        <v>0.6</v>
      </c>
      <c r="I73" s="276">
        <f t="shared" si="37"/>
        <v>2.28</v>
      </c>
      <c r="J73" s="175">
        <v>6.08</v>
      </c>
      <c r="K73" s="215">
        <f t="shared" ref="K73:L73" si="38">J73*1.22</f>
        <v>7.4176</v>
      </c>
      <c r="L73" s="278">
        <f t="shared" si="38"/>
        <v>9.049472</v>
      </c>
      <c r="M73" s="167">
        <f t="shared" si="39"/>
        <v>8.15936</v>
      </c>
      <c r="N73" s="160">
        <f t="shared" si="40"/>
        <v>9.9544192</v>
      </c>
      <c r="O73" s="273"/>
      <c r="P73" s="273"/>
      <c r="Q73" s="273"/>
      <c r="R73" s="273"/>
      <c r="S73" s="273"/>
      <c r="T73" s="279"/>
      <c r="U73" s="280" t="str">
        <f t="shared" si="41"/>
        <v>DX700 - Sellador – Silicona Neutra - 420 gr.</v>
      </c>
      <c r="V73" s="281"/>
      <c r="W73" s="282">
        <f t="shared" si="42"/>
        <v>0</v>
      </c>
      <c r="X73" s="273"/>
      <c r="Y73" s="273"/>
      <c r="Z73" s="273"/>
      <c r="AA73" s="273"/>
      <c r="AB73" s="273"/>
      <c r="AC73" s="273"/>
      <c r="AD73" s="273"/>
      <c r="AE73" s="273"/>
      <c r="AF73" s="273"/>
      <c r="AG73" s="273"/>
      <c r="AH73" s="273"/>
    </row>
    <row r="74" ht="15.75" customHeight="1">
      <c r="A74" s="273"/>
      <c r="B74" s="273"/>
      <c r="C74" s="274" t="s">
        <v>373</v>
      </c>
      <c r="D74" s="162" t="s">
        <v>282</v>
      </c>
      <c r="E74" s="155"/>
      <c r="F74" s="275" t="s">
        <v>376</v>
      </c>
      <c r="G74" s="276">
        <v>10.0</v>
      </c>
      <c r="H74" s="277">
        <f t="shared" si="36"/>
        <v>0.6</v>
      </c>
      <c r="I74" s="276">
        <f t="shared" si="37"/>
        <v>6</v>
      </c>
      <c r="J74" s="175">
        <f>G74*1.6</f>
        <v>16</v>
      </c>
      <c r="K74" s="215">
        <f t="shared" ref="K74:L74" si="43">J74*1.22</f>
        <v>19.52</v>
      </c>
      <c r="L74" s="278">
        <f t="shared" si="43"/>
        <v>23.8144</v>
      </c>
      <c r="M74" s="167">
        <f t="shared" si="39"/>
        <v>21.472</v>
      </c>
      <c r="N74" s="160">
        <f t="shared" si="40"/>
        <v>26.19584</v>
      </c>
      <c r="O74" s="273"/>
      <c r="P74" s="273"/>
      <c r="Q74" s="273"/>
      <c r="R74" s="273"/>
      <c r="S74" s="273"/>
      <c r="T74" s="279"/>
      <c r="U74" s="280" t="str">
        <f t="shared" si="41"/>
        <v>DX 1000 - Sellador Estructural de Silicona (Fachada Vidriada)</v>
      </c>
      <c r="V74" s="281"/>
      <c r="W74" s="282">
        <f t="shared" si="42"/>
        <v>0</v>
      </c>
      <c r="X74" s="273"/>
      <c r="Y74" s="273"/>
      <c r="Z74" s="273"/>
      <c r="AA74" s="273"/>
      <c r="AB74" s="273"/>
      <c r="AC74" s="273"/>
      <c r="AD74" s="273"/>
      <c r="AE74" s="273"/>
      <c r="AF74" s="273"/>
      <c r="AG74" s="273"/>
      <c r="AH74" s="273"/>
    </row>
    <row r="75" ht="15.75" customHeight="1">
      <c r="A75" s="273"/>
      <c r="B75" s="273"/>
      <c r="C75" s="274" t="s">
        <v>373</v>
      </c>
      <c r="D75" s="162" t="s">
        <v>282</v>
      </c>
      <c r="E75" s="155"/>
      <c r="F75" s="275" t="s">
        <v>377</v>
      </c>
      <c r="G75" s="283" t="s">
        <v>378</v>
      </c>
      <c r="H75" s="277"/>
      <c r="I75" s="276"/>
      <c r="J75" s="276"/>
      <c r="K75" s="215">
        <f t="shared" ref="K75:L75" si="44">J75*1.22</f>
        <v>0</v>
      </c>
      <c r="L75" s="278">
        <f t="shared" si="44"/>
        <v>0</v>
      </c>
      <c r="M75" s="167">
        <f t="shared" si="39"/>
        <v>0</v>
      </c>
      <c r="N75" s="160">
        <f t="shared" si="40"/>
        <v>0</v>
      </c>
      <c r="O75" s="273"/>
      <c r="P75" s="273"/>
      <c r="Q75" s="273"/>
      <c r="R75" s="273"/>
      <c r="S75" s="273"/>
      <c r="T75" s="279"/>
      <c r="U75" s="280" t="str">
        <f t="shared" si="41"/>
        <v>DX1000  (A+B) Balde A y B 19L.</v>
      </c>
      <c r="V75" s="281"/>
      <c r="W75" s="282"/>
      <c r="X75" s="273"/>
      <c r="Y75" s="273"/>
      <c r="Z75" s="273"/>
      <c r="AA75" s="273"/>
      <c r="AB75" s="273"/>
      <c r="AC75" s="273"/>
      <c r="AD75" s="273"/>
      <c r="AE75" s="273"/>
      <c r="AF75" s="273"/>
      <c r="AG75" s="273"/>
      <c r="AH75" s="273"/>
    </row>
    <row r="76" ht="15.75" customHeight="1">
      <c r="A76" s="155"/>
      <c r="B76" s="155"/>
      <c r="C76" s="155"/>
      <c r="D76" s="162" t="s">
        <v>282</v>
      </c>
      <c r="E76" s="155"/>
      <c r="F76" s="284"/>
      <c r="G76" s="285"/>
      <c r="H76" s="286"/>
      <c r="I76" s="285"/>
      <c r="J76" s="285"/>
      <c r="K76" s="287"/>
      <c r="L76" s="155"/>
      <c r="M76" s="167">
        <f t="shared" si="39"/>
        <v>0</v>
      </c>
      <c r="N76" s="160">
        <f t="shared" si="40"/>
        <v>0</v>
      </c>
      <c r="O76" s="155"/>
      <c r="P76" s="155"/>
      <c r="Q76" s="155"/>
      <c r="R76" s="155"/>
      <c r="S76" s="155"/>
      <c r="T76" s="155"/>
      <c r="U76" s="155"/>
      <c r="V76" s="161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</row>
    <row r="77" ht="15.75" customHeight="1">
      <c r="A77" s="155" t="s">
        <v>313</v>
      </c>
      <c r="B77" s="155"/>
      <c r="C77" s="155" t="s">
        <v>373</v>
      </c>
      <c r="D77" s="162" t="s">
        <v>282</v>
      </c>
      <c r="E77" s="155"/>
      <c r="F77" s="268" t="s">
        <v>379</v>
      </c>
      <c r="G77" s="175">
        <v>6.5</v>
      </c>
      <c r="H77" s="269">
        <f t="shared" ref="H77:H80" si="46">I77/G77</f>
        <v>0.6</v>
      </c>
      <c r="I77" s="175">
        <f t="shared" ref="I77:I80" si="47">J77-G77</f>
        <v>3.9</v>
      </c>
      <c r="J77" s="175">
        <f t="shared" ref="J77:J80" si="48">G77*1.6</f>
        <v>10.4</v>
      </c>
      <c r="K77" s="215">
        <f t="shared" ref="K77:L77" si="45">J77*1.22</f>
        <v>12.688</v>
      </c>
      <c r="L77" s="155">
        <f t="shared" si="45"/>
        <v>15.47936</v>
      </c>
      <c r="M77" s="167">
        <f t="shared" si="39"/>
        <v>13.9568</v>
      </c>
      <c r="N77" s="160">
        <f t="shared" si="40"/>
        <v>17.027296</v>
      </c>
      <c r="O77" s="155"/>
      <c r="P77" s="155"/>
      <c r="Q77" s="155"/>
      <c r="R77" s="155"/>
      <c r="S77" s="155"/>
      <c r="T77" s="155"/>
      <c r="U77" s="270" t="str">
        <f t="shared" ref="U77:U83" si="50">F77</f>
        <v>DX930 - Espuma Poliuretano – Espuma Expansiva - 750 ml</v>
      </c>
      <c r="V77" s="271"/>
      <c r="W77" s="272">
        <f t="shared" ref="W77:W80" si="51">G77*V77</f>
        <v>0</v>
      </c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</row>
    <row r="78" ht="15.75" customHeight="1">
      <c r="A78" s="155"/>
      <c r="B78" s="155"/>
      <c r="C78" s="155" t="s">
        <v>373</v>
      </c>
      <c r="D78" s="162" t="s">
        <v>282</v>
      </c>
      <c r="E78" s="155"/>
      <c r="F78" s="268" t="s">
        <v>380</v>
      </c>
      <c r="G78" s="175">
        <v>8.5</v>
      </c>
      <c r="H78" s="269">
        <f t="shared" si="46"/>
        <v>0.6</v>
      </c>
      <c r="I78" s="175">
        <f t="shared" si="47"/>
        <v>5.1</v>
      </c>
      <c r="J78" s="175">
        <f t="shared" si="48"/>
        <v>13.6</v>
      </c>
      <c r="K78" s="215">
        <f t="shared" ref="K78:L78" si="49">J78*1.22</f>
        <v>16.592</v>
      </c>
      <c r="L78" s="155">
        <f t="shared" si="49"/>
        <v>20.24224</v>
      </c>
      <c r="M78" s="167">
        <f t="shared" si="39"/>
        <v>18.2512</v>
      </c>
      <c r="N78" s="160">
        <f t="shared" si="40"/>
        <v>22.266464</v>
      </c>
      <c r="O78" s="155"/>
      <c r="P78" s="155"/>
      <c r="Q78" s="155"/>
      <c r="R78" s="155"/>
      <c r="S78" s="155"/>
      <c r="T78" s="155"/>
      <c r="U78" s="270" t="str">
        <f t="shared" si="50"/>
        <v>DX940 - Espuma Poliuretano – Espuma Adhesiva</v>
      </c>
      <c r="V78" s="271"/>
      <c r="W78" s="272">
        <f t="shared" si="51"/>
        <v>0</v>
      </c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</row>
    <row r="79" ht="15.75" customHeight="1">
      <c r="A79" s="155"/>
      <c r="B79" s="155"/>
      <c r="C79" s="155" t="s">
        <v>373</v>
      </c>
      <c r="D79" s="162" t="s">
        <v>282</v>
      </c>
      <c r="E79" s="155"/>
      <c r="F79" s="268" t="s">
        <v>381</v>
      </c>
      <c r="G79" s="175">
        <v>15.0</v>
      </c>
      <c r="H79" s="269">
        <f t="shared" si="46"/>
        <v>0.6</v>
      </c>
      <c r="I79" s="175">
        <f t="shared" si="47"/>
        <v>9</v>
      </c>
      <c r="J79" s="175">
        <f t="shared" si="48"/>
        <v>24</v>
      </c>
      <c r="K79" s="215">
        <f t="shared" ref="K79:L79" si="52">J79*1.22</f>
        <v>29.28</v>
      </c>
      <c r="L79" s="155">
        <f t="shared" si="52"/>
        <v>35.7216</v>
      </c>
      <c r="M79" s="167">
        <f t="shared" si="39"/>
        <v>32.208</v>
      </c>
      <c r="N79" s="160">
        <f t="shared" si="40"/>
        <v>39.29376</v>
      </c>
      <c r="O79" s="155"/>
      <c r="P79" s="155"/>
      <c r="Q79" s="155"/>
      <c r="R79" s="155"/>
      <c r="S79" s="155"/>
      <c r="T79" s="155"/>
      <c r="U79" s="270" t="str">
        <f t="shared" si="50"/>
        <v>DX950 - Adhesivo anclaje Bicomponente (con boquilla mezcladora)</v>
      </c>
      <c r="V79" s="271"/>
      <c r="W79" s="272">
        <f t="shared" si="51"/>
        <v>0</v>
      </c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</row>
    <row r="80" ht="15.75" customHeight="1">
      <c r="A80" s="155"/>
      <c r="B80" s="155"/>
      <c r="C80" s="155" t="s">
        <v>373</v>
      </c>
      <c r="D80" s="162" t="s">
        <v>282</v>
      </c>
      <c r="E80" s="155"/>
      <c r="F80" s="268" t="s">
        <v>382</v>
      </c>
      <c r="G80" s="175">
        <v>3.0</v>
      </c>
      <c r="H80" s="269">
        <f t="shared" si="46"/>
        <v>0.6</v>
      </c>
      <c r="I80" s="175">
        <f t="shared" si="47"/>
        <v>1.8</v>
      </c>
      <c r="J80" s="175">
        <f t="shared" si="48"/>
        <v>4.8</v>
      </c>
      <c r="K80" s="215">
        <f t="shared" ref="K80:L80" si="53">J80*1.22</f>
        <v>5.856</v>
      </c>
      <c r="L80" s="155">
        <f t="shared" si="53"/>
        <v>7.14432</v>
      </c>
      <c r="M80" s="167">
        <f t="shared" si="39"/>
        <v>6.4416</v>
      </c>
      <c r="N80" s="160">
        <f t="shared" si="40"/>
        <v>7.858752</v>
      </c>
      <c r="O80" s="155"/>
      <c r="P80" s="155"/>
      <c r="Q80" s="155"/>
      <c r="R80" s="155"/>
      <c r="S80" s="155"/>
      <c r="T80" s="155"/>
      <c r="U80" s="270" t="str">
        <f t="shared" si="50"/>
        <v>DX600 - Sellador Acrílico Superior</v>
      </c>
      <c r="V80" s="271"/>
      <c r="W80" s="272">
        <f t="shared" si="51"/>
        <v>0</v>
      </c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</row>
    <row r="81" ht="15.75" customHeight="1">
      <c r="A81" s="155"/>
      <c r="B81" s="155"/>
      <c r="C81" s="155" t="s">
        <v>373</v>
      </c>
      <c r="D81" s="162" t="s">
        <v>282</v>
      </c>
      <c r="E81" s="155"/>
      <c r="F81" s="268" t="s">
        <v>383</v>
      </c>
      <c r="G81" s="288" t="s">
        <v>378</v>
      </c>
      <c r="H81" s="269"/>
      <c r="I81" s="175"/>
      <c r="J81" s="175"/>
      <c r="K81" s="215">
        <f t="shared" ref="K81:L81" si="54">J81*1.22</f>
        <v>0</v>
      </c>
      <c r="L81" s="155">
        <f t="shared" si="54"/>
        <v>0</v>
      </c>
      <c r="M81" s="167">
        <f t="shared" si="39"/>
        <v>0</v>
      </c>
      <c r="N81" s="160">
        <f t="shared" si="40"/>
        <v>0</v>
      </c>
      <c r="O81" s="155"/>
      <c r="P81" s="155"/>
      <c r="Q81" s="155"/>
      <c r="R81" s="155"/>
      <c r="S81" s="155"/>
      <c r="T81" s="155"/>
      <c r="U81" s="270" t="str">
        <f t="shared" si="50"/>
        <v>DX1000 (A+B) Tambor A 190 L.   +   Balde B 19 L.</v>
      </c>
      <c r="V81" s="271"/>
      <c r="W81" s="272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</row>
    <row r="82" ht="15.75" customHeight="1">
      <c r="A82" s="155"/>
      <c r="B82" s="155"/>
      <c r="C82" s="155" t="s">
        <v>373</v>
      </c>
      <c r="D82" s="162" t="s">
        <v>282</v>
      </c>
      <c r="E82" s="155"/>
      <c r="F82" s="268" t="s">
        <v>384</v>
      </c>
      <c r="G82" s="175">
        <v>17.0</v>
      </c>
      <c r="H82" s="269">
        <f t="shared" ref="H82:H83" si="56">I82/G82</f>
        <v>0.6</v>
      </c>
      <c r="I82" s="175">
        <f t="shared" ref="I82:I83" si="57">J82-G82</f>
        <v>10.2</v>
      </c>
      <c r="J82" s="175">
        <f t="shared" ref="J82:J83" si="58">G82*1.6</f>
        <v>27.2</v>
      </c>
      <c r="K82" s="215">
        <f t="shared" ref="K82:L82" si="55">J82*1.22</f>
        <v>33.184</v>
      </c>
      <c r="L82" s="155">
        <f t="shared" si="55"/>
        <v>40.48448</v>
      </c>
      <c r="M82" s="167">
        <f t="shared" si="39"/>
        <v>36.5024</v>
      </c>
      <c r="N82" s="160">
        <f t="shared" si="40"/>
        <v>44.532928</v>
      </c>
      <c r="O82" s="155"/>
      <c r="P82" s="155"/>
      <c r="Q82" s="155"/>
      <c r="R82" s="155"/>
      <c r="S82" s="155"/>
      <c r="T82" s="155"/>
      <c r="U82" s="270" t="str">
        <f t="shared" si="50"/>
        <v>APL-DX01 Pistola Aplicadora (Adhesivo, anclaje y Sellador)</v>
      </c>
      <c r="V82" s="271"/>
      <c r="W82" s="272">
        <f t="shared" ref="W82:W83" si="60">G82*V82</f>
        <v>0</v>
      </c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</row>
    <row r="83" ht="15.75" customHeight="1">
      <c r="A83" s="155"/>
      <c r="B83" s="155"/>
      <c r="C83" s="155" t="s">
        <v>373</v>
      </c>
      <c r="D83" s="162" t="s">
        <v>282</v>
      </c>
      <c r="E83" s="155"/>
      <c r="F83" s="268" t="s">
        <v>385</v>
      </c>
      <c r="G83" s="175">
        <v>17.0</v>
      </c>
      <c r="H83" s="269">
        <f t="shared" si="56"/>
        <v>0.6</v>
      </c>
      <c r="I83" s="175">
        <f t="shared" si="57"/>
        <v>10.2</v>
      </c>
      <c r="J83" s="175">
        <f t="shared" si="58"/>
        <v>27.2</v>
      </c>
      <c r="K83" s="215">
        <f t="shared" ref="K83:L83" si="59">J83*1.22</f>
        <v>33.184</v>
      </c>
      <c r="L83" s="155">
        <f t="shared" si="59"/>
        <v>40.48448</v>
      </c>
      <c r="M83" s="167">
        <f t="shared" si="39"/>
        <v>36.5024</v>
      </c>
      <c r="N83" s="160">
        <f t="shared" si="40"/>
        <v>44.532928</v>
      </c>
      <c r="O83" s="155"/>
      <c r="P83" s="155"/>
      <c r="Q83" s="155"/>
      <c r="R83" s="155"/>
      <c r="S83" s="155"/>
      <c r="T83" s="155"/>
      <c r="U83" s="270" t="str">
        <f t="shared" si="50"/>
        <v>APL-DX03 Pistola Aplicadora (Espuma Expansiva)</v>
      </c>
      <c r="V83" s="289"/>
      <c r="W83" s="290">
        <f t="shared" si="60"/>
        <v>0</v>
      </c>
      <c r="X83" s="155"/>
      <c r="Y83" s="155">
        <f>W84*1.22</f>
        <v>111.43846</v>
      </c>
      <c r="Z83" s="155"/>
      <c r="AA83" s="155"/>
      <c r="AB83" s="155"/>
      <c r="AC83" s="155"/>
      <c r="AD83" s="155"/>
      <c r="AE83" s="155"/>
      <c r="AF83" s="155"/>
      <c r="AG83" s="155"/>
      <c r="AH83" s="155"/>
    </row>
    <row r="84" ht="21.75" customHeight="1">
      <c r="A84" s="155"/>
      <c r="B84" s="155"/>
      <c r="C84" s="155"/>
      <c r="D84" s="162" t="s">
        <v>282</v>
      </c>
      <c r="E84" s="155"/>
      <c r="F84" s="155"/>
      <c r="G84" s="155"/>
      <c r="H84" s="155"/>
      <c r="I84" s="155"/>
      <c r="J84" s="155"/>
      <c r="K84" s="220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291" t="s">
        <v>386</v>
      </c>
      <c r="W84" s="292">
        <f>SUM(W11:W83)</f>
        <v>91.343</v>
      </c>
      <c r="X84" s="155"/>
      <c r="Y84" s="220" t="s">
        <v>290</v>
      </c>
      <c r="Z84" s="155"/>
      <c r="AA84" s="155"/>
      <c r="AB84" s="155"/>
      <c r="AC84" s="155"/>
      <c r="AD84" s="155"/>
      <c r="AE84" s="155"/>
      <c r="AF84" s="155"/>
      <c r="AG84" s="155"/>
      <c r="AH84" s="155"/>
    </row>
    <row r="85" ht="15.75" customHeight="1">
      <c r="A85" s="155"/>
      <c r="B85" s="155"/>
      <c r="C85" s="293"/>
      <c r="D85" s="162" t="s">
        <v>282</v>
      </c>
      <c r="E85" s="155"/>
      <c r="F85" s="294" t="s">
        <v>387</v>
      </c>
      <c r="G85" s="295">
        <v>0.017</v>
      </c>
      <c r="H85" s="296">
        <f t="shared" ref="H85:H92" si="61">I85/G85</f>
        <v>0.5</v>
      </c>
      <c r="I85" s="295">
        <f t="shared" ref="I85:I92" si="62">J85-G85</f>
        <v>0.0085</v>
      </c>
      <c r="J85" s="295">
        <f t="shared" ref="J85:J86" si="63">G85*1.5</f>
        <v>0.0255</v>
      </c>
      <c r="K85" s="297">
        <f t="shared" ref="K85:K92" si="64">J85*1.22</f>
        <v>0.03111</v>
      </c>
      <c r="L85" s="155" t="s">
        <v>290</v>
      </c>
      <c r="M85" s="167">
        <f t="shared" ref="M85:M92" si="65">K85*1.1</f>
        <v>0.034221</v>
      </c>
      <c r="N85" s="160">
        <f t="shared" ref="N85:N92" si="66">M85*1.22</f>
        <v>0.04174962</v>
      </c>
      <c r="O85" s="298">
        <f t="shared" ref="O85:O88" si="67">K85*1.14</f>
        <v>0.0354654</v>
      </c>
      <c r="P85" s="155" t="s">
        <v>290</v>
      </c>
      <c r="Q85" s="155"/>
      <c r="R85" s="155">
        <f t="shared" ref="R85:R86" si="68">G85*0.3</f>
        <v>0.0051</v>
      </c>
      <c r="S85" s="184">
        <f t="shared" ref="S85:S86" si="69">G85+R85</f>
        <v>0.0221</v>
      </c>
      <c r="T85" s="155"/>
      <c r="U85" s="155"/>
      <c r="V85" s="161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</row>
    <row r="86" ht="15.75" customHeight="1">
      <c r="A86" s="155"/>
      <c r="B86" s="155"/>
      <c r="C86" s="293"/>
      <c r="D86" s="162" t="s">
        <v>282</v>
      </c>
      <c r="E86" s="155"/>
      <c r="F86" s="299" t="s">
        <v>388</v>
      </c>
      <c r="G86" s="171">
        <v>0.28</v>
      </c>
      <c r="H86" s="170">
        <f t="shared" si="61"/>
        <v>0.5</v>
      </c>
      <c r="I86" s="171">
        <f t="shared" si="62"/>
        <v>0.14</v>
      </c>
      <c r="J86" s="171">
        <f t="shared" si="63"/>
        <v>0.42</v>
      </c>
      <c r="K86" s="190">
        <f t="shared" si="64"/>
        <v>0.5124</v>
      </c>
      <c r="L86" s="155" t="s">
        <v>290</v>
      </c>
      <c r="M86" s="167">
        <f t="shared" si="65"/>
        <v>0.56364</v>
      </c>
      <c r="N86" s="160">
        <f t="shared" si="66"/>
        <v>0.6876408</v>
      </c>
      <c r="O86" s="300">
        <f t="shared" si="67"/>
        <v>0.584136</v>
      </c>
      <c r="P86" s="155" t="s">
        <v>290</v>
      </c>
      <c r="Q86" s="155"/>
      <c r="R86" s="155">
        <f t="shared" si="68"/>
        <v>0.084</v>
      </c>
      <c r="S86" s="184">
        <f t="shared" si="69"/>
        <v>0.364</v>
      </c>
      <c r="T86" s="155"/>
      <c r="U86" s="155"/>
      <c r="V86" s="161"/>
      <c r="W86" s="155"/>
      <c r="X86" s="155" t="s">
        <v>291</v>
      </c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</row>
    <row r="87" ht="15.75" customHeight="1">
      <c r="A87" s="155" t="s">
        <v>313</v>
      </c>
      <c r="B87" s="155"/>
      <c r="C87" s="293"/>
      <c r="D87" s="162" t="s">
        <v>282</v>
      </c>
      <c r="E87" s="155"/>
      <c r="F87" s="299" t="s">
        <v>389</v>
      </c>
      <c r="G87" s="171">
        <v>0.05</v>
      </c>
      <c r="H87" s="170">
        <f t="shared" si="61"/>
        <v>1</v>
      </c>
      <c r="I87" s="171">
        <f t="shared" si="62"/>
        <v>0.05</v>
      </c>
      <c r="J87" s="171">
        <f>G87*2</f>
        <v>0.1</v>
      </c>
      <c r="K87" s="190">
        <f t="shared" si="64"/>
        <v>0.122</v>
      </c>
      <c r="L87" s="155" t="s">
        <v>290</v>
      </c>
      <c r="M87" s="167">
        <f t="shared" si="65"/>
        <v>0.1342</v>
      </c>
      <c r="N87" s="160">
        <f t="shared" si="66"/>
        <v>0.163724</v>
      </c>
      <c r="O87" s="300">
        <f t="shared" si="67"/>
        <v>0.13908</v>
      </c>
      <c r="P87" s="155" t="s">
        <v>290</v>
      </c>
      <c r="Q87" s="155"/>
      <c r="R87" s="155"/>
      <c r="S87" s="155"/>
      <c r="T87" s="155"/>
      <c r="U87" s="155"/>
      <c r="V87" s="161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</row>
    <row r="88" ht="15.75" customHeight="1">
      <c r="A88" s="155" t="s">
        <v>313</v>
      </c>
      <c r="B88" s="155"/>
      <c r="C88" s="293"/>
      <c r="D88" s="162" t="s">
        <v>282</v>
      </c>
      <c r="E88" s="155"/>
      <c r="F88" s="299" t="s">
        <v>390</v>
      </c>
      <c r="G88" s="171">
        <v>0.063</v>
      </c>
      <c r="H88" s="170">
        <f t="shared" si="61"/>
        <v>3</v>
      </c>
      <c r="I88" s="171">
        <f t="shared" si="62"/>
        <v>0.189</v>
      </c>
      <c r="J88" s="171">
        <f t="shared" ref="J88:J89" si="70">G88*4</f>
        <v>0.252</v>
      </c>
      <c r="K88" s="190">
        <f t="shared" si="64"/>
        <v>0.30744</v>
      </c>
      <c r="L88" s="155" t="s">
        <v>290</v>
      </c>
      <c r="M88" s="167">
        <f t="shared" si="65"/>
        <v>0.338184</v>
      </c>
      <c r="N88" s="160">
        <f t="shared" si="66"/>
        <v>0.41258448</v>
      </c>
      <c r="O88" s="300">
        <f t="shared" si="67"/>
        <v>0.3504816</v>
      </c>
      <c r="P88" s="155" t="s">
        <v>290</v>
      </c>
      <c r="Q88" s="155"/>
      <c r="R88" s="155"/>
      <c r="S88" s="155"/>
      <c r="T88" s="155"/>
      <c r="U88" s="155"/>
      <c r="V88" s="161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</row>
    <row r="89" ht="15.75" customHeight="1">
      <c r="A89" s="155" t="s">
        <v>313</v>
      </c>
      <c r="B89" s="155"/>
      <c r="C89" s="293"/>
      <c r="D89" s="162" t="s">
        <v>282</v>
      </c>
      <c r="E89" s="155"/>
      <c r="F89" s="299" t="s">
        <v>391</v>
      </c>
      <c r="G89" s="171">
        <v>0.096</v>
      </c>
      <c r="H89" s="170">
        <f t="shared" si="61"/>
        <v>3</v>
      </c>
      <c r="I89" s="171">
        <f t="shared" si="62"/>
        <v>0.288</v>
      </c>
      <c r="J89" s="171">
        <f t="shared" si="70"/>
        <v>0.384</v>
      </c>
      <c r="K89" s="190">
        <f t="shared" si="64"/>
        <v>0.46848</v>
      </c>
      <c r="L89" s="155" t="s">
        <v>290</v>
      </c>
      <c r="M89" s="167">
        <f t="shared" si="65"/>
        <v>0.515328</v>
      </c>
      <c r="N89" s="160">
        <f t="shared" si="66"/>
        <v>0.62870016</v>
      </c>
      <c r="O89" s="300"/>
      <c r="P89" s="155"/>
      <c r="Q89" s="155"/>
      <c r="R89" s="155"/>
      <c r="S89" s="155"/>
      <c r="T89" s="155"/>
      <c r="U89" s="155"/>
      <c r="V89" s="161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</row>
    <row r="90" ht="15.75" customHeight="1">
      <c r="A90" s="155" t="s">
        <v>313</v>
      </c>
      <c r="B90" s="155"/>
      <c r="C90" s="293"/>
      <c r="D90" s="162" t="s">
        <v>282</v>
      </c>
      <c r="E90" s="155"/>
      <c r="F90" s="299" t="s">
        <v>392</v>
      </c>
      <c r="G90" s="171">
        <v>0.093</v>
      </c>
      <c r="H90" s="170">
        <f t="shared" si="61"/>
        <v>2</v>
      </c>
      <c r="I90" s="171">
        <f t="shared" si="62"/>
        <v>0.186</v>
      </c>
      <c r="J90" s="171">
        <f>G90*3</f>
        <v>0.279</v>
      </c>
      <c r="K90" s="190">
        <f t="shared" si="64"/>
        <v>0.34038</v>
      </c>
      <c r="L90" s="155" t="s">
        <v>290</v>
      </c>
      <c r="M90" s="167">
        <f t="shared" si="65"/>
        <v>0.374418</v>
      </c>
      <c r="N90" s="160">
        <f t="shared" si="66"/>
        <v>0.45678996</v>
      </c>
      <c r="O90" s="300">
        <f t="shared" ref="O90:O92" si="71">K90*1.14</f>
        <v>0.3880332</v>
      </c>
      <c r="P90" s="155" t="s">
        <v>290</v>
      </c>
      <c r="Q90" s="155"/>
      <c r="R90" s="155"/>
      <c r="S90" s="155"/>
      <c r="T90" s="155"/>
      <c r="U90" s="155"/>
      <c r="V90" s="161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</row>
    <row r="91" ht="15.75" customHeight="1">
      <c r="A91" s="155" t="s">
        <v>313</v>
      </c>
      <c r="B91" s="155"/>
      <c r="C91" s="293"/>
      <c r="D91" s="162" t="s">
        <v>282</v>
      </c>
      <c r="E91" s="155"/>
      <c r="F91" s="299" t="s">
        <v>393</v>
      </c>
      <c r="G91" s="171">
        <v>0.13</v>
      </c>
      <c r="H91" s="170">
        <f t="shared" si="61"/>
        <v>1</v>
      </c>
      <c r="I91" s="171">
        <f t="shared" si="62"/>
        <v>0.13</v>
      </c>
      <c r="J91" s="171">
        <f>G91*2</f>
        <v>0.26</v>
      </c>
      <c r="K91" s="190">
        <f t="shared" si="64"/>
        <v>0.3172</v>
      </c>
      <c r="L91" s="155" t="s">
        <v>290</v>
      </c>
      <c r="M91" s="167">
        <f t="shared" si="65"/>
        <v>0.34892</v>
      </c>
      <c r="N91" s="160">
        <f t="shared" si="66"/>
        <v>0.4256824</v>
      </c>
      <c r="O91" s="300">
        <f t="shared" si="71"/>
        <v>0.361608</v>
      </c>
      <c r="P91" s="155" t="s">
        <v>290</v>
      </c>
      <c r="Q91" s="155"/>
      <c r="R91" s="155"/>
      <c r="S91" s="155"/>
      <c r="T91" s="155"/>
      <c r="U91" s="155"/>
      <c r="V91" s="161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</row>
    <row r="92" ht="15.75" customHeight="1">
      <c r="A92" s="155" t="s">
        <v>313</v>
      </c>
      <c r="B92" s="155"/>
      <c r="C92" s="293"/>
      <c r="D92" s="162" t="s">
        <v>282</v>
      </c>
      <c r="E92" s="155"/>
      <c r="F92" s="299" t="s">
        <v>394</v>
      </c>
      <c r="G92" s="171">
        <v>0.19</v>
      </c>
      <c r="H92" s="170">
        <f t="shared" si="61"/>
        <v>0.5</v>
      </c>
      <c r="I92" s="171">
        <f t="shared" si="62"/>
        <v>0.095</v>
      </c>
      <c r="J92" s="171">
        <f>G92*1.5</f>
        <v>0.285</v>
      </c>
      <c r="K92" s="190">
        <f t="shared" si="64"/>
        <v>0.3477</v>
      </c>
      <c r="L92" s="155" t="s">
        <v>290</v>
      </c>
      <c r="M92" s="167">
        <f t="shared" si="65"/>
        <v>0.38247</v>
      </c>
      <c r="N92" s="160">
        <f t="shared" si="66"/>
        <v>0.4666134</v>
      </c>
      <c r="O92" s="301">
        <f t="shared" si="71"/>
        <v>0.396378</v>
      </c>
      <c r="P92" s="155" t="s">
        <v>290</v>
      </c>
      <c r="Q92" s="155"/>
      <c r="R92" s="155"/>
      <c r="S92" s="155"/>
      <c r="T92" s="155"/>
      <c r="U92" s="155"/>
      <c r="V92" s="161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</row>
    <row r="93" ht="15.75" customHeight="1">
      <c r="A93" s="155"/>
      <c r="B93" s="155"/>
      <c r="C93" s="155"/>
      <c r="D93" s="162" t="s">
        <v>282</v>
      </c>
      <c r="E93" s="155"/>
      <c r="F93" s="155"/>
      <c r="G93" s="155"/>
      <c r="H93" s="155"/>
      <c r="I93" s="155"/>
      <c r="J93" s="155"/>
      <c r="K93" s="220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61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</row>
    <row r="94" ht="15.75" customHeight="1">
      <c r="A94" s="155"/>
      <c r="B94" s="155"/>
      <c r="C94" s="155"/>
      <c r="D94" s="162" t="s">
        <v>282</v>
      </c>
      <c r="E94" s="155"/>
      <c r="F94" s="181" t="s">
        <v>395</v>
      </c>
      <c r="G94" s="182"/>
      <c r="H94" s="182"/>
      <c r="I94" s="182"/>
      <c r="J94" s="182"/>
      <c r="K94" s="183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61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</row>
    <row r="95" ht="15.75" customHeight="1">
      <c r="A95" s="155"/>
      <c r="B95" s="155"/>
      <c r="C95" s="155"/>
      <c r="D95" s="162" t="s">
        <v>282</v>
      </c>
      <c r="E95" s="155"/>
      <c r="F95" s="163" t="s">
        <v>283</v>
      </c>
      <c r="G95" s="164" t="s">
        <v>284</v>
      </c>
      <c r="H95" s="164" t="s">
        <v>285</v>
      </c>
      <c r="I95" s="164" t="s">
        <v>286</v>
      </c>
      <c r="J95" s="165" t="s">
        <v>287</v>
      </c>
      <c r="K95" s="166" t="s">
        <v>288</v>
      </c>
      <c r="L95" s="155"/>
      <c r="M95" s="155"/>
      <c r="N95" s="155"/>
      <c r="O95" s="302" t="s">
        <v>300</v>
      </c>
      <c r="P95" s="155"/>
      <c r="Q95" s="155"/>
      <c r="R95" s="155"/>
      <c r="S95" s="155"/>
      <c r="T95" s="155"/>
      <c r="U95" s="155"/>
      <c r="V95" s="161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</row>
    <row r="96" ht="15.75" customHeight="1">
      <c r="A96" s="155"/>
      <c r="B96" s="155"/>
      <c r="C96" s="155"/>
      <c r="D96" s="162" t="s">
        <v>282</v>
      </c>
      <c r="E96" s="155"/>
      <c r="F96" s="299" t="s">
        <v>396</v>
      </c>
      <c r="G96" s="171">
        <v>2.4</v>
      </c>
      <c r="H96" s="170">
        <f t="shared" ref="H96:H102" si="72">I96/G96</f>
        <v>0.2</v>
      </c>
      <c r="I96" s="171">
        <f t="shared" ref="I96:I102" si="73">J96-G96</f>
        <v>0.48</v>
      </c>
      <c r="J96" s="171">
        <f t="shared" ref="J96:J97" si="74">G96*1.2</f>
        <v>2.88</v>
      </c>
      <c r="K96" s="190">
        <f t="shared" ref="K96:K102" si="75">J96*1.22</f>
        <v>3.5136</v>
      </c>
      <c r="L96" s="155" t="s">
        <v>290</v>
      </c>
      <c r="M96" s="167">
        <f t="shared" ref="M96:M113" si="76">K96*1.1</f>
        <v>3.86496</v>
      </c>
      <c r="N96" s="160">
        <f t="shared" ref="N96:N113" si="77">M96*1.22</f>
        <v>4.7152512</v>
      </c>
      <c r="O96" s="300">
        <f t="shared" ref="O96:O101" si="78">K96*1.14</f>
        <v>4.005504</v>
      </c>
      <c r="P96" s="155"/>
      <c r="Q96" s="155"/>
      <c r="R96" s="155"/>
      <c r="S96" s="155"/>
      <c r="T96" s="155"/>
      <c r="U96" s="155"/>
      <c r="V96" s="161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</row>
    <row r="97" ht="15.75" customHeight="1">
      <c r="A97" s="155"/>
      <c r="B97" s="155"/>
      <c r="C97" s="155"/>
      <c r="D97" s="162" t="s">
        <v>282</v>
      </c>
      <c r="E97" s="155"/>
      <c r="F97" s="299" t="s">
        <v>397</v>
      </c>
      <c r="G97" s="171">
        <v>3.38</v>
      </c>
      <c r="H97" s="170">
        <f t="shared" si="72"/>
        <v>0.2</v>
      </c>
      <c r="I97" s="171">
        <f t="shared" si="73"/>
        <v>0.676</v>
      </c>
      <c r="J97" s="171">
        <f t="shared" si="74"/>
        <v>4.056</v>
      </c>
      <c r="K97" s="190">
        <f t="shared" si="75"/>
        <v>4.94832</v>
      </c>
      <c r="L97" s="155" t="s">
        <v>290</v>
      </c>
      <c r="M97" s="167">
        <f t="shared" si="76"/>
        <v>5.443152</v>
      </c>
      <c r="N97" s="160">
        <f t="shared" si="77"/>
        <v>6.64064544</v>
      </c>
      <c r="O97" s="300">
        <f t="shared" si="78"/>
        <v>5.6410848</v>
      </c>
      <c r="P97" s="155"/>
      <c r="Q97" s="155"/>
      <c r="R97" s="155"/>
      <c r="S97" s="155"/>
      <c r="T97" s="155"/>
      <c r="U97" s="155"/>
      <c r="V97" s="161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</row>
    <row r="98" ht="15.75" customHeight="1">
      <c r="A98" s="155"/>
      <c r="B98" s="155"/>
      <c r="C98" s="155"/>
      <c r="D98" s="162" t="s">
        <v>282</v>
      </c>
      <c r="E98" s="155"/>
      <c r="F98" s="299" t="s">
        <v>398</v>
      </c>
      <c r="G98" s="171">
        <v>0.089</v>
      </c>
      <c r="H98" s="170">
        <f t="shared" si="72"/>
        <v>0.5</v>
      </c>
      <c r="I98" s="171">
        <f t="shared" si="73"/>
        <v>0.0445</v>
      </c>
      <c r="J98" s="171">
        <f t="shared" ref="J98:J99" si="79">G98*1.5</f>
        <v>0.1335</v>
      </c>
      <c r="K98" s="190">
        <f t="shared" si="75"/>
        <v>0.16287</v>
      </c>
      <c r="L98" s="155" t="s">
        <v>290</v>
      </c>
      <c r="M98" s="167">
        <f t="shared" si="76"/>
        <v>0.179157</v>
      </c>
      <c r="N98" s="160">
        <f t="shared" si="77"/>
        <v>0.21857154</v>
      </c>
      <c r="O98" s="300">
        <f t="shared" si="78"/>
        <v>0.1856718</v>
      </c>
      <c r="P98" s="155"/>
      <c r="Q98" s="155"/>
      <c r="R98" s="155"/>
      <c r="S98" s="155"/>
      <c r="T98" s="155"/>
      <c r="U98" s="155"/>
      <c r="V98" s="161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</row>
    <row r="99" ht="15.75" customHeight="1">
      <c r="A99" s="155"/>
      <c r="B99" s="155"/>
      <c r="C99" s="155"/>
      <c r="D99" s="162" t="s">
        <v>282</v>
      </c>
      <c r="E99" s="155"/>
      <c r="F99" s="299" t="s">
        <v>399</v>
      </c>
      <c r="G99" s="171">
        <v>0.1</v>
      </c>
      <c r="H99" s="170">
        <f t="shared" si="72"/>
        <v>0.5</v>
      </c>
      <c r="I99" s="171">
        <f t="shared" si="73"/>
        <v>0.05</v>
      </c>
      <c r="J99" s="171">
        <f t="shared" si="79"/>
        <v>0.15</v>
      </c>
      <c r="K99" s="190">
        <f t="shared" si="75"/>
        <v>0.183</v>
      </c>
      <c r="L99" s="155" t="s">
        <v>290</v>
      </c>
      <c r="M99" s="167">
        <f t="shared" si="76"/>
        <v>0.2013</v>
      </c>
      <c r="N99" s="160">
        <f t="shared" si="77"/>
        <v>0.245586</v>
      </c>
      <c r="O99" s="300">
        <f t="shared" si="78"/>
        <v>0.20862</v>
      </c>
      <c r="P99" s="155"/>
      <c r="Q99" s="155"/>
      <c r="R99" s="155"/>
      <c r="S99" s="155"/>
      <c r="T99" s="155"/>
      <c r="U99" s="155"/>
      <c r="V99" s="161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</row>
    <row r="100" ht="15.75" customHeight="1">
      <c r="A100" s="155"/>
      <c r="B100" s="155"/>
      <c r="C100" s="155"/>
      <c r="D100" s="162" t="s">
        <v>282</v>
      </c>
      <c r="E100" s="155"/>
      <c r="F100" s="299" t="s">
        <v>400</v>
      </c>
      <c r="G100" s="171">
        <v>0.49</v>
      </c>
      <c r="H100" s="170">
        <f t="shared" si="72"/>
        <v>1</v>
      </c>
      <c r="I100" s="171">
        <f t="shared" si="73"/>
        <v>0.49</v>
      </c>
      <c r="J100" s="171">
        <f>G100*2</f>
        <v>0.98</v>
      </c>
      <c r="K100" s="190">
        <f t="shared" si="75"/>
        <v>1.1956</v>
      </c>
      <c r="L100" s="155" t="s">
        <v>290</v>
      </c>
      <c r="M100" s="167">
        <f t="shared" si="76"/>
        <v>1.31516</v>
      </c>
      <c r="N100" s="160">
        <f t="shared" si="77"/>
        <v>1.6044952</v>
      </c>
      <c r="O100" s="300">
        <f t="shared" si="78"/>
        <v>1.362984</v>
      </c>
      <c r="P100" s="155"/>
      <c r="Q100" s="155"/>
      <c r="R100" s="155"/>
      <c r="S100" s="155"/>
      <c r="T100" s="155"/>
      <c r="U100" s="155"/>
      <c r="V100" s="161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</row>
    <row r="101" ht="15.75" customHeight="1">
      <c r="A101" s="155"/>
      <c r="B101" s="155"/>
      <c r="C101" s="155"/>
      <c r="D101" s="162" t="s">
        <v>282</v>
      </c>
      <c r="E101" s="155"/>
      <c r="F101" s="299" t="s">
        <v>401</v>
      </c>
      <c r="G101" s="171">
        <v>0.052</v>
      </c>
      <c r="H101" s="170">
        <f t="shared" si="72"/>
        <v>0.3</v>
      </c>
      <c r="I101" s="171">
        <f t="shared" si="73"/>
        <v>0.0156</v>
      </c>
      <c r="J101" s="171">
        <f t="shared" ref="J101:J102" si="80">G101*1.3</f>
        <v>0.0676</v>
      </c>
      <c r="K101" s="190">
        <f t="shared" si="75"/>
        <v>0.082472</v>
      </c>
      <c r="L101" s="155" t="s">
        <v>290</v>
      </c>
      <c r="M101" s="167">
        <f t="shared" si="76"/>
        <v>0.0907192</v>
      </c>
      <c r="N101" s="160">
        <f t="shared" si="77"/>
        <v>0.110677424</v>
      </c>
      <c r="O101" s="301">
        <f t="shared" si="78"/>
        <v>0.09401808</v>
      </c>
      <c r="P101" s="155"/>
      <c r="Q101" s="155"/>
      <c r="R101" s="155"/>
      <c r="S101" s="155"/>
      <c r="T101" s="155"/>
      <c r="U101" s="155"/>
      <c r="V101" s="161"/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</row>
    <row r="102" ht="15.75" customHeight="1">
      <c r="A102" s="155"/>
      <c r="B102" s="155"/>
      <c r="C102" s="155"/>
      <c r="D102" s="162" t="s">
        <v>282</v>
      </c>
      <c r="E102" s="155"/>
      <c r="F102" s="299" t="s">
        <v>401</v>
      </c>
      <c r="G102" s="171">
        <v>0.068</v>
      </c>
      <c r="H102" s="170">
        <f t="shared" si="72"/>
        <v>0.3</v>
      </c>
      <c r="I102" s="171">
        <f t="shared" si="73"/>
        <v>0.0204</v>
      </c>
      <c r="J102" s="171">
        <f t="shared" si="80"/>
        <v>0.0884</v>
      </c>
      <c r="K102" s="190">
        <f t="shared" si="75"/>
        <v>0.107848</v>
      </c>
      <c r="L102" s="155"/>
      <c r="M102" s="167">
        <f t="shared" si="76"/>
        <v>0.1186328</v>
      </c>
      <c r="N102" s="160">
        <f t="shared" si="77"/>
        <v>0.144732016</v>
      </c>
      <c r="O102" s="303"/>
      <c r="P102" s="155"/>
      <c r="Q102" s="155"/>
      <c r="R102" s="155"/>
      <c r="S102" s="155"/>
      <c r="T102" s="155"/>
      <c r="U102" s="155"/>
      <c r="V102" s="161"/>
      <c r="W102" s="155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</row>
    <row r="103" ht="15.75" customHeight="1">
      <c r="A103" s="155"/>
      <c r="B103" s="155"/>
      <c r="C103" s="155"/>
      <c r="D103" s="162" t="s">
        <v>282</v>
      </c>
      <c r="E103" s="155"/>
      <c r="F103" s="155"/>
      <c r="G103" s="155"/>
      <c r="H103" s="155"/>
      <c r="I103" s="155"/>
      <c r="J103" s="155"/>
      <c r="K103" s="220"/>
      <c r="L103" s="155"/>
      <c r="M103" s="167">
        <f t="shared" si="76"/>
        <v>0</v>
      </c>
      <c r="N103" s="160">
        <f t="shared" si="77"/>
        <v>0</v>
      </c>
      <c r="O103" s="155"/>
      <c r="P103" s="155"/>
      <c r="Q103" s="155"/>
      <c r="R103" s="155"/>
      <c r="S103" s="155"/>
      <c r="T103" s="155"/>
      <c r="U103" s="155"/>
      <c r="V103" s="161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</row>
    <row r="104" ht="15.75" customHeight="1">
      <c r="A104" s="155"/>
      <c r="B104" s="155"/>
      <c r="C104" s="155"/>
      <c r="D104" s="162" t="s">
        <v>282</v>
      </c>
      <c r="E104" s="155"/>
      <c r="F104" s="155"/>
      <c r="G104" s="155"/>
      <c r="H104" s="155"/>
      <c r="I104" s="155"/>
      <c r="J104" s="155"/>
      <c r="K104" s="220"/>
      <c r="L104" s="155"/>
      <c r="M104" s="167">
        <f t="shared" si="76"/>
        <v>0</v>
      </c>
      <c r="N104" s="160">
        <f t="shared" si="77"/>
        <v>0</v>
      </c>
      <c r="O104" s="155"/>
      <c r="P104" s="155"/>
      <c r="Q104" s="155"/>
      <c r="R104" s="155"/>
      <c r="S104" s="155"/>
      <c r="T104" s="155"/>
      <c r="U104" s="155"/>
      <c r="V104" s="161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</row>
    <row r="105" ht="20.25" customHeight="1">
      <c r="A105" s="155"/>
      <c r="B105" s="155"/>
      <c r="C105" s="155"/>
      <c r="D105" s="162" t="s">
        <v>282</v>
      </c>
      <c r="E105" s="155"/>
      <c r="F105" s="304" t="s">
        <v>402</v>
      </c>
      <c r="G105" s="304" t="s">
        <v>403</v>
      </c>
      <c r="H105" s="304" t="s">
        <v>404</v>
      </c>
      <c r="I105" s="304" t="s">
        <v>405</v>
      </c>
      <c r="J105" s="304" t="s">
        <v>406</v>
      </c>
      <c r="K105" s="220"/>
      <c r="L105" s="155"/>
      <c r="M105" s="167">
        <f t="shared" si="76"/>
        <v>0</v>
      </c>
      <c r="N105" s="160">
        <f t="shared" si="77"/>
        <v>0</v>
      </c>
      <c r="O105" s="155"/>
      <c r="P105" s="155"/>
      <c r="Q105" s="155"/>
      <c r="R105" s="155"/>
      <c r="S105" s="155"/>
      <c r="T105" s="155"/>
      <c r="U105" s="155"/>
      <c r="V105" s="161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</row>
    <row r="106" ht="15.75" customHeight="1">
      <c r="A106" s="155"/>
      <c r="B106" s="155"/>
      <c r="C106" s="155"/>
      <c r="D106" s="162" t="s">
        <v>282</v>
      </c>
      <c r="E106" s="155"/>
      <c r="F106" s="174" t="s">
        <v>407</v>
      </c>
      <c r="G106" s="174">
        <v>1.4</v>
      </c>
      <c r="H106" s="174">
        <v>13.3</v>
      </c>
      <c r="I106" s="174">
        <v>66.0</v>
      </c>
      <c r="J106" s="174">
        <v>132.0</v>
      </c>
      <c r="K106" s="220"/>
      <c r="L106" s="155"/>
      <c r="M106" s="167">
        <f t="shared" si="76"/>
        <v>0</v>
      </c>
      <c r="N106" s="160">
        <f t="shared" si="77"/>
        <v>0</v>
      </c>
      <c r="O106" s="155"/>
      <c r="P106" s="155"/>
      <c r="Q106" s="155"/>
      <c r="R106" s="155"/>
      <c r="S106" s="155"/>
      <c r="T106" s="155"/>
      <c r="U106" s="155"/>
      <c r="V106" s="161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</row>
    <row r="107" ht="15.75" customHeight="1">
      <c r="A107" s="155"/>
      <c r="B107" s="155"/>
      <c r="C107" s="155"/>
      <c r="D107" s="162" t="s">
        <v>282</v>
      </c>
      <c r="E107" s="155"/>
      <c r="F107" s="174" t="s">
        <v>408</v>
      </c>
      <c r="G107" s="174"/>
      <c r="H107" s="174"/>
      <c r="I107" s="174"/>
      <c r="J107" s="174"/>
      <c r="K107" s="220"/>
      <c r="L107" s="155"/>
      <c r="M107" s="167">
        <f t="shared" si="76"/>
        <v>0</v>
      </c>
      <c r="N107" s="160">
        <f t="shared" si="77"/>
        <v>0</v>
      </c>
      <c r="O107" s="155"/>
      <c r="P107" s="155"/>
      <c r="Q107" s="155"/>
      <c r="R107" s="155"/>
      <c r="S107" s="155"/>
      <c r="T107" s="155"/>
      <c r="U107" s="155"/>
      <c r="V107" s="161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</row>
    <row r="108" ht="15.75" customHeight="1">
      <c r="A108" s="155"/>
      <c r="B108" s="155"/>
      <c r="C108" s="155"/>
      <c r="D108" s="162" t="s">
        <v>282</v>
      </c>
      <c r="E108" s="155"/>
      <c r="F108" s="174" t="s">
        <v>409</v>
      </c>
      <c r="G108" s="174"/>
      <c r="H108" s="174"/>
      <c r="I108" s="174"/>
      <c r="J108" s="174"/>
      <c r="K108" s="220"/>
      <c r="L108" s="155"/>
      <c r="M108" s="167">
        <f t="shared" si="76"/>
        <v>0</v>
      </c>
      <c r="N108" s="160">
        <f t="shared" si="77"/>
        <v>0</v>
      </c>
      <c r="O108" s="155"/>
      <c r="P108" s="155"/>
      <c r="Q108" s="155"/>
      <c r="R108" s="155"/>
      <c r="S108" s="155"/>
      <c r="T108" s="155"/>
      <c r="U108" s="155"/>
      <c r="V108" s="161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</row>
    <row r="109" ht="15.75" customHeight="1">
      <c r="A109" s="155"/>
      <c r="B109" s="155"/>
      <c r="C109" s="155"/>
      <c r="D109" s="162" t="s">
        <v>282</v>
      </c>
      <c r="E109" s="155"/>
      <c r="F109" s="174" t="s">
        <v>410</v>
      </c>
      <c r="G109" s="174"/>
      <c r="H109" s="174"/>
      <c r="I109" s="174"/>
      <c r="J109" s="174"/>
      <c r="K109" s="220"/>
      <c r="L109" s="155"/>
      <c r="M109" s="167">
        <f t="shared" si="76"/>
        <v>0</v>
      </c>
      <c r="N109" s="160">
        <f t="shared" si="77"/>
        <v>0</v>
      </c>
      <c r="O109" s="155"/>
      <c r="P109" s="155"/>
      <c r="Q109" s="155"/>
      <c r="R109" s="155"/>
      <c r="S109" s="155"/>
      <c r="T109" s="155"/>
      <c r="U109" s="155"/>
      <c r="V109" s="161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</row>
    <row r="110" ht="15.75" customHeight="1">
      <c r="A110" s="155"/>
      <c r="B110" s="155"/>
      <c r="C110" s="155"/>
      <c r="D110" s="162" t="s">
        <v>282</v>
      </c>
      <c r="E110" s="155"/>
      <c r="F110" s="174" t="s">
        <v>411</v>
      </c>
      <c r="G110" s="174"/>
      <c r="H110" s="174"/>
      <c r="I110" s="174"/>
      <c r="J110" s="174"/>
      <c r="K110" s="220"/>
      <c r="L110" s="155"/>
      <c r="M110" s="167">
        <f t="shared" si="76"/>
        <v>0</v>
      </c>
      <c r="N110" s="160">
        <f t="shared" si="77"/>
        <v>0</v>
      </c>
      <c r="O110" s="155"/>
      <c r="P110" s="155"/>
      <c r="Q110" s="155"/>
      <c r="R110" s="155"/>
      <c r="S110" s="155"/>
      <c r="T110" s="155"/>
      <c r="U110" s="155"/>
      <c r="V110" s="161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</row>
    <row r="111" ht="15.75" customHeight="1">
      <c r="A111" s="155"/>
      <c r="B111" s="155"/>
      <c r="C111" s="155"/>
      <c r="D111" s="162" t="s">
        <v>282</v>
      </c>
      <c r="E111" s="155"/>
      <c r="F111" s="174" t="s">
        <v>412</v>
      </c>
      <c r="G111" s="174"/>
      <c r="H111" s="174"/>
      <c r="I111" s="174"/>
      <c r="J111" s="174"/>
      <c r="K111" s="220"/>
      <c r="L111" s="155"/>
      <c r="M111" s="167">
        <f t="shared" si="76"/>
        <v>0</v>
      </c>
      <c r="N111" s="160">
        <f t="shared" si="77"/>
        <v>0</v>
      </c>
      <c r="O111" s="155"/>
      <c r="P111" s="155"/>
      <c r="Q111" s="155"/>
      <c r="R111" s="155"/>
      <c r="S111" s="155"/>
      <c r="T111" s="155"/>
      <c r="U111" s="155"/>
      <c r="V111" s="161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</row>
    <row r="112" ht="15.75" customHeight="1">
      <c r="A112" s="155"/>
      <c r="B112" s="155"/>
      <c r="C112" s="155"/>
      <c r="D112" s="162" t="s">
        <v>282</v>
      </c>
      <c r="E112" s="155"/>
      <c r="F112" s="174" t="s">
        <v>413</v>
      </c>
      <c r="G112" s="174"/>
      <c r="H112" s="174"/>
      <c r="I112" s="174"/>
      <c r="J112" s="174"/>
      <c r="K112" s="220"/>
      <c r="L112" s="155"/>
      <c r="M112" s="167">
        <f t="shared" si="76"/>
        <v>0</v>
      </c>
      <c r="N112" s="160">
        <f t="shared" si="77"/>
        <v>0</v>
      </c>
      <c r="O112" s="155"/>
      <c r="P112" s="155"/>
      <c r="Q112" s="155"/>
      <c r="R112" s="155"/>
      <c r="S112" s="155"/>
      <c r="T112" s="155"/>
      <c r="U112" s="155"/>
      <c r="V112" s="161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</row>
    <row r="113" ht="15.75" customHeight="1">
      <c r="A113" s="155"/>
      <c r="B113" s="155"/>
      <c r="C113" s="155"/>
      <c r="D113" s="162" t="s">
        <v>282</v>
      </c>
      <c r="E113" s="155"/>
      <c r="F113" s="155"/>
      <c r="G113" s="155"/>
      <c r="H113" s="155"/>
      <c r="I113" s="155"/>
      <c r="J113" s="155"/>
      <c r="K113" s="220"/>
      <c r="L113" s="155"/>
      <c r="M113" s="167">
        <f t="shared" si="76"/>
        <v>0</v>
      </c>
      <c r="N113" s="160">
        <f t="shared" si="77"/>
        <v>0</v>
      </c>
      <c r="O113" s="155"/>
      <c r="P113" s="155"/>
      <c r="Q113" s="155"/>
      <c r="R113" s="155"/>
      <c r="S113" s="155"/>
      <c r="T113" s="155"/>
      <c r="U113" s="155"/>
      <c r="V113" s="161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</row>
    <row r="114" ht="15.75" customHeight="1">
      <c r="A114" s="155"/>
      <c r="B114" s="155"/>
      <c r="C114" s="155"/>
      <c r="D114" s="162" t="s">
        <v>282</v>
      </c>
      <c r="E114" s="155"/>
      <c r="F114" s="163" t="s">
        <v>283</v>
      </c>
      <c r="G114" s="164" t="s">
        <v>284</v>
      </c>
      <c r="H114" s="164" t="s">
        <v>285</v>
      </c>
      <c r="I114" s="164" t="s">
        <v>286</v>
      </c>
      <c r="J114" s="165" t="s">
        <v>287</v>
      </c>
      <c r="K114" s="166" t="s">
        <v>288</v>
      </c>
      <c r="L114" s="155"/>
      <c r="M114" s="155"/>
      <c r="N114" s="155"/>
      <c r="O114" s="155"/>
      <c r="P114" s="155"/>
      <c r="Q114" s="155"/>
      <c r="R114" s="155"/>
      <c r="S114" s="184"/>
      <c r="T114" s="155"/>
      <c r="U114" s="155"/>
      <c r="V114" s="161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</row>
    <row r="115" ht="15.75" customHeight="1">
      <c r="A115" s="155"/>
      <c r="B115" s="155"/>
      <c r="C115" s="155"/>
      <c r="D115" s="162" t="s">
        <v>282</v>
      </c>
      <c r="E115" s="155"/>
      <c r="F115" s="305" t="s">
        <v>414</v>
      </c>
      <c r="G115" s="306">
        <v>1.1</v>
      </c>
      <c r="H115" s="307"/>
      <c r="I115" s="308">
        <f>J115-G115</f>
        <v>4.86</v>
      </c>
      <c r="J115" s="307">
        <v>5.96</v>
      </c>
      <c r="K115" s="309">
        <f>J115*1.22</f>
        <v>7.2712</v>
      </c>
      <c r="L115" s="155"/>
      <c r="M115" s="167">
        <f t="shared" ref="M115:M125" si="81">K115*1.1</f>
        <v>7.99832</v>
      </c>
      <c r="N115" s="160">
        <f t="shared" ref="N115:N125" si="82">M115*1.22</f>
        <v>9.7579504</v>
      </c>
      <c r="O115" s="155"/>
      <c r="P115" s="155">
        <f t="shared" ref="P115:P129" si="83">G115*1.15</f>
        <v>1.265</v>
      </c>
      <c r="Q115" s="155"/>
      <c r="R115" s="155"/>
      <c r="S115" s="184"/>
      <c r="T115" s="155"/>
      <c r="U115" s="155"/>
      <c r="V115" s="161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</row>
    <row r="116" ht="15.75" customHeight="1">
      <c r="A116" s="155"/>
      <c r="B116" s="155"/>
      <c r="C116" s="155"/>
      <c r="D116" s="162" t="s">
        <v>282</v>
      </c>
      <c r="E116" s="155"/>
      <c r="F116" s="168" t="s">
        <v>415</v>
      </c>
      <c r="H116" s="155"/>
      <c r="I116" s="285"/>
      <c r="J116" s="155"/>
      <c r="K116" s="220"/>
      <c r="L116" s="155"/>
      <c r="M116" s="167">
        <f t="shared" si="81"/>
        <v>0</v>
      </c>
      <c r="N116" s="160">
        <f t="shared" si="82"/>
        <v>0</v>
      </c>
      <c r="O116" s="155"/>
      <c r="P116" s="155">
        <f t="shared" si="83"/>
        <v>0</v>
      </c>
      <c r="Q116" s="155"/>
      <c r="R116" s="155"/>
      <c r="S116" s="184"/>
      <c r="T116" s="155"/>
      <c r="U116" s="155"/>
      <c r="V116" s="161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</row>
    <row r="117" ht="15.75" customHeight="1">
      <c r="A117" s="155"/>
      <c r="B117" s="155"/>
      <c r="C117" s="155"/>
      <c r="D117" s="162" t="s">
        <v>282</v>
      </c>
      <c r="E117" s="155"/>
      <c r="F117" s="305" t="s">
        <v>416</v>
      </c>
      <c r="G117" s="306">
        <v>0.7449</v>
      </c>
      <c r="H117" s="307"/>
      <c r="I117" s="308">
        <f>J117-G117</f>
        <v>0.8551</v>
      </c>
      <c r="J117" s="307">
        <v>1.6</v>
      </c>
      <c r="K117" s="309">
        <f>J117*1.22</f>
        <v>1.952</v>
      </c>
      <c r="L117" s="155"/>
      <c r="M117" s="167">
        <f t="shared" si="81"/>
        <v>2.1472</v>
      </c>
      <c r="N117" s="160">
        <f t="shared" si="82"/>
        <v>2.619584</v>
      </c>
      <c r="O117" s="155"/>
      <c r="P117" s="155">
        <f t="shared" si="83"/>
        <v>0.856635</v>
      </c>
      <c r="Q117" s="155"/>
      <c r="R117" s="155"/>
      <c r="S117" s="184"/>
      <c r="T117" s="155"/>
      <c r="U117" s="155"/>
      <c r="V117" s="161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</row>
    <row r="118" ht="15.75" customHeight="1">
      <c r="A118" s="155"/>
      <c r="B118" s="155"/>
      <c r="C118" s="155"/>
      <c r="D118" s="162" t="s">
        <v>282</v>
      </c>
      <c r="E118" s="155"/>
      <c r="F118" s="168" t="s">
        <v>417</v>
      </c>
      <c r="H118" s="155"/>
      <c r="I118" s="285"/>
      <c r="J118" s="155"/>
      <c r="K118" s="220"/>
      <c r="L118" s="155"/>
      <c r="M118" s="167">
        <f t="shared" si="81"/>
        <v>0</v>
      </c>
      <c r="N118" s="160">
        <f t="shared" si="82"/>
        <v>0</v>
      </c>
      <c r="O118" s="155"/>
      <c r="P118" s="155">
        <f t="shared" si="83"/>
        <v>0</v>
      </c>
      <c r="Q118" s="155"/>
      <c r="R118" s="155"/>
      <c r="S118" s="184"/>
      <c r="T118" s="155"/>
      <c r="U118" s="155"/>
      <c r="V118" s="161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</row>
    <row r="119" ht="15.75" customHeight="1">
      <c r="A119" s="155"/>
      <c r="B119" s="155"/>
      <c r="C119" s="155"/>
      <c r="D119" s="162" t="s">
        <v>282</v>
      </c>
      <c r="E119" s="155"/>
      <c r="F119" s="305" t="s">
        <v>418</v>
      </c>
      <c r="G119" s="306">
        <v>0.5449</v>
      </c>
      <c r="H119" s="307"/>
      <c r="I119" s="308">
        <f>J119-G119</f>
        <v>1.0551</v>
      </c>
      <c r="J119" s="307">
        <v>1.6</v>
      </c>
      <c r="K119" s="309">
        <f>J119*1.22</f>
        <v>1.952</v>
      </c>
      <c r="L119" s="155"/>
      <c r="M119" s="167">
        <f t="shared" si="81"/>
        <v>2.1472</v>
      </c>
      <c r="N119" s="160">
        <f t="shared" si="82"/>
        <v>2.619584</v>
      </c>
      <c r="O119" s="155"/>
      <c r="P119" s="155">
        <f t="shared" si="83"/>
        <v>0.626635</v>
      </c>
      <c r="Q119" s="155"/>
      <c r="R119" s="155"/>
      <c r="S119" s="184"/>
      <c r="T119" s="155"/>
      <c r="U119" s="155"/>
      <c r="V119" s="161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</row>
    <row r="120" ht="15.75" customHeight="1">
      <c r="A120" s="155"/>
      <c r="B120" s="155"/>
      <c r="C120" s="155"/>
      <c r="D120" s="162" t="s">
        <v>282</v>
      </c>
      <c r="E120" s="155"/>
      <c r="F120" s="168" t="s">
        <v>417</v>
      </c>
      <c r="H120" s="155"/>
      <c r="I120" s="285"/>
      <c r="J120" s="155"/>
      <c r="K120" s="220"/>
      <c r="L120" s="155"/>
      <c r="M120" s="167">
        <f t="shared" si="81"/>
        <v>0</v>
      </c>
      <c r="N120" s="160">
        <f t="shared" si="82"/>
        <v>0</v>
      </c>
      <c r="O120" s="155"/>
      <c r="P120" s="155">
        <f t="shared" si="83"/>
        <v>0</v>
      </c>
      <c r="Q120" s="155"/>
      <c r="R120" s="155"/>
      <c r="S120" s="184"/>
      <c r="T120" s="155"/>
      <c r="U120" s="155"/>
      <c r="V120" s="161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</row>
    <row r="121" ht="15.75" customHeight="1">
      <c r="A121" s="155"/>
      <c r="B121" s="155"/>
      <c r="C121" s="155"/>
      <c r="D121" s="162" t="s">
        <v>282</v>
      </c>
      <c r="E121" s="155"/>
      <c r="F121" s="305" t="s">
        <v>419</v>
      </c>
      <c r="G121" s="310">
        <v>0.4464</v>
      </c>
      <c r="H121" s="307"/>
      <c r="I121" s="308">
        <f>J121-G121</f>
        <v>0.7536</v>
      </c>
      <c r="J121" s="307">
        <v>1.2</v>
      </c>
      <c r="K121" s="309">
        <f>J121*1.22</f>
        <v>1.464</v>
      </c>
      <c r="L121" s="155"/>
      <c r="M121" s="167">
        <f t="shared" si="81"/>
        <v>1.6104</v>
      </c>
      <c r="N121" s="160">
        <f t="shared" si="82"/>
        <v>1.964688</v>
      </c>
      <c r="O121" s="155"/>
      <c r="P121" s="155">
        <f t="shared" si="83"/>
        <v>0.51336</v>
      </c>
      <c r="Q121" s="155"/>
      <c r="R121" s="155"/>
      <c r="S121" s="184"/>
      <c r="T121" s="155"/>
      <c r="U121" s="155"/>
      <c r="V121" s="161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</row>
    <row r="122" ht="15.75" customHeight="1">
      <c r="A122" s="155"/>
      <c r="B122" s="155"/>
      <c r="C122" s="155"/>
      <c r="D122" s="162" t="s">
        <v>282</v>
      </c>
      <c r="E122" s="155"/>
      <c r="F122" s="168" t="s">
        <v>420</v>
      </c>
      <c r="H122" s="155"/>
      <c r="I122" s="285"/>
      <c r="J122" s="155"/>
      <c r="K122" s="220"/>
      <c r="L122" s="155"/>
      <c r="M122" s="167">
        <f t="shared" si="81"/>
        <v>0</v>
      </c>
      <c r="N122" s="160">
        <f t="shared" si="82"/>
        <v>0</v>
      </c>
      <c r="O122" s="155"/>
      <c r="P122" s="155">
        <f t="shared" si="83"/>
        <v>0</v>
      </c>
      <c r="Q122" s="155"/>
      <c r="R122" s="155"/>
      <c r="S122" s="184"/>
      <c r="T122" s="155"/>
      <c r="U122" s="155"/>
      <c r="V122" s="161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</row>
    <row r="123" ht="15.75" customHeight="1">
      <c r="A123" s="155"/>
      <c r="B123" s="155"/>
      <c r="C123" s="155"/>
      <c r="D123" s="162" t="s">
        <v>282</v>
      </c>
      <c r="E123" s="155"/>
      <c r="F123" s="305" t="s">
        <v>421</v>
      </c>
      <c r="G123" s="310">
        <v>0.4827</v>
      </c>
      <c r="H123" s="307"/>
      <c r="I123" s="308">
        <f>J123-G123</f>
        <v>0.7173</v>
      </c>
      <c r="J123" s="307">
        <v>1.2</v>
      </c>
      <c r="K123" s="309">
        <f>J123*1.22</f>
        <v>1.464</v>
      </c>
      <c r="L123" s="155"/>
      <c r="M123" s="167">
        <f t="shared" si="81"/>
        <v>1.6104</v>
      </c>
      <c r="N123" s="160">
        <f t="shared" si="82"/>
        <v>1.964688</v>
      </c>
      <c r="O123" s="155"/>
      <c r="P123" s="155">
        <f t="shared" si="83"/>
        <v>0.555105</v>
      </c>
      <c r="Q123" s="155"/>
      <c r="R123" s="155"/>
      <c r="S123" s="184"/>
      <c r="T123" s="155"/>
      <c r="U123" s="155"/>
      <c r="V123" s="161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</row>
    <row r="124" ht="15.75" customHeight="1">
      <c r="A124" s="155"/>
      <c r="B124" s="155"/>
      <c r="C124" s="155"/>
      <c r="D124" s="162" t="s">
        <v>282</v>
      </c>
      <c r="E124" s="155"/>
      <c r="F124" s="168" t="s">
        <v>420</v>
      </c>
      <c r="H124" s="155"/>
      <c r="I124" s="285"/>
      <c r="J124" s="155"/>
      <c r="K124" s="220"/>
      <c r="L124" s="155"/>
      <c r="M124" s="167">
        <f t="shared" si="81"/>
        <v>0</v>
      </c>
      <c r="N124" s="160">
        <f t="shared" si="82"/>
        <v>0</v>
      </c>
      <c r="O124" s="155"/>
      <c r="P124" s="155">
        <f t="shared" si="83"/>
        <v>0</v>
      </c>
      <c r="Q124" s="155"/>
      <c r="R124" s="155"/>
      <c r="S124" s="184"/>
      <c r="T124" s="155"/>
      <c r="U124" s="155"/>
      <c r="V124" s="161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</row>
    <row r="125" ht="15.75" customHeight="1">
      <c r="A125" s="155"/>
      <c r="B125" s="155"/>
      <c r="C125" s="155"/>
      <c r="D125" s="162" t="s">
        <v>282</v>
      </c>
      <c r="E125" s="155"/>
      <c r="F125" s="305" t="s">
        <v>422</v>
      </c>
      <c r="G125" s="310">
        <v>0.303</v>
      </c>
      <c r="H125" s="307"/>
      <c r="I125" s="308">
        <f>J125-G125</f>
        <v>0.7878</v>
      </c>
      <c r="J125" s="307">
        <f>G125*3.6</f>
        <v>1.0908</v>
      </c>
      <c r="K125" s="309">
        <f>J125*1.22</f>
        <v>1.330776</v>
      </c>
      <c r="L125" s="155"/>
      <c r="M125" s="167">
        <f t="shared" si="81"/>
        <v>1.4638536</v>
      </c>
      <c r="N125" s="160">
        <f t="shared" si="82"/>
        <v>1.785901392</v>
      </c>
      <c r="O125" s="155"/>
      <c r="P125" s="155">
        <f t="shared" si="83"/>
        <v>0.34845</v>
      </c>
      <c r="Q125" s="155"/>
      <c r="R125" s="155"/>
      <c r="S125" s="184"/>
      <c r="T125" s="155"/>
      <c r="U125" s="155"/>
      <c r="V125" s="161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</row>
    <row r="126" ht="15.75" customHeight="1">
      <c r="A126" s="155"/>
      <c r="B126" s="155"/>
      <c r="C126" s="155"/>
      <c r="D126" s="162" t="s">
        <v>282</v>
      </c>
      <c r="E126" s="155"/>
      <c r="F126" s="168" t="s">
        <v>423</v>
      </c>
      <c r="G126" s="174">
        <f>(G3*8)+(G15*8)+(G18*8)+(G14)</f>
        <v>2.452</v>
      </c>
      <c r="H126" s="155" t="s">
        <v>424</v>
      </c>
      <c r="I126" s="155"/>
      <c r="J126" s="155"/>
      <c r="K126" s="155" t="s">
        <v>425</v>
      </c>
      <c r="L126" s="155"/>
      <c r="M126" s="155"/>
      <c r="N126" s="155"/>
      <c r="O126" s="155"/>
      <c r="P126" s="155">
        <f t="shared" si="83"/>
        <v>2.8198</v>
      </c>
      <c r="Q126" s="155"/>
      <c r="R126" s="155"/>
      <c r="S126" s="184"/>
      <c r="T126" s="155"/>
      <c r="U126" s="155"/>
      <c r="V126" s="161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</row>
    <row r="127" ht="15.75" customHeight="1">
      <c r="A127" s="155"/>
      <c r="B127" s="155"/>
      <c r="C127" s="155"/>
      <c r="D127" s="162" t="s">
        <v>282</v>
      </c>
      <c r="E127" s="155"/>
      <c r="F127" s="155"/>
      <c r="G127" s="155"/>
      <c r="H127" s="155"/>
      <c r="I127" s="155"/>
      <c r="J127" s="155"/>
      <c r="K127" s="220"/>
      <c r="L127" s="155"/>
      <c r="M127" s="167">
        <f t="shared" ref="M127:M129" si="84">K127*1.1</f>
        <v>0</v>
      </c>
      <c r="N127" s="160">
        <f t="shared" ref="N127:N129" si="85">M127*1.22</f>
        <v>0</v>
      </c>
      <c r="O127" s="155"/>
      <c r="P127" s="155">
        <f t="shared" si="83"/>
        <v>0</v>
      </c>
      <c r="Q127" s="155"/>
      <c r="R127" s="155"/>
      <c r="S127" s="184"/>
      <c r="T127" s="155"/>
      <c r="U127" s="155"/>
      <c r="V127" s="161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</row>
    <row r="128" ht="15.75" customHeight="1">
      <c r="A128" s="155"/>
      <c r="B128" s="155"/>
      <c r="C128" s="155"/>
      <c r="D128" s="162" t="s">
        <v>282</v>
      </c>
      <c r="E128" s="155"/>
      <c r="F128" s="155"/>
      <c r="G128" s="155"/>
      <c r="H128" s="155"/>
      <c r="I128" s="155"/>
      <c r="J128" s="155"/>
      <c r="K128" s="220"/>
      <c r="L128" s="155"/>
      <c r="M128" s="167">
        <f t="shared" si="84"/>
        <v>0</v>
      </c>
      <c r="N128" s="160">
        <f t="shared" si="85"/>
        <v>0</v>
      </c>
      <c r="O128" s="155"/>
      <c r="P128" s="155">
        <f t="shared" si="83"/>
        <v>0</v>
      </c>
      <c r="Q128" s="155"/>
      <c r="R128" s="155"/>
      <c r="S128" s="184"/>
      <c r="T128" s="155"/>
      <c r="U128" s="155"/>
      <c r="V128" s="161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</row>
    <row r="129" ht="15.75" customHeight="1">
      <c r="A129" s="155"/>
      <c r="B129" s="155"/>
      <c r="C129" s="155"/>
      <c r="D129" s="162" t="s">
        <v>282</v>
      </c>
      <c r="E129" s="155"/>
      <c r="F129" s="311" t="s">
        <v>426</v>
      </c>
      <c r="L129" s="155"/>
      <c r="M129" s="167">
        <f t="shared" si="84"/>
        <v>0</v>
      </c>
      <c r="N129" s="160">
        <f t="shared" si="85"/>
        <v>0</v>
      </c>
      <c r="O129" s="155"/>
      <c r="P129" s="155">
        <f t="shared" si="83"/>
        <v>0</v>
      </c>
      <c r="Q129" s="155"/>
      <c r="R129" s="155"/>
      <c r="S129" s="184"/>
      <c r="T129" s="155"/>
      <c r="U129" s="155"/>
      <c r="V129" s="161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</row>
    <row r="130" ht="15.75" customHeight="1">
      <c r="A130" s="155"/>
      <c r="B130" s="155"/>
      <c r="C130" s="155"/>
      <c r="D130" s="162" t="s">
        <v>282</v>
      </c>
      <c r="E130" s="155"/>
      <c r="F130" s="163" t="s">
        <v>283</v>
      </c>
      <c r="G130" s="164" t="s">
        <v>284</v>
      </c>
      <c r="H130" s="164" t="s">
        <v>285</v>
      </c>
      <c r="I130" s="164" t="s">
        <v>286</v>
      </c>
      <c r="J130" s="165" t="s">
        <v>287</v>
      </c>
      <c r="K130" s="166" t="s">
        <v>288</v>
      </c>
      <c r="L130" s="166"/>
      <c r="M130" s="167"/>
      <c r="N130" s="167"/>
      <c r="O130" s="166" t="s">
        <v>427</v>
      </c>
      <c r="P130" s="155"/>
      <c r="Q130" s="155"/>
      <c r="R130" s="155"/>
      <c r="S130" s="184"/>
      <c r="T130" s="155"/>
      <c r="U130" s="155"/>
      <c r="V130" s="161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</row>
    <row r="131" ht="15.75" customHeight="1">
      <c r="A131" s="155"/>
      <c r="B131" s="155"/>
      <c r="C131" s="155"/>
      <c r="D131" s="162" t="s">
        <v>282</v>
      </c>
      <c r="E131" s="155"/>
      <c r="F131" s="168" t="s">
        <v>428</v>
      </c>
      <c r="G131" s="171">
        <v>0.22</v>
      </c>
      <c r="H131" s="312">
        <f t="shared" ref="H131:H134" si="86">I131/G131</f>
        <v>1.727272727</v>
      </c>
      <c r="I131" s="171">
        <f t="shared" ref="I131:I134" si="87">J131-G131</f>
        <v>0.38</v>
      </c>
      <c r="J131" s="171">
        <v>0.6</v>
      </c>
      <c r="K131" s="313">
        <f t="shared" ref="K131:K134" si="88">J131*1.22</f>
        <v>0.732</v>
      </c>
      <c r="L131" s="155"/>
      <c r="M131" s="167">
        <f t="shared" ref="M131:M136" si="89">K131*1.1</f>
        <v>0.8052</v>
      </c>
      <c r="N131" s="160">
        <f t="shared" ref="N131:N136" si="90">M131*1.22</f>
        <v>0.982344</v>
      </c>
      <c r="O131" s="155"/>
      <c r="P131" s="155">
        <f t="shared" ref="P131:P134" si="91">G131*1.15</f>
        <v>0.253</v>
      </c>
      <c r="Q131" s="155"/>
      <c r="R131" s="155"/>
      <c r="S131" s="184"/>
      <c r="T131" s="155"/>
      <c r="U131" s="155"/>
      <c r="V131" s="161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</row>
    <row r="132" ht="15.75" customHeight="1">
      <c r="A132" s="155"/>
      <c r="B132" s="155"/>
      <c r="C132" s="155"/>
      <c r="D132" s="162" t="s">
        <v>282</v>
      </c>
      <c r="E132" s="155"/>
      <c r="F132" s="168" t="s">
        <v>429</v>
      </c>
      <c r="G132" s="171">
        <v>0.014</v>
      </c>
      <c r="H132" s="312">
        <f t="shared" si="86"/>
        <v>3.285714286</v>
      </c>
      <c r="I132" s="171">
        <f t="shared" si="87"/>
        <v>0.046</v>
      </c>
      <c r="J132" s="171">
        <v>0.06</v>
      </c>
      <c r="K132" s="313">
        <f t="shared" si="88"/>
        <v>0.0732</v>
      </c>
      <c r="L132" s="155"/>
      <c r="M132" s="167">
        <f t="shared" si="89"/>
        <v>0.08052</v>
      </c>
      <c r="N132" s="160">
        <f t="shared" si="90"/>
        <v>0.0982344</v>
      </c>
      <c r="O132" s="155"/>
      <c r="P132" s="155">
        <f t="shared" si="91"/>
        <v>0.0161</v>
      </c>
      <c r="Q132" s="155"/>
      <c r="R132" s="155"/>
      <c r="S132" s="184"/>
      <c r="T132" s="155"/>
      <c r="U132" s="155"/>
      <c r="V132" s="161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</row>
    <row r="133" ht="15.75" customHeight="1">
      <c r="A133" s="155"/>
      <c r="B133" s="155"/>
      <c r="C133" s="155"/>
      <c r="D133" s="162" t="s">
        <v>282</v>
      </c>
      <c r="E133" s="155"/>
      <c r="F133" s="168" t="s">
        <v>430</v>
      </c>
      <c r="G133" s="171">
        <v>3.13</v>
      </c>
      <c r="H133" s="312">
        <f t="shared" si="86"/>
        <v>0.5591054313</v>
      </c>
      <c r="I133" s="171">
        <f t="shared" si="87"/>
        <v>1.75</v>
      </c>
      <c r="J133" s="171">
        <v>4.88</v>
      </c>
      <c r="K133" s="313">
        <f t="shared" si="88"/>
        <v>5.9536</v>
      </c>
      <c r="L133" s="155"/>
      <c r="M133" s="167">
        <f t="shared" si="89"/>
        <v>6.54896</v>
      </c>
      <c r="N133" s="160">
        <f t="shared" si="90"/>
        <v>7.9897312</v>
      </c>
      <c r="O133" s="155"/>
      <c r="P133" s="155">
        <f t="shared" si="91"/>
        <v>3.5995</v>
      </c>
      <c r="Q133" s="155"/>
      <c r="R133" s="155"/>
      <c r="S133" s="184">
        <f>G133*1.3</f>
        <v>4.069</v>
      </c>
      <c r="T133" s="155"/>
      <c r="U133" s="155"/>
      <c r="V133" s="161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</row>
    <row r="134" ht="15.75" customHeight="1">
      <c r="A134" s="155"/>
      <c r="B134" s="155"/>
      <c r="C134" s="155"/>
      <c r="D134" s="162" t="s">
        <v>282</v>
      </c>
      <c r="E134" s="155"/>
      <c r="F134" s="168" t="s">
        <v>431</v>
      </c>
      <c r="G134" s="171">
        <v>18.83</v>
      </c>
      <c r="H134" s="312">
        <f t="shared" si="86"/>
        <v>0.3420074349</v>
      </c>
      <c r="I134" s="171">
        <f t="shared" si="87"/>
        <v>6.44</v>
      </c>
      <c r="J134" s="171">
        <v>25.27</v>
      </c>
      <c r="K134" s="313">
        <f t="shared" si="88"/>
        <v>30.8294</v>
      </c>
      <c r="L134" s="155"/>
      <c r="M134" s="167">
        <f t="shared" si="89"/>
        <v>33.91234</v>
      </c>
      <c r="N134" s="160">
        <f t="shared" si="90"/>
        <v>41.3730548</v>
      </c>
      <c r="O134" s="155"/>
      <c r="P134" s="155">
        <f t="shared" si="91"/>
        <v>21.6545</v>
      </c>
      <c r="Q134" s="155"/>
      <c r="R134" s="155"/>
      <c r="S134" s="184"/>
      <c r="T134" s="155"/>
      <c r="U134" s="155"/>
      <c r="V134" s="161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</row>
    <row r="135" ht="15.75" customHeight="1">
      <c r="A135" s="155"/>
      <c r="B135" s="155"/>
      <c r="C135" s="155"/>
      <c r="D135" s="162" t="s">
        <v>282</v>
      </c>
      <c r="E135" s="155"/>
      <c r="F135" s="168" t="s">
        <v>431</v>
      </c>
      <c r="G135" s="171"/>
      <c r="H135" s="312"/>
      <c r="I135" s="171"/>
      <c r="J135" s="171">
        <v>30.0</v>
      </c>
      <c r="K135" s="313"/>
      <c r="L135" s="155"/>
      <c r="M135" s="167">
        <f t="shared" si="89"/>
        <v>0</v>
      </c>
      <c r="N135" s="160">
        <f t="shared" si="90"/>
        <v>0</v>
      </c>
      <c r="O135" s="155"/>
      <c r="P135" s="155"/>
      <c r="Q135" s="155"/>
      <c r="R135" s="155"/>
      <c r="S135" s="184"/>
      <c r="T135" s="155"/>
      <c r="U135" s="155"/>
      <c r="V135" s="161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</row>
    <row r="136" ht="15.75" customHeight="1">
      <c r="A136" s="155"/>
      <c r="B136" s="155"/>
      <c r="C136" s="155"/>
      <c r="D136" s="162" t="s">
        <v>282</v>
      </c>
      <c r="E136" s="155"/>
      <c r="F136" s="168" t="s">
        <v>432</v>
      </c>
      <c r="G136" s="171">
        <v>2.0</v>
      </c>
      <c r="H136" s="312">
        <f>I136/G136</f>
        <v>1.44</v>
      </c>
      <c r="I136" s="171">
        <f>J136-G136</f>
        <v>2.88</v>
      </c>
      <c r="J136" s="171">
        <v>4.88</v>
      </c>
      <c r="K136" s="313">
        <f>J136*1.22</f>
        <v>5.9536</v>
      </c>
      <c r="L136" s="155"/>
      <c r="M136" s="167">
        <f t="shared" si="89"/>
        <v>6.54896</v>
      </c>
      <c r="N136" s="160">
        <f t="shared" si="90"/>
        <v>7.9897312</v>
      </c>
      <c r="O136" s="155"/>
      <c r="P136" s="155">
        <f t="shared" ref="P136:P137" si="92">G136*1.15</f>
        <v>2.3</v>
      </c>
      <c r="Q136" s="155"/>
      <c r="R136" s="155"/>
      <c r="S136" s="184"/>
      <c r="T136" s="155"/>
      <c r="U136" s="155"/>
      <c r="V136" s="161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220"/>
      <c r="L137" s="155"/>
      <c r="M137" s="167"/>
      <c r="N137" s="167"/>
      <c r="O137" s="155"/>
      <c r="P137" s="155">
        <f t="shared" si="92"/>
        <v>0</v>
      </c>
      <c r="Q137" s="155"/>
      <c r="R137" s="155"/>
      <c r="S137" s="155"/>
      <c r="T137" s="155"/>
      <c r="U137" s="155"/>
      <c r="V137" s="161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220"/>
      <c r="L138" s="155"/>
      <c r="M138" s="167"/>
      <c r="N138" s="167"/>
      <c r="O138" s="155"/>
      <c r="P138" s="155"/>
      <c r="Q138" s="155"/>
      <c r="R138" s="155"/>
      <c r="S138" s="155"/>
      <c r="T138" s="155"/>
      <c r="U138" s="155"/>
      <c r="V138" s="161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220"/>
      <c r="L139" s="155"/>
      <c r="M139" s="167"/>
      <c r="N139" s="167"/>
      <c r="O139" s="155"/>
      <c r="P139" s="155"/>
      <c r="Q139" s="155"/>
      <c r="R139" s="155"/>
      <c r="S139" s="155"/>
      <c r="T139" s="155"/>
      <c r="U139" s="155"/>
      <c r="V139" s="161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220"/>
      <c r="L140" s="155"/>
      <c r="M140" s="167"/>
      <c r="N140" s="167"/>
      <c r="O140" s="155"/>
      <c r="P140" s="155"/>
      <c r="Q140" s="155"/>
      <c r="R140" s="155"/>
      <c r="S140" s="155"/>
      <c r="T140" s="155"/>
      <c r="U140" s="155"/>
      <c r="V140" s="161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220"/>
      <c r="L141" s="155"/>
      <c r="M141" s="167"/>
      <c r="N141" s="167"/>
      <c r="O141" s="155"/>
      <c r="P141" s="155"/>
      <c r="Q141" s="155"/>
      <c r="R141" s="155"/>
      <c r="S141" s="155"/>
      <c r="T141" s="155"/>
      <c r="U141" s="155"/>
      <c r="V141" s="161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220"/>
      <c r="L142" s="155"/>
      <c r="M142" s="167"/>
      <c r="N142" s="167"/>
      <c r="O142" s="155"/>
      <c r="P142" s="155"/>
      <c r="Q142" s="155"/>
      <c r="R142" s="155"/>
      <c r="S142" s="155"/>
      <c r="T142" s="155"/>
      <c r="U142" s="155"/>
      <c r="V142" s="161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220"/>
      <c r="L143" s="155"/>
      <c r="M143" s="167"/>
      <c r="N143" s="167"/>
      <c r="O143" s="155"/>
      <c r="P143" s="155"/>
      <c r="Q143" s="155"/>
      <c r="R143" s="155"/>
      <c r="S143" s="155"/>
      <c r="T143" s="155"/>
      <c r="U143" s="155"/>
      <c r="V143" s="161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220"/>
      <c r="L144" s="155"/>
      <c r="M144" s="167"/>
      <c r="N144" s="167"/>
      <c r="O144" s="155"/>
      <c r="P144" s="155"/>
      <c r="Q144" s="155"/>
      <c r="R144" s="155"/>
      <c r="S144" s="155"/>
      <c r="T144" s="155"/>
      <c r="U144" s="155"/>
      <c r="V144" s="161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220"/>
      <c r="L145" s="155"/>
      <c r="M145" s="167"/>
      <c r="N145" s="167"/>
      <c r="O145" s="155"/>
      <c r="P145" s="155"/>
      <c r="Q145" s="155"/>
      <c r="R145" s="155"/>
      <c r="S145" s="155"/>
      <c r="T145" s="155"/>
      <c r="U145" s="155"/>
      <c r="V145" s="161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220"/>
      <c r="L146" s="155"/>
      <c r="M146" s="167"/>
      <c r="N146" s="167"/>
      <c r="O146" s="155"/>
      <c r="P146" s="155"/>
      <c r="Q146" s="155"/>
      <c r="R146" s="155"/>
      <c r="S146" s="155"/>
      <c r="T146" s="155"/>
      <c r="U146" s="155"/>
      <c r="V146" s="161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220"/>
      <c r="L147" s="155"/>
      <c r="M147" s="167"/>
      <c r="N147" s="167"/>
      <c r="O147" s="155"/>
      <c r="P147" s="155"/>
      <c r="Q147" s="155"/>
      <c r="R147" s="155"/>
      <c r="S147" s="155"/>
      <c r="T147" s="155"/>
      <c r="U147" s="155"/>
      <c r="V147" s="161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220"/>
      <c r="L148" s="155"/>
      <c r="M148" s="167"/>
      <c r="N148" s="167"/>
      <c r="O148" s="155"/>
      <c r="P148" s="155"/>
      <c r="Q148" s="155"/>
      <c r="R148" s="155"/>
      <c r="S148" s="155"/>
      <c r="T148" s="155"/>
      <c r="U148" s="155"/>
      <c r="V148" s="161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220"/>
      <c r="L149" s="155"/>
      <c r="M149" s="167"/>
      <c r="N149" s="167"/>
      <c r="O149" s="155"/>
      <c r="P149" s="155"/>
      <c r="Q149" s="155"/>
      <c r="R149" s="155"/>
      <c r="S149" s="155"/>
      <c r="T149" s="155"/>
      <c r="U149" s="155"/>
      <c r="V149" s="161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220"/>
      <c r="L150" s="155"/>
      <c r="M150" s="167"/>
      <c r="N150" s="167"/>
      <c r="O150" s="155"/>
      <c r="P150" s="155"/>
      <c r="Q150" s="155"/>
      <c r="R150" s="155"/>
      <c r="S150" s="155"/>
      <c r="T150" s="155"/>
      <c r="U150" s="155"/>
      <c r="V150" s="161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220"/>
      <c r="L151" s="155"/>
      <c r="M151" s="167"/>
      <c r="N151" s="167"/>
      <c r="O151" s="155"/>
      <c r="P151" s="155"/>
      <c r="Q151" s="155"/>
      <c r="R151" s="155"/>
      <c r="S151" s="155"/>
      <c r="T151" s="155"/>
      <c r="U151" s="155"/>
      <c r="V151" s="161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220"/>
      <c r="L152" s="155"/>
      <c r="M152" s="167"/>
      <c r="N152" s="167"/>
      <c r="O152" s="155"/>
      <c r="P152" s="155"/>
      <c r="Q152" s="155"/>
      <c r="R152" s="155"/>
      <c r="S152" s="155"/>
      <c r="T152" s="155"/>
      <c r="U152" s="155"/>
      <c r="V152" s="161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220"/>
      <c r="L153" s="155"/>
      <c r="M153" s="167"/>
      <c r="N153" s="167"/>
      <c r="O153" s="155"/>
      <c r="P153" s="155"/>
      <c r="Q153" s="155"/>
      <c r="R153" s="155"/>
      <c r="S153" s="155"/>
      <c r="T153" s="155"/>
      <c r="U153" s="155"/>
      <c r="V153" s="161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220"/>
      <c r="L154" s="155"/>
      <c r="M154" s="167"/>
      <c r="N154" s="167"/>
      <c r="O154" s="155"/>
      <c r="P154" s="155"/>
      <c r="Q154" s="155"/>
      <c r="R154" s="155"/>
      <c r="S154" s="155"/>
      <c r="T154" s="155"/>
      <c r="U154" s="155"/>
      <c r="V154" s="161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220"/>
      <c r="L155" s="155"/>
      <c r="M155" s="167"/>
      <c r="N155" s="167"/>
      <c r="O155" s="155"/>
      <c r="P155" s="155"/>
      <c r="Q155" s="155"/>
      <c r="R155" s="155"/>
      <c r="S155" s="155"/>
      <c r="T155" s="155"/>
      <c r="U155" s="155"/>
      <c r="V155" s="161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220"/>
      <c r="L156" s="155"/>
      <c r="M156" s="167"/>
      <c r="N156" s="167"/>
      <c r="O156" s="155"/>
      <c r="P156" s="155"/>
      <c r="Q156" s="155"/>
      <c r="R156" s="155"/>
      <c r="S156" s="155"/>
      <c r="T156" s="155"/>
      <c r="U156" s="155"/>
      <c r="V156" s="161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220"/>
      <c r="L157" s="155"/>
      <c r="M157" s="167"/>
      <c r="N157" s="167"/>
      <c r="O157" s="155"/>
      <c r="P157" s="155"/>
      <c r="Q157" s="155"/>
      <c r="R157" s="155"/>
      <c r="S157" s="155"/>
      <c r="T157" s="155"/>
      <c r="U157" s="155"/>
      <c r="V157" s="161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220"/>
      <c r="L158" s="155"/>
      <c r="M158" s="167"/>
      <c r="N158" s="167"/>
      <c r="O158" s="155"/>
      <c r="P158" s="155"/>
      <c r="Q158" s="155"/>
      <c r="R158" s="155"/>
      <c r="S158" s="155"/>
      <c r="T158" s="155"/>
      <c r="U158" s="155"/>
      <c r="V158" s="161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220"/>
      <c r="L159" s="155"/>
      <c r="M159" s="167"/>
      <c r="N159" s="167"/>
      <c r="O159" s="155"/>
      <c r="P159" s="155"/>
      <c r="Q159" s="155"/>
      <c r="R159" s="155"/>
      <c r="S159" s="155"/>
      <c r="T159" s="155"/>
      <c r="U159" s="155"/>
      <c r="V159" s="161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220"/>
      <c r="L160" s="155"/>
      <c r="M160" s="167"/>
      <c r="N160" s="167"/>
      <c r="O160" s="155"/>
      <c r="P160" s="155"/>
      <c r="Q160" s="155"/>
      <c r="R160" s="155"/>
      <c r="S160" s="155"/>
      <c r="T160" s="155"/>
      <c r="U160" s="155"/>
      <c r="V160" s="161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220"/>
      <c r="L161" s="155"/>
      <c r="M161" s="167"/>
      <c r="N161" s="167"/>
      <c r="O161" s="155"/>
      <c r="P161" s="155"/>
      <c r="Q161" s="155"/>
      <c r="R161" s="155"/>
      <c r="S161" s="155"/>
      <c r="T161" s="155"/>
      <c r="U161" s="155"/>
      <c r="V161" s="161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220"/>
      <c r="L162" s="155"/>
      <c r="M162" s="167"/>
      <c r="N162" s="167"/>
      <c r="O162" s="155"/>
      <c r="P162" s="155"/>
      <c r="Q162" s="155"/>
      <c r="R162" s="155"/>
      <c r="S162" s="155"/>
      <c r="T162" s="155"/>
      <c r="U162" s="155"/>
      <c r="V162" s="161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220"/>
      <c r="L163" s="155"/>
      <c r="M163" s="167"/>
      <c r="N163" s="167"/>
      <c r="O163" s="155"/>
      <c r="P163" s="155"/>
      <c r="Q163" s="155"/>
      <c r="R163" s="155"/>
      <c r="S163" s="155"/>
      <c r="T163" s="155"/>
      <c r="U163" s="155"/>
      <c r="V163" s="161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220"/>
      <c r="L164" s="155"/>
      <c r="M164" s="167"/>
      <c r="N164" s="167"/>
      <c r="O164" s="155"/>
      <c r="P164" s="155"/>
      <c r="Q164" s="155"/>
      <c r="R164" s="155"/>
      <c r="S164" s="155"/>
      <c r="T164" s="155"/>
      <c r="U164" s="155"/>
      <c r="V164" s="161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220"/>
      <c r="L165" s="155"/>
      <c r="M165" s="167"/>
      <c r="N165" s="167"/>
      <c r="O165" s="155"/>
      <c r="P165" s="155"/>
      <c r="Q165" s="155"/>
      <c r="R165" s="155"/>
      <c r="S165" s="155"/>
      <c r="T165" s="155"/>
      <c r="U165" s="155"/>
      <c r="V165" s="161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220"/>
      <c r="L166" s="155"/>
      <c r="M166" s="167"/>
      <c r="N166" s="167"/>
      <c r="O166" s="155"/>
      <c r="P166" s="155"/>
      <c r="Q166" s="155"/>
      <c r="R166" s="155"/>
      <c r="S166" s="155"/>
      <c r="T166" s="155"/>
      <c r="U166" s="155"/>
      <c r="V166" s="161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220"/>
      <c r="L167" s="155"/>
      <c r="M167" s="167"/>
      <c r="N167" s="167"/>
      <c r="O167" s="155"/>
      <c r="P167" s="155"/>
      <c r="Q167" s="155"/>
      <c r="R167" s="155"/>
      <c r="S167" s="155"/>
      <c r="T167" s="155"/>
      <c r="U167" s="155"/>
      <c r="V167" s="161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220"/>
      <c r="L168" s="155"/>
      <c r="M168" s="167"/>
      <c r="N168" s="167"/>
      <c r="O168" s="155"/>
      <c r="P168" s="155"/>
      <c r="Q168" s="155"/>
      <c r="R168" s="155"/>
      <c r="S168" s="155"/>
      <c r="T168" s="155"/>
      <c r="U168" s="155"/>
      <c r="V168" s="161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220"/>
      <c r="L169" s="155"/>
      <c r="M169" s="167"/>
      <c r="N169" s="167"/>
      <c r="O169" s="155"/>
      <c r="P169" s="155"/>
      <c r="Q169" s="155"/>
      <c r="R169" s="155"/>
      <c r="S169" s="155"/>
      <c r="T169" s="155"/>
      <c r="U169" s="155"/>
      <c r="V169" s="161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220"/>
      <c r="L170" s="155"/>
      <c r="M170" s="167"/>
      <c r="N170" s="167"/>
      <c r="O170" s="155"/>
      <c r="P170" s="155"/>
      <c r="Q170" s="155"/>
      <c r="R170" s="155"/>
      <c r="S170" s="155"/>
      <c r="T170" s="155"/>
      <c r="U170" s="155"/>
      <c r="V170" s="161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220"/>
      <c r="L171" s="155"/>
      <c r="M171" s="167"/>
      <c r="N171" s="167"/>
      <c r="O171" s="155"/>
      <c r="P171" s="155"/>
      <c r="Q171" s="155"/>
      <c r="R171" s="155"/>
      <c r="S171" s="155"/>
      <c r="T171" s="155"/>
      <c r="U171" s="155"/>
      <c r="V171" s="161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220"/>
      <c r="L172" s="155"/>
      <c r="M172" s="167"/>
      <c r="N172" s="167"/>
      <c r="O172" s="155"/>
      <c r="P172" s="155"/>
      <c r="Q172" s="155"/>
      <c r="R172" s="155"/>
      <c r="S172" s="155"/>
      <c r="T172" s="155"/>
      <c r="U172" s="155"/>
      <c r="V172" s="161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220"/>
      <c r="L173" s="155"/>
      <c r="M173" s="167"/>
      <c r="N173" s="167"/>
      <c r="O173" s="155"/>
      <c r="P173" s="155"/>
      <c r="Q173" s="155"/>
      <c r="R173" s="155"/>
      <c r="S173" s="155"/>
      <c r="T173" s="155"/>
      <c r="U173" s="155"/>
      <c r="V173" s="161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220"/>
      <c r="L174" s="155"/>
      <c r="M174" s="167"/>
      <c r="N174" s="167"/>
      <c r="O174" s="155"/>
      <c r="P174" s="155"/>
      <c r="Q174" s="155"/>
      <c r="R174" s="155"/>
      <c r="S174" s="155"/>
      <c r="T174" s="155"/>
      <c r="U174" s="155"/>
      <c r="V174" s="161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220"/>
      <c r="L175" s="155"/>
      <c r="M175" s="167"/>
      <c r="N175" s="167"/>
      <c r="O175" s="155"/>
      <c r="P175" s="155"/>
      <c r="Q175" s="155"/>
      <c r="R175" s="155"/>
      <c r="S175" s="155"/>
      <c r="T175" s="155"/>
      <c r="U175" s="155"/>
      <c r="V175" s="161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220"/>
      <c r="L176" s="155"/>
      <c r="M176" s="167"/>
      <c r="N176" s="167"/>
      <c r="O176" s="155"/>
      <c r="P176" s="155"/>
      <c r="Q176" s="155"/>
      <c r="R176" s="155"/>
      <c r="S176" s="155"/>
      <c r="T176" s="155"/>
      <c r="U176" s="155"/>
      <c r="V176" s="161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220"/>
      <c r="L177" s="155"/>
      <c r="M177" s="167"/>
      <c r="N177" s="167"/>
      <c r="O177" s="155"/>
      <c r="P177" s="155"/>
      <c r="Q177" s="155"/>
      <c r="R177" s="155"/>
      <c r="S177" s="155"/>
      <c r="T177" s="155"/>
      <c r="U177" s="155"/>
      <c r="V177" s="161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220"/>
      <c r="L178" s="155"/>
      <c r="M178" s="167"/>
      <c r="N178" s="167"/>
      <c r="O178" s="155"/>
      <c r="P178" s="155"/>
      <c r="Q178" s="155"/>
      <c r="R178" s="155"/>
      <c r="S178" s="155"/>
      <c r="T178" s="155"/>
      <c r="U178" s="155"/>
      <c r="V178" s="161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220"/>
      <c r="L179" s="155"/>
      <c r="M179" s="167"/>
      <c r="N179" s="167"/>
      <c r="O179" s="155"/>
      <c r="P179" s="155"/>
      <c r="Q179" s="155"/>
      <c r="R179" s="155"/>
      <c r="S179" s="155"/>
      <c r="T179" s="155"/>
      <c r="U179" s="155"/>
      <c r="V179" s="161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220"/>
      <c r="L180" s="155"/>
      <c r="M180" s="167"/>
      <c r="N180" s="167"/>
      <c r="O180" s="155"/>
      <c r="P180" s="155"/>
      <c r="Q180" s="155"/>
      <c r="R180" s="155"/>
      <c r="S180" s="155"/>
      <c r="T180" s="155"/>
      <c r="U180" s="155"/>
      <c r="V180" s="161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220"/>
      <c r="L181" s="155"/>
      <c r="M181" s="167"/>
      <c r="N181" s="167"/>
      <c r="O181" s="155"/>
      <c r="P181" s="155"/>
      <c r="Q181" s="155"/>
      <c r="R181" s="155"/>
      <c r="S181" s="155"/>
      <c r="T181" s="155"/>
      <c r="U181" s="155"/>
      <c r="V181" s="161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220"/>
      <c r="L182" s="155"/>
      <c r="M182" s="167"/>
      <c r="N182" s="167"/>
      <c r="O182" s="155"/>
      <c r="P182" s="155"/>
      <c r="Q182" s="155"/>
      <c r="R182" s="155"/>
      <c r="S182" s="155"/>
      <c r="T182" s="155"/>
      <c r="U182" s="155"/>
      <c r="V182" s="161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220"/>
      <c r="L183" s="155"/>
      <c r="M183" s="167"/>
      <c r="N183" s="167"/>
      <c r="O183" s="155"/>
      <c r="P183" s="155"/>
      <c r="Q183" s="155"/>
      <c r="R183" s="155"/>
      <c r="S183" s="155"/>
      <c r="T183" s="155"/>
      <c r="U183" s="155"/>
      <c r="V183" s="161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220"/>
      <c r="L184" s="155"/>
      <c r="M184" s="167"/>
      <c r="N184" s="167"/>
      <c r="O184" s="155"/>
      <c r="P184" s="155"/>
      <c r="Q184" s="155"/>
      <c r="R184" s="155"/>
      <c r="S184" s="155"/>
      <c r="T184" s="155"/>
      <c r="U184" s="155"/>
      <c r="V184" s="161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220"/>
      <c r="L185" s="155"/>
      <c r="M185" s="167"/>
      <c r="N185" s="167"/>
      <c r="O185" s="155"/>
      <c r="P185" s="155"/>
      <c r="Q185" s="155"/>
      <c r="R185" s="155"/>
      <c r="S185" s="155"/>
      <c r="T185" s="155"/>
      <c r="U185" s="155"/>
      <c r="V185" s="161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220"/>
      <c r="L186" s="155"/>
      <c r="M186" s="167"/>
      <c r="N186" s="167"/>
      <c r="O186" s="155"/>
      <c r="P186" s="155"/>
      <c r="Q186" s="155"/>
      <c r="R186" s="155"/>
      <c r="S186" s="155"/>
      <c r="T186" s="155"/>
      <c r="U186" s="155"/>
      <c r="V186" s="161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220"/>
      <c r="L187" s="155"/>
      <c r="M187" s="167"/>
      <c r="N187" s="167"/>
      <c r="O187" s="155"/>
      <c r="P187" s="155"/>
      <c r="Q187" s="155"/>
      <c r="R187" s="155"/>
      <c r="S187" s="155"/>
      <c r="T187" s="155"/>
      <c r="U187" s="155"/>
      <c r="V187" s="161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220"/>
      <c r="L188" s="155"/>
      <c r="M188" s="167"/>
      <c r="N188" s="167"/>
      <c r="O188" s="155"/>
      <c r="P188" s="155"/>
      <c r="Q188" s="155"/>
      <c r="R188" s="155"/>
      <c r="S188" s="155"/>
      <c r="T188" s="155"/>
      <c r="U188" s="155"/>
      <c r="V188" s="161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220"/>
      <c r="L189" s="155"/>
      <c r="M189" s="167"/>
      <c r="N189" s="167"/>
      <c r="O189" s="155"/>
      <c r="P189" s="155"/>
      <c r="Q189" s="155"/>
      <c r="R189" s="155"/>
      <c r="S189" s="155"/>
      <c r="T189" s="155"/>
      <c r="U189" s="155"/>
      <c r="V189" s="161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220"/>
      <c r="L190" s="155"/>
      <c r="M190" s="167"/>
      <c r="N190" s="167"/>
      <c r="O190" s="155"/>
      <c r="P190" s="155"/>
      <c r="Q190" s="155"/>
      <c r="R190" s="155"/>
      <c r="S190" s="155"/>
      <c r="T190" s="155"/>
      <c r="U190" s="155"/>
      <c r="V190" s="161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220"/>
      <c r="L191" s="155"/>
      <c r="M191" s="167"/>
      <c r="N191" s="167"/>
      <c r="O191" s="155"/>
      <c r="P191" s="155"/>
      <c r="Q191" s="155"/>
      <c r="R191" s="155"/>
      <c r="S191" s="155"/>
      <c r="T191" s="155"/>
      <c r="U191" s="155"/>
      <c r="V191" s="161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220"/>
      <c r="L192" s="155"/>
      <c r="M192" s="167"/>
      <c r="N192" s="167"/>
      <c r="O192" s="155"/>
      <c r="P192" s="155"/>
      <c r="Q192" s="155"/>
      <c r="R192" s="155"/>
      <c r="S192" s="155"/>
      <c r="T192" s="155"/>
      <c r="U192" s="155"/>
      <c r="V192" s="161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220"/>
      <c r="L193" s="155"/>
      <c r="M193" s="167"/>
      <c r="N193" s="167"/>
      <c r="O193" s="155"/>
      <c r="P193" s="155"/>
      <c r="Q193" s="155"/>
      <c r="R193" s="155"/>
      <c r="S193" s="155"/>
      <c r="T193" s="155"/>
      <c r="U193" s="155"/>
      <c r="V193" s="161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220"/>
      <c r="L194" s="155"/>
      <c r="M194" s="167"/>
      <c r="N194" s="167"/>
      <c r="O194" s="155"/>
      <c r="P194" s="155"/>
      <c r="Q194" s="155"/>
      <c r="R194" s="155"/>
      <c r="S194" s="155"/>
      <c r="T194" s="155"/>
      <c r="U194" s="155"/>
      <c r="V194" s="161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220"/>
      <c r="L195" s="155"/>
      <c r="M195" s="167"/>
      <c r="N195" s="167"/>
      <c r="O195" s="155"/>
      <c r="P195" s="155"/>
      <c r="Q195" s="155"/>
      <c r="R195" s="155"/>
      <c r="S195" s="155"/>
      <c r="T195" s="155"/>
      <c r="U195" s="155"/>
      <c r="V195" s="161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220"/>
      <c r="L196" s="155"/>
      <c r="M196" s="167"/>
      <c r="N196" s="167"/>
      <c r="O196" s="155"/>
      <c r="P196" s="155"/>
      <c r="Q196" s="155"/>
      <c r="R196" s="155"/>
      <c r="S196" s="155"/>
      <c r="T196" s="155"/>
      <c r="U196" s="155"/>
      <c r="V196" s="161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220"/>
      <c r="L197" s="155"/>
      <c r="M197" s="167"/>
      <c r="N197" s="167"/>
      <c r="O197" s="155"/>
      <c r="P197" s="155"/>
      <c r="Q197" s="155"/>
      <c r="R197" s="155"/>
      <c r="S197" s="155"/>
      <c r="T197" s="155"/>
      <c r="U197" s="155"/>
      <c r="V197" s="161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220"/>
      <c r="L198" s="155"/>
      <c r="M198" s="167"/>
      <c r="N198" s="167"/>
      <c r="O198" s="155"/>
      <c r="P198" s="155"/>
      <c r="Q198" s="155"/>
      <c r="R198" s="155"/>
      <c r="S198" s="155"/>
      <c r="T198" s="155"/>
      <c r="U198" s="155"/>
      <c r="V198" s="161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220"/>
      <c r="L199" s="155"/>
      <c r="M199" s="167"/>
      <c r="N199" s="167"/>
      <c r="O199" s="155"/>
      <c r="P199" s="155"/>
      <c r="Q199" s="155"/>
      <c r="R199" s="155"/>
      <c r="S199" s="155"/>
      <c r="T199" s="155"/>
      <c r="U199" s="155"/>
      <c r="V199" s="161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220"/>
      <c r="L200" s="155"/>
      <c r="M200" s="167"/>
      <c r="N200" s="167"/>
      <c r="O200" s="155"/>
      <c r="P200" s="155"/>
      <c r="Q200" s="155"/>
      <c r="R200" s="155"/>
      <c r="S200" s="155"/>
      <c r="T200" s="155"/>
      <c r="U200" s="155"/>
      <c r="V200" s="161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220"/>
      <c r="L201" s="155"/>
      <c r="M201" s="167"/>
      <c r="N201" s="167"/>
      <c r="O201" s="155"/>
      <c r="P201" s="155"/>
      <c r="Q201" s="155"/>
      <c r="R201" s="155"/>
      <c r="S201" s="155"/>
      <c r="T201" s="155"/>
      <c r="U201" s="155"/>
      <c r="V201" s="161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220"/>
      <c r="L202" s="155"/>
      <c r="M202" s="167"/>
      <c r="N202" s="167"/>
      <c r="O202" s="155"/>
      <c r="P202" s="155"/>
      <c r="Q202" s="155"/>
      <c r="R202" s="155"/>
      <c r="S202" s="155"/>
      <c r="T202" s="155"/>
      <c r="U202" s="155"/>
      <c r="V202" s="161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220"/>
      <c r="L203" s="155"/>
      <c r="M203" s="167"/>
      <c r="N203" s="167"/>
      <c r="O203" s="155"/>
      <c r="P203" s="155"/>
      <c r="Q203" s="155"/>
      <c r="R203" s="155"/>
      <c r="S203" s="155"/>
      <c r="T203" s="155"/>
      <c r="U203" s="155"/>
      <c r="V203" s="161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220"/>
      <c r="L204" s="155"/>
      <c r="M204" s="167"/>
      <c r="N204" s="167"/>
      <c r="O204" s="155"/>
      <c r="P204" s="155"/>
      <c r="Q204" s="155"/>
      <c r="R204" s="155"/>
      <c r="S204" s="155"/>
      <c r="T204" s="155"/>
      <c r="U204" s="155"/>
      <c r="V204" s="161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220"/>
      <c r="L205" s="155"/>
      <c r="M205" s="167"/>
      <c r="N205" s="167"/>
      <c r="O205" s="155"/>
      <c r="P205" s="155"/>
      <c r="Q205" s="155"/>
      <c r="R205" s="155"/>
      <c r="S205" s="155"/>
      <c r="T205" s="155"/>
      <c r="U205" s="155"/>
      <c r="V205" s="161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220"/>
      <c r="L206" s="155"/>
      <c r="M206" s="167"/>
      <c r="N206" s="167"/>
      <c r="O206" s="155"/>
      <c r="P206" s="155"/>
      <c r="Q206" s="155"/>
      <c r="R206" s="155"/>
      <c r="S206" s="155"/>
      <c r="T206" s="155"/>
      <c r="U206" s="155"/>
      <c r="V206" s="161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220"/>
      <c r="L207" s="155"/>
      <c r="M207" s="167"/>
      <c r="N207" s="167"/>
      <c r="O207" s="155"/>
      <c r="P207" s="155"/>
      <c r="Q207" s="155"/>
      <c r="R207" s="155"/>
      <c r="S207" s="155"/>
      <c r="T207" s="155"/>
      <c r="U207" s="155"/>
      <c r="V207" s="161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220"/>
      <c r="L208" s="155"/>
      <c r="M208" s="167"/>
      <c r="N208" s="167"/>
      <c r="O208" s="155"/>
      <c r="P208" s="155"/>
      <c r="Q208" s="155"/>
      <c r="R208" s="155"/>
      <c r="S208" s="155"/>
      <c r="T208" s="155"/>
      <c r="U208" s="155"/>
      <c r="V208" s="161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220"/>
      <c r="L209" s="155"/>
      <c r="M209" s="167"/>
      <c r="N209" s="167"/>
      <c r="O209" s="155"/>
      <c r="P209" s="155"/>
      <c r="Q209" s="155"/>
      <c r="R209" s="155"/>
      <c r="S209" s="155"/>
      <c r="T209" s="155"/>
      <c r="U209" s="155"/>
      <c r="V209" s="161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220"/>
      <c r="L210" s="155"/>
      <c r="M210" s="167"/>
      <c r="N210" s="167"/>
      <c r="O210" s="155"/>
      <c r="P210" s="155"/>
      <c r="Q210" s="155"/>
      <c r="R210" s="155"/>
      <c r="S210" s="155"/>
      <c r="T210" s="155"/>
      <c r="U210" s="155"/>
      <c r="V210" s="161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220"/>
      <c r="L211" s="155"/>
      <c r="M211" s="167"/>
      <c r="N211" s="167"/>
      <c r="O211" s="155"/>
      <c r="P211" s="155"/>
      <c r="Q211" s="155"/>
      <c r="R211" s="155"/>
      <c r="S211" s="155"/>
      <c r="T211" s="155"/>
      <c r="U211" s="155"/>
      <c r="V211" s="161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220"/>
      <c r="L212" s="155"/>
      <c r="M212" s="167"/>
      <c r="N212" s="167"/>
      <c r="O212" s="155"/>
      <c r="P212" s="155"/>
      <c r="Q212" s="155"/>
      <c r="R212" s="155"/>
      <c r="S212" s="155"/>
      <c r="T212" s="155"/>
      <c r="U212" s="155"/>
      <c r="V212" s="161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220"/>
      <c r="L213" s="155"/>
      <c r="M213" s="167"/>
      <c r="N213" s="167"/>
      <c r="O213" s="155"/>
      <c r="P213" s="155"/>
      <c r="Q213" s="155"/>
      <c r="R213" s="155"/>
      <c r="S213" s="155"/>
      <c r="T213" s="155"/>
      <c r="U213" s="155"/>
      <c r="V213" s="161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220"/>
      <c r="L214" s="155"/>
      <c r="M214" s="167"/>
      <c r="N214" s="167"/>
      <c r="O214" s="155"/>
      <c r="P214" s="155"/>
      <c r="Q214" s="155"/>
      <c r="R214" s="155"/>
      <c r="S214" s="155"/>
      <c r="T214" s="155"/>
      <c r="U214" s="155"/>
      <c r="V214" s="161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220"/>
      <c r="L215" s="155"/>
      <c r="M215" s="167"/>
      <c r="N215" s="167"/>
      <c r="O215" s="155"/>
      <c r="P215" s="155"/>
      <c r="Q215" s="155"/>
      <c r="R215" s="155"/>
      <c r="S215" s="155"/>
      <c r="T215" s="155"/>
      <c r="U215" s="155"/>
      <c r="V215" s="161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220"/>
      <c r="L216" s="155"/>
      <c r="M216" s="167"/>
      <c r="N216" s="167"/>
      <c r="O216" s="155"/>
      <c r="P216" s="155"/>
      <c r="Q216" s="155"/>
      <c r="R216" s="155"/>
      <c r="S216" s="155"/>
      <c r="T216" s="155"/>
      <c r="U216" s="155"/>
      <c r="V216" s="161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220"/>
      <c r="L217" s="155"/>
      <c r="M217" s="167"/>
      <c r="N217" s="167"/>
      <c r="O217" s="155"/>
      <c r="P217" s="155"/>
      <c r="Q217" s="155"/>
      <c r="R217" s="155"/>
      <c r="S217" s="155"/>
      <c r="T217" s="155"/>
      <c r="U217" s="155"/>
      <c r="V217" s="161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220"/>
      <c r="L218" s="155"/>
      <c r="M218" s="167"/>
      <c r="N218" s="167"/>
      <c r="O218" s="155"/>
      <c r="P218" s="155"/>
      <c r="Q218" s="155"/>
      <c r="R218" s="155"/>
      <c r="S218" s="155"/>
      <c r="T218" s="155"/>
      <c r="U218" s="155"/>
      <c r="V218" s="161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220"/>
      <c r="L219" s="155"/>
      <c r="M219" s="167"/>
      <c r="N219" s="167"/>
      <c r="O219" s="155"/>
      <c r="P219" s="155"/>
      <c r="Q219" s="155"/>
      <c r="R219" s="155"/>
      <c r="S219" s="155"/>
      <c r="T219" s="155"/>
      <c r="U219" s="155"/>
      <c r="V219" s="161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220"/>
      <c r="L220" s="155"/>
      <c r="M220" s="167"/>
      <c r="N220" s="167"/>
      <c r="O220" s="155"/>
      <c r="P220" s="155"/>
      <c r="Q220" s="155"/>
      <c r="R220" s="155"/>
      <c r="S220" s="155"/>
      <c r="T220" s="155"/>
      <c r="U220" s="155"/>
      <c r="V220" s="161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220"/>
      <c r="L221" s="155"/>
      <c r="M221" s="167"/>
      <c r="N221" s="167"/>
      <c r="O221" s="155"/>
      <c r="P221" s="155"/>
      <c r="Q221" s="155"/>
      <c r="R221" s="155"/>
      <c r="S221" s="155"/>
      <c r="T221" s="155"/>
      <c r="U221" s="155"/>
      <c r="V221" s="161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220"/>
      <c r="L222" s="155"/>
      <c r="M222" s="167"/>
      <c r="N222" s="167"/>
      <c r="O222" s="155"/>
      <c r="P222" s="155"/>
      <c r="Q222" s="155"/>
      <c r="R222" s="155"/>
      <c r="S222" s="155"/>
      <c r="T222" s="155"/>
      <c r="U222" s="155"/>
      <c r="V222" s="161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220"/>
      <c r="L223" s="155"/>
      <c r="M223" s="167"/>
      <c r="N223" s="167"/>
      <c r="O223" s="155"/>
      <c r="P223" s="155"/>
      <c r="Q223" s="155"/>
      <c r="R223" s="155"/>
      <c r="S223" s="155"/>
      <c r="T223" s="155"/>
      <c r="U223" s="155"/>
      <c r="V223" s="161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220"/>
      <c r="L224" s="155"/>
      <c r="M224" s="167"/>
      <c r="N224" s="167"/>
      <c r="O224" s="155"/>
      <c r="P224" s="155"/>
      <c r="Q224" s="155"/>
      <c r="R224" s="155"/>
      <c r="S224" s="155"/>
      <c r="T224" s="155"/>
      <c r="U224" s="155"/>
      <c r="V224" s="161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220"/>
      <c r="L225" s="155"/>
      <c r="M225" s="167"/>
      <c r="N225" s="167"/>
      <c r="O225" s="155"/>
      <c r="P225" s="155"/>
      <c r="Q225" s="155"/>
      <c r="R225" s="155"/>
      <c r="S225" s="155"/>
      <c r="T225" s="155"/>
      <c r="U225" s="155"/>
      <c r="V225" s="161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220"/>
      <c r="L226" s="155"/>
      <c r="M226" s="167"/>
      <c r="N226" s="167"/>
      <c r="O226" s="155"/>
      <c r="P226" s="155"/>
      <c r="Q226" s="155"/>
      <c r="R226" s="155"/>
      <c r="S226" s="155"/>
      <c r="T226" s="155"/>
      <c r="U226" s="155"/>
      <c r="V226" s="161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220"/>
      <c r="L227" s="155"/>
      <c r="M227" s="167"/>
      <c r="N227" s="167"/>
      <c r="O227" s="155"/>
      <c r="P227" s="155"/>
      <c r="Q227" s="155"/>
      <c r="R227" s="155"/>
      <c r="S227" s="155"/>
      <c r="T227" s="155"/>
      <c r="U227" s="155"/>
      <c r="V227" s="161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220"/>
      <c r="L228" s="155"/>
      <c r="M228" s="167"/>
      <c r="N228" s="167"/>
      <c r="O228" s="155"/>
      <c r="P228" s="155"/>
      <c r="Q228" s="155"/>
      <c r="R228" s="155"/>
      <c r="S228" s="155"/>
      <c r="T228" s="155"/>
      <c r="U228" s="155"/>
      <c r="V228" s="161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220"/>
      <c r="L229" s="155"/>
      <c r="M229" s="167"/>
      <c r="N229" s="167"/>
      <c r="O229" s="155"/>
      <c r="P229" s="155"/>
      <c r="Q229" s="155"/>
      <c r="R229" s="155"/>
      <c r="S229" s="155"/>
      <c r="T229" s="155"/>
      <c r="U229" s="155"/>
      <c r="V229" s="161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220"/>
      <c r="L230" s="155"/>
      <c r="M230" s="167"/>
      <c r="N230" s="167"/>
      <c r="O230" s="155"/>
      <c r="P230" s="155"/>
      <c r="Q230" s="155"/>
      <c r="R230" s="155"/>
      <c r="S230" s="155"/>
      <c r="T230" s="155"/>
      <c r="U230" s="155"/>
      <c r="V230" s="161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220"/>
      <c r="L231" s="155"/>
      <c r="M231" s="167"/>
      <c r="N231" s="167"/>
      <c r="O231" s="155"/>
      <c r="P231" s="155"/>
      <c r="Q231" s="155"/>
      <c r="R231" s="155"/>
      <c r="S231" s="155"/>
      <c r="T231" s="155"/>
      <c r="U231" s="155"/>
      <c r="V231" s="161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220"/>
      <c r="L232" s="155"/>
      <c r="M232" s="167"/>
      <c r="N232" s="167"/>
      <c r="O232" s="155"/>
      <c r="P232" s="155"/>
      <c r="Q232" s="155"/>
      <c r="R232" s="155"/>
      <c r="S232" s="155"/>
      <c r="T232" s="155"/>
      <c r="U232" s="155"/>
      <c r="V232" s="161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220"/>
      <c r="L233" s="155"/>
      <c r="M233" s="167"/>
      <c r="N233" s="167"/>
      <c r="O233" s="155"/>
      <c r="P233" s="155"/>
      <c r="Q233" s="155"/>
      <c r="R233" s="155"/>
      <c r="S233" s="155"/>
      <c r="T233" s="155"/>
      <c r="U233" s="155"/>
      <c r="V233" s="161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220"/>
      <c r="L234" s="155"/>
      <c r="M234" s="167"/>
      <c r="N234" s="167"/>
      <c r="O234" s="155"/>
      <c r="P234" s="155"/>
      <c r="Q234" s="155"/>
      <c r="R234" s="155"/>
      <c r="S234" s="155"/>
      <c r="T234" s="155"/>
      <c r="U234" s="155"/>
      <c r="V234" s="161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220"/>
      <c r="L235" s="155"/>
      <c r="M235" s="167"/>
      <c r="N235" s="167"/>
      <c r="O235" s="155"/>
      <c r="P235" s="155"/>
      <c r="Q235" s="155"/>
      <c r="R235" s="155"/>
      <c r="S235" s="155"/>
      <c r="T235" s="155"/>
      <c r="U235" s="155"/>
      <c r="V235" s="161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220"/>
      <c r="L236" s="155"/>
      <c r="M236" s="167"/>
      <c r="N236" s="167"/>
      <c r="O236" s="155"/>
      <c r="P236" s="155"/>
      <c r="Q236" s="155"/>
      <c r="R236" s="155"/>
      <c r="S236" s="155"/>
      <c r="T236" s="155"/>
      <c r="U236" s="155"/>
      <c r="V236" s="161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220"/>
      <c r="L237" s="155"/>
      <c r="M237" s="167"/>
      <c r="N237" s="167"/>
      <c r="O237" s="155"/>
      <c r="P237" s="155"/>
      <c r="Q237" s="155"/>
      <c r="R237" s="155"/>
      <c r="S237" s="155"/>
      <c r="T237" s="155"/>
      <c r="U237" s="155"/>
      <c r="V237" s="161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220"/>
      <c r="L238" s="155"/>
      <c r="M238" s="167"/>
      <c r="N238" s="167"/>
      <c r="O238" s="155"/>
      <c r="P238" s="155"/>
      <c r="Q238" s="155"/>
      <c r="R238" s="155"/>
      <c r="S238" s="155"/>
      <c r="T238" s="155"/>
      <c r="U238" s="155"/>
      <c r="V238" s="161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220"/>
      <c r="L239" s="155"/>
      <c r="M239" s="167"/>
      <c r="N239" s="167"/>
      <c r="O239" s="155"/>
      <c r="P239" s="155"/>
      <c r="Q239" s="155"/>
      <c r="R239" s="155"/>
      <c r="S239" s="155"/>
      <c r="T239" s="155"/>
      <c r="U239" s="155"/>
      <c r="V239" s="161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220"/>
      <c r="L240" s="155"/>
      <c r="M240" s="167"/>
      <c r="N240" s="167"/>
      <c r="O240" s="155"/>
      <c r="P240" s="155"/>
      <c r="Q240" s="155"/>
      <c r="R240" s="155"/>
      <c r="S240" s="155"/>
      <c r="T240" s="155"/>
      <c r="U240" s="155"/>
      <c r="V240" s="161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220"/>
      <c r="L241" s="155"/>
      <c r="M241" s="167"/>
      <c r="N241" s="167"/>
      <c r="O241" s="155"/>
      <c r="P241" s="155"/>
      <c r="Q241" s="155"/>
      <c r="R241" s="155"/>
      <c r="S241" s="155"/>
      <c r="T241" s="155"/>
      <c r="U241" s="155"/>
      <c r="V241" s="161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220"/>
      <c r="L242" s="155"/>
      <c r="M242" s="167"/>
      <c r="N242" s="167"/>
      <c r="O242" s="155"/>
      <c r="P242" s="155"/>
      <c r="Q242" s="155"/>
      <c r="R242" s="155"/>
      <c r="S242" s="155"/>
      <c r="T242" s="155"/>
      <c r="U242" s="155"/>
      <c r="V242" s="161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220"/>
      <c r="L243" s="155"/>
      <c r="M243" s="167"/>
      <c r="N243" s="167"/>
      <c r="O243" s="155"/>
      <c r="P243" s="155"/>
      <c r="Q243" s="155"/>
      <c r="R243" s="155"/>
      <c r="S243" s="155"/>
      <c r="T243" s="155"/>
      <c r="U243" s="155"/>
      <c r="V243" s="161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220"/>
      <c r="L244" s="155"/>
      <c r="M244" s="167"/>
      <c r="N244" s="167"/>
      <c r="O244" s="155"/>
      <c r="P244" s="155"/>
      <c r="Q244" s="155"/>
      <c r="R244" s="155"/>
      <c r="S244" s="155"/>
      <c r="T244" s="155"/>
      <c r="U244" s="155"/>
      <c r="V244" s="161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220"/>
      <c r="L245" s="155"/>
      <c r="M245" s="167"/>
      <c r="N245" s="167"/>
      <c r="O245" s="155"/>
      <c r="P245" s="155"/>
      <c r="Q245" s="155"/>
      <c r="R245" s="155"/>
      <c r="S245" s="155"/>
      <c r="T245" s="155"/>
      <c r="U245" s="155"/>
      <c r="V245" s="161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220"/>
      <c r="L246" s="155"/>
      <c r="M246" s="167"/>
      <c r="N246" s="167"/>
      <c r="O246" s="155"/>
      <c r="P246" s="155"/>
      <c r="Q246" s="155"/>
      <c r="R246" s="155"/>
      <c r="S246" s="155"/>
      <c r="T246" s="155"/>
      <c r="U246" s="155"/>
      <c r="V246" s="161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220"/>
      <c r="L247" s="155"/>
      <c r="M247" s="167"/>
      <c r="N247" s="167"/>
      <c r="O247" s="155"/>
      <c r="P247" s="155"/>
      <c r="Q247" s="155"/>
      <c r="R247" s="155"/>
      <c r="S247" s="155"/>
      <c r="T247" s="155"/>
      <c r="U247" s="155"/>
      <c r="V247" s="161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220"/>
      <c r="L248" s="155"/>
      <c r="M248" s="167"/>
      <c r="N248" s="167"/>
      <c r="O248" s="155"/>
      <c r="P248" s="155"/>
      <c r="Q248" s="155"/>
      <c r="R248" s="155"/>
      <c r="S248" s="155"/>
      <c r="T248" s="155"/>
      <c r="U248" s="155"/>
      <c r="V248" s="161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220"/>
      <c r="L249" s="155"/>
      <c r="M249" s="167"/>
      <c r="N249" s="167"/>
      <c r="O249" s="155"/>
      <c r="P249" s="155"/>
      <c r="Q249" s="155"/>
      <c r="R249" s="155"/>
      <c r="S249" s="155"/>
      <c r="T249" s="155"/>
      <c r="U249" s="155"/>
      <c r="V249" s="161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220"/>
      <c r="L250" s="155"/>
      <c r="M250" s="167"/>
      <c r="N250" s="167"/>
      <c r="O250" s="155"/>
      <c r="P250" s="155"/>
      <c r="Q250" s="155"/>
      <c r="R250" s="155"/>
      <c r="S250" s="155"/>
      <c r="T250" s="155"/>
      <c r="U250" s="155"/>
      <c r="V250" s="161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220"/>
      <c r="L251" s="155"/>
      <c r="M251" s="167"/>
      <c r="N251" s="167"/>
      <c r="O251" s="155"/>
      <c r="P251" s="155"/>
      <c r="Q251" s="155"/>
      <c r="R251" s="155"/>
      <c r="S251" s="155"/>
      <c r="T251" s="155"/>
      <c r="U251" s="155"/>
      <c r="V251" s="161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220"/>
      <c r="L252" s="155"/>
      <c r="M252" s="167"/>
      <c r="N252" s="167"/>
      <c r="O252" s="155"/>
      <c r="P252" s="155"/>
      <c r="Q252" s="155"/>
      <c r="R252" s="155"/>
      <c r="S252" s="155"/>
      <c r="T252" s="155"/>
      <c r="U252" s="155"/>
      <c r="V252" s="161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220"/>
      <c r="L253" s="155"/>
      <c r="M253" s="167"/>
      <c r="N253" s="167"/>
      <c r="O253" s="155"/>
      <c r="P253" s="155"/>
      <c r="Q253" s="155"/>
      <c r="R253" s="155"/>
      <c r="S253" s="155"/>
      <c r="T253" s="155"/>
      <c r="U253" s="155"/>
      <c r="V253" s="161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220"/>
      <c r="L254" s="155"/>
      <c r="M254" s="167"/>
      <c r="N254" s="167"/>
      <c r="O254" s="155"/>
      <c r="P254" s="155"/>
      <c r="Q254" s="155"/>
      <c r="R254" s="155"/>
      <c r="S254" s="155"/>
      <c r="T254" s="155"/>
      <c r="U254" s="155"/>
      <c r="V254" s="161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220"/>
      <c r="L255" s="155"/>
      <c r="M255" s="167"/>
      <c r="N255" s="167"/>
      <c r="O255" s="155"/>
      <c r="P255" s="155"/>
      <c r="Q255" s="155"/>
      <c r="R255" s="155"/>
      <c r="S255" s="155"/>
      <c r="T255" s="155"/>
      <c r="U255" s="155"/>
      <c r="V255" s="161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220"/>
      <c r="L256" s="155"/>
      <c r="M256" s="167"/>
      <c r="N256" s="167"/>
      <c r="O256" s="155"/>
      <c r="P256" s="155"/>
      <c r="Q256" s="155"/>
      <c r="R256" s="155"/>
      <c r="S256" s="155"/>
      <c r="T256" s="155"/>
      <c r="U256" s="155"/>
      <c r="V256" s="161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220"/>
      <c r="L257" s="155"/>
      <c r="M257" s="167"/>
      <c r="N257" s="167"/>
      <c r="O257" s="155"/>
      <c r="P257" s="155"/>
      <c r="Q257" s="155"/>
      <c r="R257" s="155"/>
      <c r="S257" s="155"/>
      <c r="T257" s="155"/>
      <c r="U257" s="155"/>
      <c r="V257" s="161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220"/>
      <c r="L258" s="155"/>
      <c r="M258" s="167"/>
      <c r="N258" s="167"/>
      <c r="O258" s="155"/>
      <c r="P258" s="155"/>
      <c r="Q258" s="155"/>
      <c r="R258" s="155"/>
      <c r="S258" s="155"/>
      <c r="T258" s="155"/>
      <c r="U258" s="155"/>
      <c r="V258" s="161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220"/>
      <c r="L259" s="155"/>
      <c r="M259" s="167"/>
      <c r="N259" s="167"/>
      <c r="O259" s="155"/>
      <c r="P259" s="155"/>
      <c r="Q259" s="155"/>
      <c r="R259" s="155"/>
      <c r="S259" s="155"/>
      <c r="T259" s="155"/>
      <c r="U259" s="155"/>
      <c r="V259" s="161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220"/>
      <c r="L260" s="155"/>
      <c r="M260" s="167"/>
      <c r="N260" s="167"/>
      <c r="O260" s="155"/>
      <c r="P260" s="155"/>
      <c r="Q260" s="155"/>
      <c r="R260" s="155"/>
      <c r="S260" s="155"/>
      <c r="T260" s="155"/>
      <c r="U260" s="155"/>
      <c r="V260" s="161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220"/>
      <c r="L261" s="155"/>
      <c r="M261" s="167"/>
      <c r="N261" s="167"/>
      <c r="O261" s="155"/>
      <c r="P261" s="155"/>
      <c r="Q261" s="155"/>
      <c r="R261" s="155"/>
      <c r="S261" s="155"/>
      <c r="T261" s="155"/>
      <c r="U261" s="155"/>
      <c r="V261" s="161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220"/>
      <c r="L262" s="155"/>
      <c r="M262" s="167"/>
      <c r="N262" s="167"/>
      <c r="O262" s="155"/>
      <c r="P262" s="155"/>
      <c r="Q262" s="155"/>
      <c r="R262" s="155"/>
      <c r="S262" s="155"/>
      <c r="T262" s="155"/>
      <c r="U262" s="155"/>
      <c r="V262" s="161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220"/>
      <c r="L263" s="155"/>
      <c r="M263" s="167"/>
      <c r="N263" s="167"/>
      <c r="O263" s="155"/>
      <c r="P263" s="155"/>
      <c r="Q263" s="155"/>
      <c r="R263" s="155"/>
      <c r="S263" s="155"/>
      <c r="T263" s="155"/>
      <c r="U263" s="155"/>
      <c r="V263" s="161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220"/>
      <c r="L264" s="155"/>
      <c r="M264" s="167"/>
      <c r="N264" s="167"/>
      <c r="O264" s="155"/>
      <c r="P264" s="155"/>
      <c r="Q264" s="155"/>
      <c r="R264" s="155"/>
      <c r="S264" s="155"/>
      <c r="T264" s="155"/>
      <c r="U264" s="155"/>
      <c r="V264" s="161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220"/>
      <c r="L265" s="155"/>
      <c r="M265" s="167"/>
      <c r="N265" s="167"/>
      <c r="O265" s="155"/>
      <c r="P265" s="155"/>
      <c r="Q265" s="155"/>
      <c r="R265" s="155"/>
      <c r="S265" s="155"/>
      <c r="T265" s="155"/>
      <c r="U265" s="155"/>
      <c r="V265" s="161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220"/>
      <c r="L266" s="155"/>
      <c r="M266" s="167"/>
      <c r="N266" s="167"/>
      <c r="O266" s="155"/>
      <c r="P266" s="155"/>
      <c r="Q266" s="155"/>
      <c r="R266" s="155"/>
      <c r="S266" s="155"/>
      <c r="T266" s="155"/>
      <c r="U266" s="155"/>
      <c r="V266" s="161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220"/>
      <c r="L267" s="155"/>
      <c r="M267" s="167"/>
      <c r="N267" s="167"/>
      <c r="O267" s="155"/>
      <c r="P267" s="155"/>
      <c r="Q267" s="155"/>
      <c r="R267" s="155"/>
      <c r="S267" s="155"/>
      <c r="T267" s="155"/>
      <c r="U267" s="155"/>
      <c r="V267" s="161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220"/>
      <c r="L268" s="155"/>
      <c r="M268" s="167"/>
      <c r="N268" s="167"/>
      <c r="O268" s="155"/>
      <c r="P268" s="155"/>
      <c r="Q268" s="155"/>
      <c r="R268" s="155"/>
      <c r="S268" s="155"/>
      <c r="T268" s="155"/>
      <c r="U268" s="155"/>
      <c r="V268" s="161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220"/>
      <c r="L269" s="155"/>
      <c r="M269" s="167"/>
      <c r="N269" s="167"/>
      <c r="O269" s="155"/>
      <c r="P269" s="155"/>
      <c r="Q269" s="155"/>
      <c r="R269" s="155"/>
      <c r="S269" s="155"/>
      <c r="T269" s="155"/>
      <c r="U269" s="155"/>
      <c r="V269" s="161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220"/>
      <c r="L270" s="155"/>
      <c r="M270" s="167"/>
      <c r="N270" s="167"/>
      <c r="O270" s="155"/>
      <c r="P270" s="155"/>
      <c r="Q270" s="155"/>
      <c r="R270" s="155"/>
      <c r="S270" s="155"/>
      <c r="T270" s="155"/>
      <c r="U270" s="155"/>
      <c r="V270" s="161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220"/>
      <c r="L271" s="155"/>
      <c r="M271" s="167"/>
      <c r="N271" s="167"/>
      <c r="O271" s="155"/>
      <c r="P271" s="155"/>
      <c r="Q271" s="155"/>
      <c r="R271" s="155"/>
      <c r="S271" s="155"/>
      <c r="T271" s="155"/>
      <c r="U271" s="155"/>
      <c r="V271" s="161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220"/>
      <c r="L272" s="155"/>
      <c r="M272" s="167"/>
      <c r="N272" s="167"/>
      <c r="O272" s="155"/>
      <c r="P272" s="155"/>
      <c r="Q272" s="155"/>
      <c r="R272" s="155"/>
      <c r="S272" s="155"/>
      <c r="T272" s="155"/>
      <c r="U272" s="155"/>
      <c r="V272" s="161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220"/>
      <c r="L273" s="155"/>
      <c r="M273" s="167"/>
      <c r="N273" s="167"/>
      <c r="O273" s="155"/>
      <c r="P273" s="155"/>
      <c r="Q273" s="155"/>
      <c r="R273" s="155"/>
      <c r="S273" s="155"/>
      <c r="T273" s="155"/>
      <c r="U273" s="155"/>
      <c r="V273" s="161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220"/>
      <c r="L274" s="155"/>
      <c r="M274" s="167"/>
      <c r="N274" s="167"/>
      <c r="O274" s="155"/>
      <c r="P274" s="155"/>
      <c r="Q274" s="155"/>
      <c r="R274" s="155"/>
      <c r="S274" s="155"/>
      <c r="T274" s="155"/>
      <c r="U274" s="155"/>
      <c r="V274" s="161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220"/>
      <c r="L275" s="155"/>
      <c r="M275" s="167"/>
      <c r="N275" s="167"/>
      <c r="O275" s="155"/>
      <c r="P275" s="155"/>
      <c r="Q275" s="155"/>
      <c r="R275" s="155"/>
      <c r="S275" s="155"/>
      <c r="T275" s="155"/>
      <c r="U275" s="155"/>
      <c r="V275" s="161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220"/>
      <c r="L276" s="155"/>
      <c r="M276" s="167"/>
      <c r="N276" s="167"/>
      <c r="O276" s="155"/>
      <c r="P276" s="155"/>
      <c r="Q276" s="155"/>
      <c r="R276" s="155"/>
      <c r="S276" s="155"/>
      <c r="T276" s="155"/>
      <c r="U276" s="155"/>
      <c r="V276" s="161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220"/>
      <c r="L277" s="155"/>
      <c r="M277" s="167"/>
      <c r="N277" s="167"/>
      <c r="O277" s="155"/>
      <c r="P277" s="155"/>
      <c r="Q277" s="155"/>
      <c r="R277" s="155"/>
      <c r="S277" s="155"/>
      <c r="T277" s="155"/>
      <c r="U277" s="155"/>
      <c r="V277" s="161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220"/>
      <c r="L278" s="155"/>
      <c r="M278" s="167"/>
      <c r="N278" s="167"/>
      <c r="O278" s="155"/>
      <c r="P278" s="155"/>
      <c r="Q278" s="155"/>
      <c r="R278" s="155"/>
      <c r="S278" s="155"/>
      <c r="T278" s="155"/>
      <c r="U278" s="155"/>
      <c r="V278" s="161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220"/>
      <c r="L279" s="155"/>
      <c r="M279" s="167"/>
      <c r="N279" s="167"/>
      <c r="O279" s="155"/>
      <c r="P279" s="155"/>
      <c r="Q279" s="155"/>
      <c r="R279" s="155"/>
      <c r="S279" s="155"/>
      <c r="T279" s="155"/>
      <c r="U279" s="155"/>
      <c r="V279" s="161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220"/>
      <c r="L280" s="155"/>
      <c r="M280" s="167"/>
      <c r="N280" s="167"/>
      <c r="O280" s="155"/>
      <c r="P280" s="155"/>
      <c r="Q280" s="155"/>
      <c r="R280" s="155"/>
      <c r="S280" s="155"/>
      <c r="T280" s="155"/>
      <c r="U280" s="155"/>
      <c r="V280" s="161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220"/>
      <c r="L281" s="155"/>
      <c r="M281" s="167"/>
      <c r="N281" s="167"/>
      <c r="O281" s="155"/>
      <c r="P281" s="155"/>
      <c r="Q281" s="155"/>
      <c r="R281" s="155"/>
      <c r="S281" s="155"/>
      <c r="T281" s="155"/>
      <c r="U281" s="155"/>
      <c r="V281" s="161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220"/>
      <c r="L282" s="155"/>
      <c r="M282" s="167"/>
      <c r="N282" s="167"/>
      <c r="O282" s="155"/>
      <c r="P282" s="155"/>
      <c r="Q282" s="155"/>
      <c r="R282" s="155"/>
      <c r="S282" s="155"/>
      <c r="T282" s="155"/>
      <c r="U282" s="155"/>
      <c r="V282" s="161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220"/>
      <c r="L283" s="155"/>
      <c r="M283" s="167"/>
      <c r="N283" s="167"/>
      <c r="O283" s="155"/>
      <c r="P283" s="155"/>
      <c r="Q283" s="155"/>
      <c r="R283" s="155"/>
      <c r="S283" s="155"/>
      <c r="T283" s="155"/>
      <c r="U283" s="155"/>
      <c r="V283" s="161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220"/>
      <c r="L284" s="155"/>
      <c r="M284" s="167"/>
      <c r="N284" s="167"/>
      <c r="O284" s="155"/>
      <c r="P284" s="155"/>
      <c r="Q284" s="155"/>
      <c r="R284" s="155"/>
      <c r="S284" s="155"/>
      <c r="T284" s="155"/>
      <c r="U284" s="155"/>
      <c r="V284" s="161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220"/>
      <c r="L285" s="155"/>
      <c r="M285" s="167"/>
      <c r="N285" s="167"/>
      <c r="O285" s="155"/>
      <c r="P285" s="155"/>
      <c r="Q285" s="155"/>
      <c r="R285" s="155"/>
      <c r="S285" s="155"/>
      <c r="T285" s="155"/>
      <c r="U285" s="155"/>
      <c r="V285" s="161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220"/>
      <c r="L286" s="155"/>
      <c r="M286" s="167"/>
      <c r="N286" s="167"/>
      <c r="O286" s="155"/>
      <c r="P286" s="155"/>
      <c r="Q286" s="155"/>
      <c r="R286" s="155"/>
      <c r="S286" s="155"/>
      <c r="T286" s="155"/>
      <c r="U286" s="155"/>
      <c r="V286" s="161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220"/>
      <c r="L287" s="155"/>
      <c r="M287" s="167"/>
      <c r="N287" s="167"/>
      <c r="O287" s="155"/>
      <c r="P287" s="155"/>
      <c r="Q287" s="155"/>
      <c r="R287" s="155"/>
      <c r="S287" s="155"/>
      <c r="T287" s="155"/>
      <c r="U287" s="155"/>
      <c r="V287" s="161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220"/>
      <c r="L288" s="155"/>
      <c r="M288" s="167"/>
      <c r="N288" s="167"/>
      <c r="O288" s="155"/>
      <c r="P288" s="155"/>
      <c r="Q288" s="155"/>
      <c r="R288" s="155"/>
      <c r="S288" s="155"/>
      <c r="T288" s="155"/>
      <c r="U288" s="155"/>
      <c r="V288" s="161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220"/>
      <c r="L289" s="155"/>
      <c r="M289" s="167"/>
      <c r="N289" s="167"/>
      <c r="O289" s="155"/>
      <c r="P289" s="155"/>
      <c r="Q289" s="155"/>
      <c r="R289" s="155"/>
      <c r="S289" s="155"/>
      <c r="T289" s="155"/>
      <c r="U289" s="155"/>
      <c r="V289" s="161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220"/>
      <c r="L290" s="155"/>
      <c r="M290" s="167"/>
      <c r="N290" s="167"/>
      <c r="O290" s="155"/>
      <c r="P290" s="155"/>
      <c r="Q290" s="155"/>
      <c r="R290" s="155"/>
      <c r="S290" s="155"/>
      <c r="T290" s="155"/>
      <c r="U290" s="155"/>
      <c r="V290" s="161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220"/>
      <c r="L291" s="155"/>
      <c r="M291" s="167"/>
      <c r="N291" s="167"/>
      <c r="O291" s="155"/>
      <c r="P291" s="155"/>
      <c r="Q291" s="155"/>
      <c r="R291" s="155"/>
      <c r="S291" s="155"/>
      <c r="T291" s="155"/>
      <c r="U291" s="155"/>
      <c r="V291" s="161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220"/>
      <c r="L292" s="155"/>
      <c r="M292" s="167"/>
      <c r="N292" s="167"/>
      <c r="O292" s="155"/>
      <c r="P292" s="155"/>
      <c r="Q292" s="155"/>
      <c r="R292" s="155"/>
      <c r="S292" s="155"/>
      <c r="T292" s="155"/>
      <c r="U292" s="155"/>
      <c r="V292" s="161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220"/>
      <c r="L293" s="155"/>
      <c r="M293" s="167"/>
      <c r="N293" s="167"/>
      <c r="O293" s="155"/>
      <c r="P293" s="155"/>
      <c r="Q293" s="155"/>
      <c r="R293" s="155"/>
      <c r="S293" s="155"/>
      <c r="T293" s="155"/>
      <c r="U293" s="155"/>
      <c r="V293" s="161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220"/>
      <c r="L294" s="155"/>
      <c r="M294" s="167"/>
      <c r="N294" s="167"/>
      <c r="O294" s="155"/>
      <c r="P294" s="155"/>
      <c r="Q294" s="155"/>
      <c r="R294" s="155"/>
      <c r="S294" s="155"/>
      <c r="T294" s="155"/>
      <c r="U294" s="155"/>
      <c r="V294" s="161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220"/>
      <c r="L295" s="155"/>
      <c r="M295" s="167"/>
      <c r="N295" s="167"/>
      <c r="O295" s="155"/>
      <c r="P295" s="155"/>
      <c r="Q295" s="155"/>
      <c r="R295" s="155"/>
      <c r="S295" s="155"/>
      <c r="T295" s="155"/>
      <c r="U295" s="155"/>
      <c r="V295" s="161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220"/>
      <c r="L296" s="155"/>
      <c r="M296" s="167"/>
      <c r="N296" s="167"/>
      <c r="O296" s="155"/>
      <c r="P296" s="155"/>
      <c r="Q296" s="155"/>
      <c r="R296" s="155"/>
      <c r="S296" s="155"/>
      <c r="T296" s="155"/>
      <c r="U296" s="155"/>
      <c r="V296" s="161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220"/>
      <c r="L297" s="155"/>
      <c r="M297" s="167"/>
      <c r="N297" s="167"/>
      <c r="O297" s="155"/>
      <c r="P297" s="155"/>
      <c r="Q297" s="155"/>
      <c r="R297" s="155"/>
      <c r="S297" s="155"/>
      <c r="T297" s="155"/>
      <c r="U297" s="155"/>
      <c r="V297" s="161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220"/>
      <c r="L298" s="155"/>
      <c r="M298" s="167"/>
      <c r="N298" s="167"/>
      <c r="O298" s="155"/>
      <c r="P298" s="155"/>
      <c r="Q298" s="155"/>
      <c r="R298" s="155"/>
      <c r="S298" s="155"/>
      <c r="T298" s="155"/>
      <c r="U298" s="155"/>
      <c r="V298" s="161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220"/>
      <c r="L299" s="155"/>
      <c r="M299" s="167"/>
      <c r="N299" s="167"/>
      <c r="O299" s="155"/>
      <c r="P299" s="155"/>
      <c r="Q299" s="155"/>
      <c r="R299" s="155"/>
      <c r="S299" s="155"/>
      <c r="T299" s="155"/>
      <c r="U299" s="155"/>
      <c r="V299" s="161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220"/>
      <c r="L300" s="155"/>
      <c r="M300" s="167"/>
      <c r="N300" s="167"/>
      <c r="O300" s="155"/>
      <c r="P300" s="155"/>
      <c r="Q300" s="155"/>
      <c r="R300" s="155"/>
      <c r="S300" s="155"/>
      <c r="T300" s="155"/>
      <c r="U300" s="155"/>
      <c r="V300" s="161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220"/>
      <c r="L301" s="155"/>
      <c r="M301" s="167"/>
      <c r="N301" s="167"/>
      <c r="O301" s="155"/>
      <c r="P301" s="155"/>
      <c r="Q301" s="155"/>
      <c r="R301" s="155"/>
      <c r="S301" s="155"/>
      <c r="T301" s="155"/>
      <c r="U301" s="155"/>
      <c r="V301" s="161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220"/>
      <c r="L302" s="155"/>
      <c r="M302" s="167"/>
      <c r="N302" s="167"/>
      <c r="O302" s="155"/>
      <c r="P302" s="155"/>
      <c r="Q302" s="155"/>
      <c r="R302" s="155"/>
      <c r="S302" s="155"/>
      <c r="T302" s="155"/>
      <c r="U302" s="155"/>
      <c r="V302" s="161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220"/>
      <c r="L303" s="155"/>
      <c r="M303" s="167"/>
      <c r="N303" s="167"/>
      <c r="O303" s="155"/>
      <c r="P303" s="155"/>
      <c r="Q303" s="155"/>
      <c r="R303" s="155"/>
      <c r="S303" s="155"/>
      <c r="T303" s="155"/>
      <c r="U303" s="155"/>
      <c r="V303" s="161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220"/>
      <c r="L304" s="155"/>
      <c r="M304" s="167"/>
      <c r="N304" s="167"/>
      <c r="O304" s="155"/>
      <c r="P304" s="155"/>
      <c r="Q304" s="155"/>
      <c r="R304" s="155"/>
      <c r="S304" s="155"/>
      <c r="T304" s="155"/>
      <c r="U304" s="155"/>
      <c r="V304" s="161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220"/>
      <c r="L305" s="155"/>
      <c r="M305" s="167"/>
      <c r="N305" s="167"/>
      <c r="O305" s="155"/>
      <c r="P305" s="155"/>
      <c r="Q305" s="155"/>
      <c r="R305" s="155"/>
      <c r="S305" s="155"/>
      <c r="T305" s="155"/>
      <c r="U305" s="155"/>
      <c r="V305" s="161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220"/>
      <c r="L306" s="155"/>
      <c r="M306" s="167"/>
      <c r="N306" s="167"/>
      <c r="O306" s="155"/>
      <c r="P306" s="155"/>
      <c r="Q306" s="155"/>
      <c r="R306" s="155"/>
      <c r="S306" s="155"/>
      <c r="T306" s="155"/>
      <c r="U306" s="155"/>
      <c r="V306" s="161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220"/>
      <c r="L307" s="155"/>
      <c r="M307" s="167"/>
      <c r="N307" s="167"/>
      <c r="O307" s="155"/>
      <c r="P307" s="155"/>
      <c r="Q307" s="155"/>
      <c r="R307" s="155"/>
      <c r="S307" s="155"/>
      <c r="T307" s="155"/>
      <c r="U307" s="155"/>
      <c r="V307" s="161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220"/>
      <c r="L308" s="155"/>
      <c r="M308" s="167"/>
      <c r="N308" s="167"/>
      <c r="O308" s="155"/>
      <c r="P308" s="155"/>
      <c r="Q308" s="155"/>
      <c r="R308" s="155"/>
      <c r="S308" s="155"/>
      <c r="T308" s="155"/>
      <c r="U308" s="155"/>
      <c r="V308" s="161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220"/>
      <c r="L309" s="155"/>
      <c r="M309" s="167"/>
      <c r="N309" s="167"/>
      <c r="O309" s="155"/>
      <c r="P309" s="155"/>
      <c r="Q309" s="155"/>
      <c r="R309" s="155"/>
      <c r="S309" s="155"/>
      <c r="T309" s="155"/>
      <c r="U309" s="155"/>
      <c r="V309" s="161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220"/>
      <c r="L310" s="155"/>
      <c r="M310" s="167"/>
      <c r="N310" s="167"/>
      <c r="O310" s="155"/>
      <c r="P310" s="155"/>
      <c r="Q310" s="155"/>
      <c r="R310" s="155"/>
      <c r="S310" s="155"/>
      <c r="T310" s="155"/>
      <c r="U310" s="155"/>
      <c r="V310" s="161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220"/>
      <c r="L311" s="155"/>
      <c r="M311" s="167"/>
      <c r="N311" s="167"/>
      <c r="O311" s="155"/>
      <c r="P311" s="155"/>
      <c r="Q311" s="155"/>
      <c r="R311" s="155"/>
      <c r="S311" s="155"/>
      <c r="T311" s="155"/>
      <c r="U311" s="155"/>
      <c r="V311" s="161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220"/>
      <c r="L312" s="155"/>
      <c r="M312" s="167"/>
      <c r="N312" s="167"/>
      <c r="O312" s="155"/>
      <c r="P312" s="155"/>
      <c r="Q312" s="155"/>
      <c r="R312" s="155"/>
      <c r="S312" s="155"/>
      <c r="T312" s="155"/>
      <c r="U312" s="155"/>
      <c r="V312" s="161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220"/>
      <c r="L313" s="155"/>
      <c r="M313" s="167"/>
      <c r="N313" s="167"/>
      <c r="O313" s="155"/>
      <c r="P313" s="155"/>
      <c r="Q313" s="155"/>
      <c r="R313" s="155"/>
      <c r="S313" s="155"/>
      <c r="T313" s="155"/>
      <c r="U313" s="155"/>
      <c r="V313" s="161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220"/>
      <c r="L314" s="155"/>
      <c r="M314" s="167"/>
      <c r="N314" s="167"/>
      <c r="O314" s="155"/>
      <c r="P314" s="155"/>
      <c r="Q314" s="155"/>
      <c r="R314" s="155"/>
      <c r="S314" s="155"/>
      <c r="T314" s="155"/>
      <c r="U314" s="155"/>
      <c r="V314" s="161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220"/>
      <c r="L315" s="155"/>
      <c r="M315" s="167"/>
      <c r="N315" s="167"/>
      <c r="O315" s="155"/>
      <c r="P315" s="155"/>
      <c r="Q315" s="155"/>
      <c r="R315" s="155"/>
      <c r="S315" s="155"/>
      <c r="T315" s="155"/>
      <c r="U315" s="155"/>
      <c r="V315" s="161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220"/>
      <c r="L316" s="155"/>
      <c r="M316" s="167"/>
      <c r="N316" s="167"/>
      <c r="O316" s="155"/>
      <c r="P316" s="155"/>
      <c r="Q316" s="155"/>
      <c r="R316" s="155"/>
      <c r="S316" s="155"/>
      <c r="T316" s="155"/>
      <c r="U316" s="155"/>
      <c r="V316" s="161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220"/>
      <c r="L317" s="155"/>
      <c r="M317" s="167"/>
      <c r="N317" s="167"/>
      <c r="O317" s="155"/>
      <c r="P317" s="155"/>
      <c r="Q317" s="155"/>
      <c r="R317" s="155"/>
      <c r="S317" s="155"/>
      <c r="T317" s="155"/>
      <c r="U317" s="155"/>
      <c r="V317" s="161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220"/>
      <c r="L318" s="155"/>
      <c r="M318" s="167"/>
      <c r="N318" s="167"/>
      <c r="O318" s="155"/>
      <c r="P318" s="155"/>
      <c r="Q318" s="155"/>
      <c r="R318" s="155"/>
      <c r="S318" s="155"/>
      <c r="T318" s="155"/>
      <c r="U318" s="155"/>
      <c r="V318" s="161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220"/>
      <c r="L319" s="155"/>
      <c r="M319" s="167"/>
      <c r="N319" s="167"/>
      <c r="O319" s="155"/>
      <c r="P319" s="155"/>
      <c r="Q319" s="155"/>
      <c r="R319" s="155"/>
      <c r="S319" s="155"/>
      <c r="T319" s="155"/>
      <c r="U319" s="155"/>
      <c r="V319" s="161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220"/>
      <c r="L320" s="155"/>
      <c r="M320" s="167"/>
      <c r="N320" s="167"/>
      <c r="O320" s="155"/>
      <c r="P320" s="155"/>
      <c r="Q320" s="155"/>
      <c r="R320" s="155"/>
      <c r="S320" s="155"/>
      <c r="T320" s="155"/>
      <c r="U320" s="155"/>
      <c r="V320" s="161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220"/>
      <c r="L321" s="155"/>
      <c r="M321" s="167"/>
      <c r="N321" s="167"/>
      <c r="O321" s="155"/>
      <c r="P321" s="155"/>
      <c r="Q321" s="155"/>
      <c r="R321" s="155"/>
      <c r="S321" s="155"/>
      <c r="T321" s="155"/>
      <c r="U321" s="155"/>
      <c r="V321" s="161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220"/>
      <c r="L322" s="155"/>
      <c r="M322" s="167"/>
      <c r="N322" s="167"/>
      <c r="O322" s="155"/>
      <c r="P322" s="155"/>
      <c r="Q322" s="155"/>
      <c r="R322" s="155"/>
      <c r="S322" s="155"/>
      <c r="T322" s="155"/>
      <c r="U322" s="155"/>
      <c r="V322" s="161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220"/>
      <c r="L323" s="155"/>
      <c r="M323" s="167"/>
      <c r="N323" s="167"/>
      <c r="O323" s="155"/>
      <c r="P323" s="155"/>
      <c r="Q323" s="155"/>
      <c r="R323" s="155"/>
      <c r="S323" s="155"/>
      <c r="T323" s="155"/>
      <c r="U323" s="155"/>
      <c r="V323" s="161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220"/>
      <c r="L324" s="155"/>
      <c r="M324" s="167"/>
      <c r="N324" s="167"/>
      <c r="O324" s="155"/>
      <c r="P324" s="155"/>
      <c r="Q324" s="155"/>
      <c r="R324" s="155"/>
      <c r="S324" s="155"/>
      <c r="T324" s="155"/>
      <c r="U324" s="155"/>
      <c r="V324" s="161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220"/>
      <c r="L325" s="155"/>
      <c r="M325" s="167"/>
      <c r="N325" s="167"/>
      <c r="O325" s="155"/>
      <c r="P325" s="155"/>
      <c r="Q325" s="155"/>
      <c r="R325" s="155"/>
      <c r="S325" s="155"/>
      <c r="T325" s="155"/>
      <c r="U325" s="155"/>
      <c r="V325" s="161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220"/>
      <c r="L326" s="155"/>
      <c r="M326" s="167"/>
      <c r="N326" s="167"/>
      <c r="O326" s="155"/>
      <c r="P326" s="155"/>
      <c r="Q326" s="155"/>
      <c r="R326" s="155"/>
      <c r="S326" s="155"/>
      <c r="T326" s="155"/>
      <c r="U326" s="155"/>
      <c r="V326" s="161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220"/>
      <c r="L327" s="155"/>
      <c r="M327" s="167"/>
      <c r="N327" s="167"/>
      <c r="O327" s="155"/>
      <c r="P327" s="155"/>
      <c r="Q327" s="155"/>
      <c r="R327" s="155"/>
      <c r="S327" s="155"/>
      <c r="T327" s="155"/>
      <c r="U327" s="155"/>
      <c r="V327" s="161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220"/>
      <c r="L328" s="155"/>
      <c r="M328" s="167"/>
      <c r="N328" s="167"/>
      <c r="O328" s="155"/>
      <c r="P328" s="155"/>
      <c r="Q328" s="155"/>
      <c r="R328" s="155"/>
      <c r="S328" s="155"/>
      <c r="T328" s="155"/>
      <c r="U328" s="155"/>
      <c r="V328" s="161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220"/>
      <c r="L329" s="155"/>
      <c r="M329" s="167"/>
      <c r="N329" s="167"/>
      <c r="O329" s="155"/>
      <c r="P329" s="155"/>
      <c r="Q329" s="155"/>
      <c r="R329" s="155"/>
      <c r="S329" s="155"/>
      <c r="T329" s="155"/>
      <c r="U329" s="155"/>
      <c r="V329" s="161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220"/>
      <c r="L330" s="155"/>
      <c r="M330" s="167"/>
      <c r="N330" s="167"/>
      <c r="O330" s="155"/>
      <c r="P330" s="155"/>
      <c r="Q330" s="155"/>
      <c r="R330" s="155"/>
      <c r="S330" s="155"/>
      <c r="T330" s="155"/>
      <c r="U330" s="155"/>
      <c r="V330" s="161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220"/>
      <c r="L331" s="155"/>
      <c r="M331" s="167"/>
      <c r="N331" s="167"/>
      <c r="O331" s="155"/>
      <c r="P331" s="155"/>
      <c r="Q331" s="155"/>
      <c r="R331" s="155"/>
      <c r="S331" s="155"/>
      <c r="T331" s="155"/>
      <c r="U331" s="155"/>
      <c r="V331" s="161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220"/>
      <c r="L332" s="155"/>
      <c r="M332" s="167"/>
      <c r="N332" s="167"/>
      <c r="O332" s="155"/>
      <c r="P332" s="155"/>
      <c r="Q332" s="155"/>
      <c r="R332" s="155"/>
      <c r="S332" s="155"/>
      <c r="T332" s="155"/>
      <c r="U332" s="155"/>
      <c r="V332" s="161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220"/>
      <c r="L333" s="155"/>
      <c r="M333" s="167"/>
      <c r="N333" s="167"/>
      <c r="O333" s="155"/>
      <c r="P333" s="155"/>
      <c r="Q333" s="155"/>
      <c r="R333" s="155"/>
      <c r="S333" s="155"/>
      <c r="T333" s="155"/>
      <c r="U333" s="155"/>
      <c r="V333" s="161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220"/>
      <c r="L334" s="155"/>
      <c r="M334" s="167"/>
      <c r="N334" s="167"/>
      <c r="O334" s="155"/>
      <c r="P334" s="155"/>
      <c r="Q334" s="155"/>
      <c r="R334" s="155"/>
      <c r="S334" s="155"/>
      <c r="T334" s="155"/>
      <c r="U334" s="155"/>
      <c r="V334" s="161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220"/>
      <c r="L335" s="155"/>
      <c r="M335" s="167"/>
      <c r="N335" s="167"/>
      <c r="O335" s="155"/>
      <c r="P335" s="155"/>
      <c r="Q335" s="155"/>
      <c r="R335" s="155"/>
      <c r="S335" s="155"/>
      <c r="T335" s="155"/>
      <c r="U335" s="155"/>
      <c r="V335" s="161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220"/>
      <c r="L336" s="155"/>
      <c r="M336" s="167"/>
      <c r="N336" s="167"/>
      <c r="O336" s="155"/>
      <c r="P336" s="155"/>
      <c r="Q336" s="155"/>
      <c r="R336" s="155"/>
      <c r="S336" s="155"/>
      <c r="T336" s="155"/>
      <c r="U336" s="155"/>
      <c r="V336" s="161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220"/>
      <c r="L337" s="155"/>
      <c r="M337" s="167"/>
      <c r="N337" s="167"/>
      <c r="O337" s="155"/>
      <c r="P337" s="155"/>
      <c r="Q337" s="155"/>
      <c r="R337" s="155"/>
      <c r="S337" s="155"/>
      <c r="T337" s="155"/>
      <c r="U337" s="155"/>
      <c r="V337" s="161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220"/>
      <c r="L338" s="155"/>
      <c r="M338" s="167"/>
      <c r="N338" s="167"/>
      <c r="O338" s="155"/>
      <c r="P338" s="155"/>
      <c r="Q338" s="155"/>
      <c r="R338" s="155"/>
      <c r="S338" s="155"/>
      <c r="T338" s="155"/>
      <c r="U338" s="155"/>
      <c r="V338" s="161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220"/>
      <c r="L339" s="155"/>
      <c r="M339" s="167"/>
      <c r="N339" s="167"/>
      <c r="O339" s="155"/>
      <c r="P339" s="155"/>
      <c r="Q339" s="155"/>
      <c r="R339" s="155"/>
      <c r="S339" s="155"/>
      <c r="T339" s="155"/>
      <c r="U339" s="155"/>
      <c r="V339" s="161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220"/>
      <c r="L340" s="155"/>
      <c r="M340" s="167"/>
      <c r="N340" s="167"/>
      <c r="O340" s="155"/>
      <c r="P340" s="155"/>
      <c r="Q340" s="155"/>
      <c r="R340" s="155"/>
      <c r="S340" s="155"/>
      <c r="T340" s="155"/>
      <c r="U340" s="155"/>
      <c r="V340" s="161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220"/>
      <c r="L341" s="155"/>
      <c r="M341" s="167"/>
      <c r="N341" s="167"/>
      <c r="O341" s="155"/>
      <c r="P341" s="155"/>
      <c r="Q341" s="155"/>
      <c r="R341" s="155"/>
      <c r="S341" s="155"/>
      <c r="T341" s="155"/>
      <c r="U341" s="155"/>
      <c r="V341" s="161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220"/>
      <c r="L342" s="155"/>
      <c r="M342" s="167"/>
      <c r="N342" s="167"/>
      <c r="O342" s="155"/>
      <c r="P342" s="155"/>
      <c r="Q342" s="155"/>
      <c r="R342" s="155"/>
      <c r="S342" s="155"/>
      <c r="T342" s="155"/>
      <c r="U342" s="155"/>
      <c r="V342" s="161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220"/>
      <c r="L343" s="155"/>
      <c r="M343" s="167"/>
      <c r="N343" s="167"/>
      <c r="O343" s="155"/>
      <c r="P343" s="155"/>
      <c r="Q343" s="155"/>
      <c r="R343" s="155"/>
      <c r="S343" s="155"/>
      <c r="T343" s="155"/>
      <c r="U343" s="155"/>
      <c r="V343" s="161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220"/>
      <c r="L344" s="155"/>
      <c r="M344" s="167"/>
      <c r="N344" s="167"/>
      <c r="O344" s="155"/>
      <c r="P344" s="155"/>
      <c r="Q344" s="155"/>
      <c r="R344" s="155"/>
      <c r="S344" s="155"/>
      <c r="T344" s="155"/>
      <c r="U344" s="155"/>
      <c r="V344" s="161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220"/>
      <c r="L345" s="155"/>
      <c r="M345" s="167"/>
      <c r="N345" s="167"/>
      <c r="O345" s="155"/>
      <c r="P345" s="155"/>
      <c r="Q345" s="155"/>
      <c r="R345" s="155"/>
      <c r="S345" s="155"/>
      <c r="T345" s="155"/>
      <c r="U345" s="155"/>
      <c r="V345" s="161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220"/>
      <c r="L346" s="155"/>
      <c r="M346" s="167"/>
      <c r="N346" s="167"/>
      <c r="O346" s="155"/>
      <c r="P346" s="155"/>
      <c r="Q346" s="155"/>
      <c r="R346" s="155"/>
      <c r="S346" s="155"/>
      <c r="T346" s="155"/>
      <c r="U346" s="155"/>
      <c r="V346" s="161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220"/>
      <c r="L347" s="155"/>
      <c r="M347" s="167"/>
      <c r="N347" s="167"/>
      <c r="O347" s="155"/>
      <c r="P347" s="155"/>
      <c r="Q347" s="155"/>
      <c r="R347" s="155"/>
      <c r="S347" s="155"/>
      <c r="T347" s="155"/>
      <c r="U347" s="155"/>
      <c r="V347" s="161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220"/>
      <c r="L348" s="155"/>
      <c r="M348" s="167"/>
      <c r="N348" s="167"/>
      <c r="O348" s="155"/>
      <c r="P348" s="155"/>
      <c r="Q348" s="155"/>
      <c r="R348" s="155"/>
      <c r="S348" s="155"/>
      <c r="T348" s="155"/>
      <c r="U348" s="155"/>
      <c r="V348" s="161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220"/>
      <c r="L349" s="155"/>
      <c r="M349" s="167"/>
      <c r="N349" s="167"/>
      <c r="O349" s="155"/>
      <c r="P349" s="155"/>
      <c r="Q349" s="155"/>
      <c r="R349" s="155"/>
      <c r="S349" s="155"/>
      <c r="T349" s="155"/>
      <c r="U349" s="155"/>
      <c r="V349" s="161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220"/>
      <c r="L350" s="155"/>
      <c r="M350" s="167"/>
      <c r="N350" s="167"/>
      <c r="O350" s="155"/>
      <c r="P350" s="155"/>
      <c r="Q350" s="155"/>
      <c r="R350" s="155"/>
      <c r="S350" s="155"/>
      <c r="T350" s="155"/>
      <c r="U350" s="155"/>
      <c r="V350" s="161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220"/>
      <c r="L351" s="155"/>
      <c r="M351" s="167"/>
      <c r="N351" s="167"/>
      <c r="O351" s="155"/>
      <c r="P351" s="155"/>
      <c r="Q351" s="155"/>
      <c r="R351" s="155"/>
      <c r="S351" s="155"/>
      <c r="T351" s="155"/>
      <c r="U351" s="155"/>
      <c r="V351" s="161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220"/>
      <c r="L352" s="155"/>
      <c r="M352" s="167"/>
      <c r="N352" s="167"/>
      <c r="O352" s="155"/>
      <c r="P352" s="155"/>
      <c r="Q352" s="155"/>
      <c r="R352" s="155"/>
      <c r="S352" s="155"/>
      <c r="T352" s="155"/>
      <c r="U352" s="155"/>
      <c r="V352" s="161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220"/>
      <c r="L353" s="155"/>
      <c r="M353" s="167"/>
      <c r="N353" s="167"/>
      <c r="O353" s="155"/>
      <c r="P353" s="155"/>
      <c r="Q353" s="155"/>
      <c r="R353" s="155"/>
      <c r="S353" s="155"/>
      <c r="T353" s="155"/>
      <c r="U353" s="155"/>
      <c r="V353" s="161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220"/>
      <c r="L354" s="155"/>
      <c r="M354" s="167"/>
      <c r="N354" s="167"/>
      <c r="O354" s="155"/>
      <c r="P354" s="155"/>
      <c r="Q354" s="155"/>
      <c r="R354" s="155"/>
      <c r="S354" s="155"/>
      <c r="T354" s="155"/>
      <c r="U354" s="155"/>
      <c r="V354" s="161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220"/>
      <c r="L355" s="155"/>
      <c r="M355" s="167"/>
      <c r="N355" s="167"/>
      <c r="O355" s="155"/>
      <c r="P355" s="155"/>
      <c r="Q355" s="155"/>
      <c r="R355" s="155"/>
      <c r="S355" s="155"/>
      <c r="T355" s="155"/>
      <c r="U355" s="155"/>
      <c r="V355" s="161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220"/>
      <c r="L356" s="155"/>
      <c r="M356" s="167"/>
      <c r="N356" s="167"/>
      <c r="O356" s="155"/>
      <c r="P356" s="155"/>
      <c r="Q356" s="155"/>
      <c r="R356" s="155"/>
      <c r="S356" s="155"/>
      <c r="T356" s="155"/>
      <c r="U356" s="155"/>
      <c r="V356" s="161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220"/>
      <c r="L357" s="155"/>
      <c r="M357" s="167"/>
      <c r="N357" s="167"/>
      <c r="O357" s="155"/>
      <c r="P357" s="155"/>
      <c r="Q357" s="155"/>
      <c r="R357" s="155"/>
      <c r="S357" s="155"/>
      <c r="T357" s="155"/>
      <c r="U357" s="155"/>
      <c r="V357" s="161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220"/>
      <c r="L358" s="155"/>
      <c r="M358" s="167"/>
      <c r="N358" s="167"/>
      <c r="O358" s="155"/>
      <c r="P358" s="155"/>
      <c r="Q358" s="155"/>
      <c r="R358" s="155"/>
      <c r="S358" s="155"/>
      <c r="T358" s="155"/>
      <c r="U358" s="155"/>
      <c r="V358" s="161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220"/>
      <c r="L359" s="155"/>
      <c r="M359" s="167"/>
      <c r="N359" s="167"/>
      <c r="O359" s="155"/>
      <c r="P359" s="155"/>
      <c r="Q359" s="155"/>
      <c r="R359" s="155"/>
      <c r="S359" s="155"/>
      <c r="T359" s="155"/>
      <c r="U359" s="155"/>
      <c r="V359" s="161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220"/>
      <c r="L360" s="155"/>
      <c r="M360" s="167"/>
      <c r="N360" s="167"/>
      <c r="O360" s="155"/>
      <c r="P360" s="155"/>
      <c r="Q360" s="155"/>
      <c r="R360" s="155"/>
      <c r="S360" s="155"/>
      <c r="T360" s="155"/>
      <c r="U360" s="155"/>
      <c r="V360" s="161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220"/>
      <c r="L361" s="155"/>
      <c r="M361" s="167"/>
      <c r="N361" s="167"/>
      <c r="O361" s="155"/>
      <c r="P361" s="155"/>
      <c r="Q361" s="155"/>
      <c r="R361" s="155"/>
      <c r="S361" s="155"/>
      <c r="T361" s="155"/>
      <c r="U361" s="155"/>
      <c r="V361" s="161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220"/>
      <c r="L362" s="155"/>
      <c r="M362" s="167"/>
      <c r="N362" s="167"/>
      <c r="O362" s="155"/>
      <c r="P362" s="155"/>
      <c r="Q362" s="155"/>
      <c r="R362" s="155"/>
      <c r="S362" s="155"/>
      <c r="T362" s="155"/>
      <c r="U362" s="155"/>
      <c r="V362" s="161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220"/>
      <c r="L363" s="155"/>
      <c r="M363" s="167"/>
      <c r="N363" s="167"/>
      <c r="O363" s="155"/>
      <c r="P363" s="155"/>
      <c r="Q363" s="155"/>
      <c r="R363" s="155"/>
      <c r="S363" s="155"/>
      <c r="T363" s="155"/>
      <c r="U363" s="155"/>
      <c r="V363" s="161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220"/>
      <c r="L364" s="155"/>
      <c r="M364" s="167"/>
      <c r="N364" s="167"/>
      <c r="O364" s="155"/>
      <c r="P364" s="155"/>
      <c r="Q364" s="155"/>
      <c r="R364" s="155"/>
      <c r="S364" s="155"/>
      <c r="T364" s="155"/>
      <c r="U364" s="155"/>
      <c r="V364" s="161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220"/>
      <c r="L365" s="155"/>
      <c r="M365" s="167"/>
      <c r="N365" s="167"/>
      <c r="O365" s="155"/>
      <c r="P365" s="155"/>
      <c r="Q365" s="155"/>
      <c r="R365" s="155"/>
      <c r="S365" s="155"/>
      <c r="T365" s="155"/>
      <c r="U365" s="155"/>
      <c r="V365" s="161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220"/>
      <c r="L366" s="155"/>
      <c r="M366" s="167"/>
      <c r="N366" s="167"/>
      <c r="O366" s="155"/>
      <c r="P366" s="155"/>
      <c r="Q366" s="155"/>
      <c r="R366" s="155"/>
      <c r="S366" s="155"/>
      <c r="T366" s="155"/>
      <c r="U366" s="155"/>
      <c r="V366" s="161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220"/>
      <c r="L367" s="155"/>
      <c r="M367" s="167"/>
      <c r="N367" s="167"/>
      <c r="O367" s="155"/>
      <c r="P367" s="155"/>
      <c r="Q367" s="155"/>
      <c r="R367" s="155"/>
      <c r="S367" s="155"/>
      <c r="T367" s="155"/>
      <c r="U367" s="155"/>
      <c r="V367" s="161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220"/>
      <c r="L368" s="155"/>
      <c r="M368" s="167"/>
      <c r="N368" s="167"/>
      <c r="O368" s="155"/>
      <c r="P368" s="155"/>
      <c r="Q368" s="155"/>
      <c r="R368" s="155"/>
      <c r="S368" s="155"/>
      <c r="T368" s="155"/>
      <c r="U368" s="155"/>
      <c r="V368" s="161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220"/>
      <c r="L369" s="155"/>
      <c r="M369" s="167"/>
      <c r="N369" s="167"/>
      <c r="O369" s="155"/>
      <c r="P369" s="155"/>
      <c r="Q369" s="155"/>
      <c r="R369" s="155"/>
      <c r="S369" s="155"/>
      <c r="T369" s="155"/>
      <c r="U369" s="155"/>
      <c r="V369" s="161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220"/>
      <c r="L370" s="155"/>
      <c r="M370" s="167"/>
      <c r="N370" s="167"/>
      <c r="O370" s="155"/>
      <c r="P370" s="155"/>
      <c r="Q370" s="155"/>
      <c r="R370" s="155"/>
      <c r="S370" s="155"/>
      <c r="T370" s="155"/>
      <c r="U370" s="155"/>
      <c r="V370" s="161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220"/>
      <c r="L371" s="155"/>
      <c r="M371" s="167"/>
      <c r="N371" s="167"/>
      <c r="O371" s="155"/>
      <c r="P371" s="155"/>
      <c r="Q371" s="155"/>
      <c r="R371" s="155"/>
      <c r="S371" s="155"/>
      <c r="T371" s="155"/>
      <c r="U371" s="155"/>
      <c r="V371" s="161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220"/>
      <c r="L372" s="155"/>
      <c r="M372" s="167"/>
      <c r="N372" s="167"/>
      <c r="O372" s="155"/>
      <c r="P372" s="155"/>
      <c r="Q372" s="155"/>
      <c r="R372" s="155"/>
      <c r="S372" s="155"/>
      <c r="T372" s="155"/>
      <c r="U372" s="155"/>
      <c r="V372" s="161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220"/>
      <c r="L373" s="155"/>
      <c r="M373" s="167"/>
      <c r="N373" s="167"/>
      <c r="O373" s="155"/>
      <c r="P373" s="155"/>
      <c r="Q373" s="155"/>
      <c r="R373" s="155"/>
      <c r="S373" s="155"/>
      <c r="T373" s="155"/>
      <c r="U373" s="155"/>
      <c r="V373" s="161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220"/>
      <c r="L374" s="155"/>
      <c r="M374" s="167"/>
      <c r="N374" s="167"/>
      <c r="O374" s="155"/>
      <c r="P374" s="155"/>
      <c r="Q374" s="155"/>
      <c r="R374" s="155"/>
      <c r="S374" s="155"/>
      <c r="T374" s="155"/>
      <c r="U374" s="155"/>
      <c r="V374" s="161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220"/>
      <c r="L375" s="155"/>
      <c r="M375" s="167"/>
      <c r="N375" s="167"/>
      <c r="O375" s="155"/>
      <c r="P375" s="155"/>
      <c r="Q375" s="155"/>
      <c r="R375" s="155"/>
      <c r="S375" s="155"/>
      <c r="T375" s="155"/>
      <c r="U375" s="155"/>
      <c r="V375" s="161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220"/>
      <c r="L376" s="155"/>
      <c r="M376" s="167"/>
      <c r="N376" s="167"/>
      <c r="O376" s="155"/>
      <c r="P376" s="155"/>
      <c r="Q376" s="155"/>
      <c r="R376" s="155"/>
      <c r="S376" s="155"/>
      <c r="T376" s="155"/>
      <c r="U376" s="155"/>
      <c r="V376" s="161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220"/>
      <c r="L377" s="155"/>
      <c r="M377" s="167"/>
      <c r="N377" s="167"/>
      <c r="O377" s="155"/>
      <c r="P377" s="155"/>
      <c r="Q377" s="155"/>
      <c r="R377" s="155"/>
      <c r="S377" s="155"/>
      <c r="T377" s="155"/>
      <c r="U377" s="155"/>
      <c r="V377" s="161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220"/>
      <c r="L378" s="155"/>
      <c r="M378" s="167"/>
      <c r="N378" s="167"/>
      <c r="O378" s="155"/>
      <c r="P378" s="155"/>
      <c r="Q378" s="155"/>
      <c r="R378" s="155"/>
      <c r="S378" s="155"/>
      <c r="T378" s="155"/>
      <c r="U378" s="155"/>
      <c r="V378" s="161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220"/>
      <c r="L379" s="155"/>
      <c r="M379" s="167"/>
      <c r="N379" s="167"/>
      <c r="O379" s="155"/>
      <c r="P379" s="155"/>
      <c r="Q379" s="155"/>
      <c r="R379" s="155"/>
      <c r="S379" s="155"/>
      <c r="T379" s="155"/>
      <c r="U379" s="155"/>
      <c r="V379" s="161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220"/>
      <c r="L380" s="155"/>
      <c r="M380" s="167"/>
      <c r="N380" s="167"/>
      <c r="O380" s="155"/>
      <c r="P380" s="155"/>
      <c r="Q380" s="155"/>
      <c r="R380" s="155"/>
      <c r="S380" s="155"/>
      <c r="T380" s="155"/>
      <c r="U380" s="155"/>
      <c r="V380" s="161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220"/>
      <c r="L381" s="155"/>
      <c r="M381" s="167"/>
      <c r="N381" s="167"/>
      <c r="O381" s="155"/>
      <c r="P381" s="155"/>
      <c r="Q381" s="155"/>
      <c r="R381" s="155"/>
      <c r="S381" s="155"/>
      <c r="T381" s="155"/>
      <c r="U381" s="155"/>
      <c r="V381" s="161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220"/>
      <c r="L382" s="155"/>
      <c r="M382" s="167"/>
      <c r="N382" s="167"/>
      <c r="O382" s="155"/>
      <c r="P382" s="155"/>
      <c r="Q382" s="155"/>
      <c r="R382" s="155"/>
      <c r="S382" s="155"/>
      <c r="T382" s="155"/>
      <c r="U382" s="155"/>
      <c r="V382" s="161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220"/>
      <c r="L383" s="155"/>
      <c r="M383" s="167"/>
      <c r="N383" s="167"/>
      <c r="O383" s="155"/>
      <c r="P383" s="155"/>
      <c r="Q383" s="155"/>
      <c r="R383" s="155"/>
      <c r="S383" s="155"/>
      <c r="T383" s="155"/>
      <c r="U383" s="155"/>
      <c r="V383" s="161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220"/>
      <c r="L384" s="155"/>
      <c r="M384" s="167"/>
      <c r="N384" s="167"/>
      <c r="O384" s="155"/>
      <c r="P384" s="155"/>
      <c r="Q384" s="155"/>
      <c r="R384" s="155"/>
      <c r="S384" s="155"/>
      <c r="T384" s="155"/>
      <c r="U384" s="155"/>
      <c r="V384" s="161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220"/>
      <c r="L385" s="155"/>
      <c r="M385" s="167"/>
      <c r="N385" s="167"/>
      <c r="O385" s="155"/>
      <c r="P385" s="155"/>
      <c r="Q385" s="155"/>
      <c r="R385" s="155"/>
      <c r="S385" s="155"/>
      <c r="T385" s="155"/>
      <c r="U385" s="155"/>
      <c r="V385" s="161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220"/>
      <c r="L386" s="155"/>
      <c r="M386" s="167"/>
      <c r="N386" s="167"/>
      <c r="O386" s="155"/>
      <c r="P386" s="155"/>
      <c r="Q386" s="155"/>
      <c r="R386" s="155"/>
      <c r="S386" s="155"/>
      <c r="T386" s="155"/>
      <c r="U386" s="155"/>
      <c r="V386" s="161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220"/>
      <c r="L387" s="155"/>
      <c r="M387" s="167"/>
      <c r="N387" s="167"/>
      <c r="O387" s="155"/>
      <c r="P387" s="155"/>
      <c r="Q387" s="155"/>
      <c r="R387" s="155"/>
      <c r="S387" s="155"/>
      <c r="T387" s="155"/>
      <c r="U387" s="155"/>
      <c r="V387" s="161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220"/>
      <c r="L388" s="155"/>
      <c r="M388" s="167"/>
      <c r="N388" s="167"/>
      <c r="O388" s="155"/>
      <c r="P388" s="155"/>
      <c r="Q388" s="155"/>
      <c r="R388" s="155"/>
      <c r="S388" s="155"/>
      <c r="T388" s="155"/>
      <c r="U388" s="155"/>
      <c r="V388" s="161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220"/>
      <c r="L389" s="155"/>
      <c r="M389" s="167"/>
      <c r="N389" s="167"/>
      <c r="O389" s="155"/>
      <c r="P389" s="155"/>
      <c r="Q389" s="155"/>
      <c r="R389" s="155"/>
      <c r="S389" s="155"/>
      <c r="T389" s="155"/>
      <c r="U389" s="155"/>
      <c r="V389" s="161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220"/>
      <c r="L390" s="155"/>
      <c r="M390" s="167"/>
      <c r="N390" s="167"/>
      <c r="O390" s="155"/>
      <c r="P390" s="155"/>
      <c r="Q390" s="155"/>
      <c r="R390" s="155"/>
      <c r="S390" s="155"/>
      <c r="T390" s="155"/>
      <c r="U390" s="155"/>
      <c r="V390" s="161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220"/>
      <c r="L391" s="155"/>
      <c r="M391" s="167"/>
      <c r="N391" s="167"/>
      <c r="O391" s="155"/>
      <c r="P391" s="155"/>
      <c r="Q391" s="155"/>
      <c r="R391" s="155"/>
      <c r="S391" s="155"/>
      <c r="T391" s="155"/>
      <c r="U391" s="155"/>
      <c r="V391" s="161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220"/>
      <c r="L392" s="155"/>
      <c r="M392" s="167"/>
      <c r="N392" s="167"/>
      <c r="O392" s="155"/>
      <c r="P392" s="155"/>
      <c r="Q392" s="155"/>
      <c r="R392" s="155"/>
      <c r="S392" s="155"/>
      <c r="T392" s="155"/>
      <c r="U392" s="155"/>
      <c r="V392" s="161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220"/>
      <c r="L393" s="155"/>
      <c r="M393" s="167"/>
      <c r="N393" s="167"/>
      <c r="O393" s="155"/>
      <c r="P393" s="155"/>
      <c r="Q393" s="155"/>
      <c r="R393" s="155"/>
      <c r="S393" s="155"/>
      <c r="T393" s="155"/>
      <c r="U393" s="155"/>
      <c r="V393" s="161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220"/>
      <c r="L394" s="155"/>
      <c r="M394" s="167"/>
      <c r="N394" s="167"/>
      <c r="O394" s="155"/>
      <c r="P394" s="155"/>
      <c r="Q394" s="155"/>
      <c r="R394" s="155"/>
      <c r="S394" s="155"/>
      <c r="T394" s="155"/>
      <c r="U394" s="155"/>
      <c r="V394" s="161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220"/>
      <c r="L395" s="155"/>
      <c r="M395" s="167"/>
      <c r="N395" s="167"/>
      <c r="O395" s="155"/>
      <c r="P395" s="155"/>
      <c r="Q395" s="155"/>
      <c r="R395" s="155"/>
      <c r="S395" s="155"/>
      <c r="T395" s="155"/>
      <c r="U395" s="155"/>
      <c r="V395" s="161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220"/>
      <c r="L396" s="155"/>
      <c r="M396" s="167"/>
      <c r="N396" s="167"/>
      <c r="O396" s="155"/>
      <c r="P396" s="155"/>
      <c r="Q396" s="155"/>
      <c r="R396" s="155"/>
      <c r="S396" s="155"/>
      <c r="T396" s="155"/>
      <c r="U396" s="155"/>
      <c r="V396" s="161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220"/>
      <c r="L397" s="155"/>
      <c r="M397" s="167"/>
      <c r="N397" s="167"/>
      <c r="O397" s="155"/>
      <c r="P397" s="155"/>
      <c r="Q397" s="155"/>
      <c r="R397" s="155"/>
      <c r="S397" s="155"/>
      <c r="T397" s="155"/>
      <c r="U397" s="155"/>
      <c r="V397" s="161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220"/>
      <c r="L398" s="155"/>
      <c r="M398" s="167"/>
      <c r="N398" s="167"/>
      <c r="O398" s="155"/>
      <c r="P398" s="155"/>
      <c r="Q398" s="155"/>
      <c r="R398" s="155"/>
      <c r="S398" s="155"/>
      <c r="T398" s="155"/>
      <c r="U398" s="155"/>
      <c r="V398" s="161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220"/>
      <c r="L399" s="155"/>
      <c r="M399" s="167"/>
      <c r="N399" s="167"/>
      <c r="O399" s="155"/>
      <c r="P399" s="155"/>
      <c r="Q399" s="155"/>
      <c r="R399" s="155"/>
      <c r="S399" s="155"/>
      <c r="T399" s="155"/>
      <c r="U399" s="155"/>
      <c r="V399" s="161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220"/>
      <c r="L400" s="155"/>
      <c r="M400" s="167"/>
      <c r="N400" s="167"/>
      <c r="O400" s="155"/>
      <c r="P400" s="155"/>
      <c r="Q400" s="155"/>
      <c r="R400" s="155"/>
      <c r="S400" s="155"/>
      <c r="T400" s="155"/>
      <c r="U400" s="155"/>
      <c r="V400" s="161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220"/>
      <c r="L401" s="155"/>
      <c r="M401" s="167"/>
      <c r="N401" s="167"/>
      <c r="O401" s="155"/>
      <c r="P401" s="155"/>
      <c r="Q401" s="155"/>
      <c r="R401" s="155"/>
      <c r="S401" s="155"/>
      <c r="T401" s="155"/>
      <c r="U401" s="155"/>
      <c r="V401" s="161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220"/>
      <c r="L402" s="155"/>
      <c r="M402" s="167"/>
      <c r="N402" s="167"/>
      <c r="O402" s="155"/>
      <c r="P402" s="155"/>
      <c r="Q402" s="155"/>
      <c r="R402" s="155"/>
      <c r="S402" s="155"/>
      <c r="T402" s="155"/>
      <c r="U402" s="155"/>
      <c r="V402" s="161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220"/>
      <c r="L403" s="155"/>
      <c r="M403" s="167"/>
      <c r="N403" s="167"/>
      <c r="O403" s="155"/>
      <c r="P403" s="155"/>
      <c r="Q403" s="155"/>
      <c r="R403" s="155"/>
      <c r="S403" s="155"/>
      <c r="T403" s="155"/>
      <c r="U403" s="155"/>
      <c r="V403" s="161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220"/>
      <c r="L404" s="155"/>
      <c r="M404" s="167"/>
      <c r="N404" s="167"/>
      <c r="O404" s="155"/>
      <c r="P404" s="155"/>
      <c r="Q404" s="155"/>
      <c r="R404" s="155"/>
      <c r="S404" s="155"/>
      <c r="T404" s="155"/>
      <c r="U404" s="155"/>
      <c r="V404" s="161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220"/>
      <c r="L405" s="155"/>
      <c r="M405" s="167"/>
      <c r="N405" s="167"/>
      <c r="O405" s="155"/>
      <c r="P405" s="155"/>
      <c r="Q405" s="155"/>
      <c r="R405" s="155"/>
      <c r="S405" s="155"/>
      <c r="T405" s="155"/>
      <c r="U405" s="155"/>
      <c r="V405" s="161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220"/>
      <c r="L406" s="155"/>
      <c r="M406" s="167"/>
      <c r="N406" s="167"/>
      <c r="O406" s="155"/>
      <c r="P406" s="155"/>
      <c r="Q406" s="155"/>
      <c r="R406" s="155"/>
      <c r="S406" s="155"/>
      <c r="T406" s="155"/>
      <c r="U406" s="155"/>
      <c r="V406" s="161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220"/>
      <c r="L407" s="155"/>
      <c r="M407" s="167"/>
      <c r="N407" s="167"/>
      <c r="O407" s="155"/>
      <c r="P407" s="155"/>
      <c r="Q407" s="155"/>
      <c r="R407" s="155"/>
      <c r="S407" s="155"/>
      <c r="T407" s="155"/>
      <c r="U407" s="155"/>
      <c r="V407" s="161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220"/>
      <c r="L408" s="155"/>
      <c r="M408" s="167"/>
      <c r="N408" s="167"/>
      <c r="O408" s="155"/>
      <c r="P408" s="155"/>
      <c r="Q408" s="155"/>
      <c r="R408" s="155"/>
      <c r="S408" s="155"/>
      <c r="T408" s="155"/>
      <c r="U408" s="155"/>
      <c r="V408" s="161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220"/>
      <c r="L409" s="155"/>
      <c r="M409" s="167"/>
      <c r="N409" s="167"/>
      <c r="O409" s="155"/>
      <c r="P409" s="155"/>
      <c r="Q409" s="155"/>
      <c r="R409" s="155"/>
      <c r="S409" s="155"/>
      <c r="T409" s="155"/>
      <c r="U409" s="155"/>
      <c r="V409" s="161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220"/>
      <c r="L410" s="155"/>
      <c r="M410" s="167"/>
      <c r="N410" s="167"/>
      <c r="O410" s="155"/>
      <c r="P410" s="155"/>
      <c r="Q410" s="155"/>
      <c r="R410" s="155"/>
      <c r="S410" s="155"/>
      <c r="T410" s="155"/>
      <c r="U410" s="155"/>
      <c r="V410" s="161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220"/>
      <c r="L411" s="155"/>
      <c r="M411" s="167"/>
      <c r="N411" s="167"/>
      <c r="O411" s="155"/>
      <c r="P411" s="155"/>
      <c r="Q411" s="155"/>
      <c r="R411" s="155"/>
      <c r="S411" s="155"/>
      <c r="T411" s="155"/>
      <c r="U411" s="155"/>
      <c r="V411" s="161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220"/>
      <c r="L412" s="155"/>
      <c r="M412" s="167"/>
      <c r="N412" s="167"/>
      <c r="O412" s="155"/>
      <c r="P412" s="155"/>
      <c r="Q412" s="155"/>
      <c r="R412" s="155"/>
      <c r="S412" s="155"/>
      <c r="T412" s="155"/>
      <c r="U412" s="155"/>
      <c r="V412" s="161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220"/>
      <c r="L413" s="155"/>
      <c r="M413" s="167"/>
      <c r="N413" s="167"/>
      <c r="O413" s="155"/>
      <c r="P413" s="155"/>
      <c r="Q413" s="155"/>
      <c r="R413" s="155"/>
      <c r="S413" s="155"/>
      <c r="T413" s="155"/>
      <c r="U413" s="155"/>
      <c r="V413" s="161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220"/>
      <c r="L414" s="155"/>
      <c r="M414" s="167"/>
      <c r="N414" s="167"/>
      <c r="O414" s="155"/>
      <c r="P414" s="155"/>
      <c r="Q414" s="155"/>
      <c r="R414" s="155"/>
      <c r="S414" s="155"/>
      <c r="T414" s="155"/>
      <c r="U414" s="155"/>
      <c r="V414" s="161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220"/>
      <c r="L415" s="155"/>
      <c r="M415" s="167"/>
      <c r="N415" s="167"/>
      <c r="O415" s="155"/>
      <c r="P415" s="155"/>
      <c r="Q415" s="155"/>
      <c r="R415" s="155"/>
      <c r="S415" s="155"/>
      <c r="T415" s="155"/>
      <c r="U415" s="155"/>
      <c r="V415" s="161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220"/>
      <c r="L416" s="155"/>
      <c r="M416" s="167"/>
      <c r="N416" s="167"/>
      <c r="O416" s="155"/>
      <c r="P416" s="155"/>
      <c r="Q416" s="155"/>
      <c r="R416" s="155"/>
      <c r="S416" s="155"/>
      <c r="T416" s="155"/>
      <c r="U416" s="155"/>
      <c r="V416" s="161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220"/>
      <c r="L417" s="155"/>
      <c r="M417" s="167"/>
      <c r="N417" s="167"/>
      <c r="O417" s="155"/>
      <c r="P417" s="155"/>
      <c r="Q417" s="155"/>
      <c r="R417" s="155"/>
      <c r="S417" s="155"/>
      <c r="T417" s="155"/>
      <c r="U417" s="155"/>
      <c r="V417" s="161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220"/>
      <c r="L418" s="155"/>
      <c r="M418" s="167"/>
      <c r="N418" s="167"/>
      <c r="O418" s="155"/>
      <c r="P418" s="155"/>
      <c r="Q418" s="155"/>
      <c r="R418" s="155"/>
      <c r="S418" s="155"/>
      <c r="T418" s="155"/>
      <c r="U418" s="155"/>
      <c r="V418" s="161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220"/>
      <c r="L419" s="155"/>
      <c r="M419" s="167"/>
      <c r="N419" s="167"/>
      <c r="O419" s="155"/>
      <c r="P419" s="155"/>
      <c r="Q419" s="155"/>
      <c r="R419" s="155"/>
      <c r="S419" s="155"/>
      <c r="T419" s="155"/>
      <c r="U419" s="155"/>
      <c r="V419" s="161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220"/>
      <c r="L420" s="155"/>
      <c r="M420" s="167"/>
      <c r="N420" s="167"/>
      <c r="O420" s="155"/>
      <c r="P420" s="155"/>
      <c r="Q420" s="155"/>
      <c r="R420" s="155"/>
      <c r="S420" s="155"/>
      <c r="T420" s="155"/>
      <c r="U420" s="155"/>
      <c r="V420" s="161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220"/>
      <c r="L421" s="155"/>
      <c r="M421" s="167"/>
      <c r="N421" s="167"/>
      <c r="O421" s="155"/>
      <c r="P421" s="155"/>
      <c r="Q421" s="155"/>
      <c r="R421" s="155"/>
      <c r="S421" s="155"/>
      <c r="T421" s="155"/>
      <c r="U421" s="155"/>
      <c r="V421" s="161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220"/>
      <c r="L422" s="155"/>
      <c r="M422" s="167"/>
      <c r="N422" s="167"/>
      <c r="O422" s="155"/>
      <c r="P422" s="155"/>
      <c r="Q422" s="155"/>
      <c r="R422" s="155"/>
      <c r="S422" s="155"/>
      <c r="T422" s="155"/>
      <c r="U422" s="155"/>
      <c r="V422" s="161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220"/>
      <c r="L423" s="155"/>
      <c r="M423" s="167"/>
      <c r="N423" s="167"/>
      <c r="O423" s="155"/>
      <c r="P423" s="155"/>
      <c r="Q423" s="155"/>
      <c r="R423" s="155"/>
      <c r="S423" s="155"/>
      <c r="T423" s="155"/>
      <c r="U423" s="155"/>
      <c r="V423" s="161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220"/>
      <c r="L424" s="155"/>
      <c r="M424" s="167"/>
      <c r="N424" s="167"/>
      <c r="O424" s="155"/>
      <c r="P424" s="155"/>
      <c r="Q424" s="155"/>
      <c r="R424" s="155"/>
      <c r="S424" s="155"/>
      <c r="T424" s="155"/>
      <c r="U424" s="155"/>
      <c r="V424" s="161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220"/>
      <c r="L425" s="155"/>
      <c r="M425" s="167"/>
      <c r="N425" s="167"/>
      <c r="O425" s="155"/>
      <c r="P425" s="155"/>
      <c r="Q425" s="155"/>
      <c r="R425" s="155"/>
      <c r="S425" s="155"/>
      <c r="T425" s="155"/>
      <c r="U425" s="155"/>
      <c r="V425" s="161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220"/>
      <c r="L426" s="155"/>
      <c r="M426" s="167"/>
      <c r="N426" s="167"/>
      <c r="O426" s="155"/>
      <c r="P426" s="155"/>
      <c r="Q426" s="155"/>
      <c r="R426" s="155"/>
      <c r="S426" s="155"/>
      <c r="T426" s="155"/>
      <c r="U426" s="155"/>
      <c r="V426" s="161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220"/>
      <c r="L427" s="155"/>
      <c r="M427" s="167"/>
      <c r="N427" s="167"/>
      <c r="O427" s="155"/>
      <c r="P427" s="155"/>
      <c r="Q427" s="155"/>
      <c r="R427" s="155"/>
      <c r="S427" s="155"/>
      <c r="T427" s="155"/>
      <c r="U427" s="155"/>
      <c r="V427" s="161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220"/>
      <c r="L428" s="155"/>
      <c r="M428" s="167"/>
      <c r="N428" s="167"/>
      <c r="O428" s="155"/>
      <c r="P428" s="155"/>
      <c r="Q428" s="155"/>
      <c r="R428" s="155"/>
      <c r="S428" s="155"/>
      <c r="T428" s="155"/>
      <c r="U428" s="155"/>
      <c r="V428" s="161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220"/>
      <c r="L429" s="155"/>
      <c r="M429" s="167"/>
      <c r="N429" s="167"/>
      <c r="O429" s="155"/>
      <c r="P429" s="155"/>
      <c r="Q429" s="155"/>
      <c r="R429" s="155"/>
      <c r="S429" s="155"/>
      <c r="T429" s="155"/>
      <c r="U429" s="155"/>
      <c r="V429" s="161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220"/>
      <c r="L430" s="155"/>
      <c r="M430" s="167"/>
      <c r="N430" s="167"/>
      <c r="O430" s="155"/>
      <c r="P430" s="155"/>
      <c r="Q430" s="155"/>
      <c r="R430" s="155"/>
      <c r="S430" s="155"/>
      <c r="T430" s="155"/>
      <c r="U430" s="155"/>
      <c r="V430" s="161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220"/>
      <c r="L431" s="155"/>
      <c r="M431" s="167"/>
      <c r="N431" s="167"/>
      <c r="O431" s="155"/>
      <c r="P431" s="155"/>
      <c r="Q431" s="155"/>
      <c r="R431" s="155"/>
      <c r="S431" s="155"/>
      <c r="T431" s="155"/>
      <c r="U431" s="155"/>
      <c r="V431" s="161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220"/>
      <c r="L432" s="155"/>
      <c r="M432" s="167"/>
      <c r="N432" s="167"/>
      <c r="O432" s="155"/>
      <c r="P432" s="155"/>
      <c r="Q432" s="155"/>
      <c r="R432" s="155"/>
      <c r="S432" s="155"/>
      <c r="T432" s="155"/>
      <c r="U432" s="155"/>
      <c r="V432" s="161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220"/>
      <c r="L433" s="155"/>
      <c r="M433" s="167"/>
      <c r="N433" s="167"/>
      <c r="O433" s="155"/>
      <c r="P433" s="155"/>
      <c r="Q433" s="155"/>
      <c r="R433" s="155"/>
      <c r="S433" s="155"/>
      <c r="T433" s="155"/>
      <c r="U433" s="155"/>
      <c r="V433" s="161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220"/>
      <c r="L434" s="155"/>
      <c r="M434" s="167"/>
      <c r="N434" s="167"/>
      <c r="O434" s="155"/>
      <c r="P434" s="155"/>
      <c r="Q434" s="155"/>
      <c r="R434" s="155"/>
      <c r="S434" s="155"/>
      <c r="T434" s="155"/>
      <c r="U434" s="155"/>
      <c r="V434" s="161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220"/>
      <c r="L435" s="155"/>
      <c r="M435" s="167"/>
      <c r="N435" s="167"/>
      <c r="O435" s="155"/>
      <c r="P435" s="155"/>
      <c r="Q435" s="155"/>
      <c r="R435" s="155"/>
      <c r="S435" s="155"/>
      <c r="T435" s="155"/>
      <c r="U435" s="155"/>
      <c r="V435" s="161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220"/>
      <c r="L436" s="155"/>
      <c r="M436" s="167"/>
      <c r="N436" s="167"/>
      <c r="O436" s="155"/>
      <c r="P436" s="155"/>
      <c r="Q436" s="155"/>
      <c r="R436" s="155"/>
      <c r="S436" s="155"/>
      <c r="T436" s="155"/>
      <c r="U436" s="155"/>
      <c r="V436" s="161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220"/>
      <c r="L437" s="155"/>
      <c r="M437" s="167"/>
      <c r="N437" s="167"/>
      <c r="O437" s="155"/>
      <c r="P437" s="155"/>
      <c r="Q437" s="155"/>
      <c r="R437" s="155"/>
      <c r="S437" s="155"/>
      <c r="T437" s="155"/>
      <c r="U437" s="155"/>
      <c r="V437" s="161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220"/>
      <c r="L438" s="155"/>
      <c r="M438" s="167"/>
      <c r="N438" s="167"/>
      <c r="O438" s="155"/>
      <c r="P438" s="155"/>
      <c r="Q438" s="155"/>
      <c r="R438" s="155"/>
      <c r="S438" s="155"/>
      <c r="T438" s="155"/>
      <c r="U438" s="155"/>
      <c r="V438" s="161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220"/>
      <c r="L439" s="155"/>
      <c r="M439" s="167"/>
      <c r="N439" s="167"/>
      <c r="O439" s="155"/>
      <c r="P439" s="155"/>
      <c r="Q439" s="155"/>
      <c r="R439" s="155"/>
      <c r="S439" s="155"/>
      <c r="T439" s="155"/>
      <c r="U439" s="155"/>
      <c r="V439" s="161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220"/>
      <c r="L440" s="155"/>
      <c r="M440" s="167"/>
      <c r="N440" s="167"/>
      <c r="O440" s="155"/>
      <c r="P440" s="155"/>
      <c r="Q440" s="155"/>
      <c r="R440" s="155"/>
      <c r="S440" s="155"/>
      <c r="T440" s="155"/>
      <c r="U440" s="155"/>
      <c r="V440" s="161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220"/>
      <c r="L441" s="155"/>
      <c r="M441" s="167"/>
      <c r="N441" s="167"/>
      <c r="O441" s="155"/>
      <c r="P441" s="155"/>
      <c r="Q441" s="155"/>
      <c r="R441" s="155"/>
      <c r="S441" s="155"/>
      <c r="T441" s="155"/>
      <c r="U441" s="155"/>
      <c r="V441" s="161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220"/>
      <c r="L442" s="155"/>
      <c r="M442" s="167"/>
      <c r="N442" s="167"/>
      <c r="O442" s="155"/>
      <c r="P442" s="155"/>
      <c r="Q442" s="155"/>
      <c r="R442" s="155"/>
      <c r="S442" s="155"/>
      <c r="T442" s="155"/>
      <c r="U442" s="155"/>
      <c r="V442" s="161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220"/>
      <c r="L443" s="155"/>
      <c r="M443" s="167"/>
      <c r="N443" s="167"/>
      <c r="O443" s="155"/>
      <c r="P443" s="155"/>
      <c r="Q443" s="155"/>
      <c r="R443" s="155"/>
      <c r="S443" s="155"/>
      <c r="T443" s="155"/>
      <c r="U443" s="155"/>
      <c r="V443" s="161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220"/>
      <c r="L444" s="155"/>
      <c r="M444" s="167"/>
      <c r="N444" s="167"/>
      <c r="O444" s="155"/>
      <c r="P444" s="155"/>
      <c r="Q444" s="155"/>
      <c r="R444" s="155"/>
      <c r="S444" s="155"/>
      <c r="T444" s="155"/>
      <c r="U444" s="155"/>
      <c r="V444" s="161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220"/>
      <c r="L445" s="155"/>
      <c r="M445" s="167"/>
      <c r="N445" s="167"/>
      <c r="O445" s="155"/>
      <c r="P445" s="155"/>
      <c r="Q445" s="155"/>
      <c r="R445" s="155"/>
      <c r="S445" s="155"/>
      <c r="T445" s="155"/>
      <c r="U445" s="155"/>
      <c r="V445" s="161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220"/>
      <c r="L446" s="155"/>
      <c r="M446" s="167"/>
      <c r="N446" s="167"/>
      <c r="O446" s="155"/>
      <c r="P446" s="155"/>
      <c r="Q446" s="155"/>
      <c r="R446" s="155"/>
      <c r="S446" s="155"/>
      <c r="T446" s="155"/>
      <c r="U446" s="155"/>
      <c r="V446" s="161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220"/>
      <c r="L447" s="155"/>
      <c r="M447" s="167"/>
      <c r="N447" s="167"/>
      <c r="O447" s="155"/>
      <c r="P447" s="155"/>
      <c r="Q447" s="155"/>
      <c r="R447" s="155"/>
      <c r="S447" s="155"/>
      <c r="T447" s="155"/>
      <c r="U447" s="155"/>
      <c r="V447" s="161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220"/>
      <c r="L448" s="155"/>
      <c r="M448" s="167"/>
      <c r="N448" s="167"/>
      <c r="O448" s="155"/>
      <c r="P448" s="155"/>
      <c r="Q448" s="155"/>
      <c r="R448" s="155"/>
      <c r="S448" s="155"/>
      <c r="T448" s="155"/>
      <c r="U448" s="155"/>
      <c r="V448" s="161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220"/>
      <c r="L449" s="155"/>
      <c r="M449" s="167"/>
      <c r="N449" s="167"/>
      <c r="O449" s="155"/>
      <c r="P449" s="155"/>
      <c r="Q449" s="155"/>
      <c r="R449" s="155"/>
      <c r="S449" s="155"/>
      <c r="T449" s="155"/>
      <c r="U449" s="155"/>
      <c r="V449" s="161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220"/>
      <c r="L450" s="155"/>
      <c r="M450" s="167"/>
      <c r="N450" s="167"/>
      <c r="O450" s="155"/>
      <c r="P450" s="155"/>
      <c r="Q450" s="155"/>
      <c r="R450" s="155"/>
      <c r="S450" s="155"/>
      <c r="T450" s="155"/>
      <c r="U450" s="155"/>
      <c r="V450" s="161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220"/>
      <c r="L451" s="155"/>
      <c r="M451" s="167"/>
      <c r="N451" s="167"/>
      <c r="O451" s="155"/>
      <c r="P451" s="155"/>
      <c r="Q451" s="155"/>
      <c r="R451" s="155"/>
      <c r="S451" s="155"/>
      <c r="T451" s="155"/>
      <c r="U451" s="155"/>
      <c r="V451" s="161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220"/>
      <c r="L452" s="155"/>
      <c r="M452" s="167"/>
      <c r="N452" s="167"/>
      <c r="O452" s="155"/>
      <c r="P452" s="155"/>
      <c r="Q452" s="155"/>
      <c r="R452" s="155"/>
      <c r="S452" s="155"/>
      <c r="T452" s="155"/>
      <c r="U452" s="155"/>
      <c r="V452" s="161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220"/>
      <c r="L453" s="155"/>
      <c r="M453" s="167"/>
      <c r="N453" s="167"/>
      <c r="O453" s="155"/>
      <c r="P453" s="155"/>
      <c r="Q453" s="155"/>
      <c r="R453" s="155"/>
      <c r="S453" s="155"/>
      <c r="T453" s="155"/>
      <c r="U453" s="155"/>
      <c r="V453" s="161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220"/>
      <c r="L454" s="155"/>
      <c r="M454" s="167"/>
      <c r="N454" s="167"/>
      <c r="O454" s="155"/>
      <c r="P454" s="155"/>
      <c r="Q454" s="155"/>
      <c r="R454" s="155"/>
      <c r="S454" s="155"/>
      <c r="T454" s="155"/>
      <c r="U454" s="155"/>
      <c r="V454" s="161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220"/>
      <c r="L455" s="155"/>
      <c r="M455" s="167"/>
      <c r="N455" s="167"/>
      <c r="O455" s="155"/>
      <c r="P455" s="155"/>
      <c r="Q455" s="155"/>
      <c r="R455" s="155"/>
      <c r="S455" s="155"/>
      <c r="T455" s="155"/>
      <c r="U455" s="155"/>
      <c r="V455" s="161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220"/>
      <c r="L456" s="155"/>
      <c r="M456" s="167"/>
      <c r="N456" s="167"/>
      <c r="O456" s="155"/>
      <c r="P456" s="155"/>
      <c r="Q456" s="155"/>
      <c r="R456" s="155"/>
      <c r="S456" s="155"/>
      <c r="T456" s="155"/>
      <c r="U456" s="155"/>
      <c r="V456" s="161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220"/>
      <c r="L457" s="155"/>
      <c r="M457" s="167"/>
      <c r="N457" s="167"/>
      <c r="O457" s="155"/>
      <c r="P457" s="155"/>
      <c r="Q457" s="155"/>
      <c r="R457" s="155"/>
      <c r="S457" s="155"/>
      <c r="T457" s="155"/>
      <c r="U457" s="155"/>
      <c r="V457" s="161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220"/>
      <c r="L458" s="155"/>
      <c r="M458" s="167"/>
      <c r="N458" s="167"/>
      <c r="O458" s="155"/>
      <c r="P458" s="155"/>
      <c r="Q458" s="155"/>
      <c r="R458" s="155"/>
      <c r="S458" s="155"/>
      <c r="T458" s="155"/>
      <c r="U458" s="155"/>
      <c r="V458" s="161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220"/>
      <c r="L459" s="155"/>
      <c r="M459" s="167"/>
      <c r="N459" s="167"/>
      <c r="O459" s="155"/>
      <c r="P459" s="155"/>
      <c r="Q459" s="155"/>
      <c r="R459" s="155"/>
      <c r="S459" s="155"/>
      <c r="T459" s="155"/>
      <c r="U459" s="155"/>
      <c r="V459" s="161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220"/>
      <c r="L460" s="155"/>
      <c r="M460" s="167"/>
      <c r="N460" s="167"/>
      <c r="O460" s="155"/>
      <c r="P460" s="155"/>
      <c r="Q460" s="155"/>
      <c r="R460" s="155"/>
      <c r="S460" s="155"/>
      <c r="T460" s="155"/>
      <c r="U460" s="155"/>
      <c r="V460" s="161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220"/>
      <c r="L461" s="155"/>
      <c r="M461" s="167"/>
      <c r="N461" s="167"/>
      <c r="O461" s="155"/>
      <c r="P461" s="155"/>
      <c r="Q461" s="155"/>
      <c r="R461" s="155"/>
      <c r="S461" s="155"/>
      <c r="T461" s="155"/>
      <c r="U461" s="155"/>
      <c r="V461" s="161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220"/>
      <c r="L462" s="155"/>
      <c r="M462" s="167"/>
      <c r="N462" s="167"/>
      <c r="O462" s="155"/>
      <c r="P462" s="155"/>
      <c r="Q462" s="155"/>
      <c r="R462" s="155"/>
      <c r="S462" s="155"/>
      <c r="T462" s="155"/>
      <c r="U462" s="155"/>
      <c r="V462" s="161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220"/>
      <c r="L463" s="155"/>
      <c r="M463" s="167"/>
      <c r="N463" s="167"/>
      <c r="O463" s="155"/>
      <c r="P463" s="155"/>
      <c r="Q463" s="155"/>
      <c r="R463" s="155"/>
      <c r="S463" s="155"/>
      <c r="T463" s="155"/>
      <c r="U463" s="155"/>
      <c r="V463" s="161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220"/>
      <c r="L464" s="155"/>
      <c r="M464" s="167"/>
      <c r="N464" s="167"/>
      <c r="O464" s="155"/>
      <c r="P464" s="155"/>
      <c r="Q464" s="155"/>
      <c r="R464" s="155"/>
      <c r="S464" s="155"/>
      <c r="T464" s="155"/>
      <c r="U464" s="155"/>
      <c r="V464" s="161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220"/>
      <c r="L465" s="155"/>
      <c r="M465" s="167"/>
      <c r="N465" s="167"/>
      <c r="O465" s="155"/>
      <c r="P465" s="155"/>
      <c r="Q465" s="155"/>
      <c r="R465" s="155"/>
      <c r="S465" s="155"/>
      <c r="T465" s="155"/>
      <c r="U465" s="155"/>
      <c r="V465" s="161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220"/>
      <c r="L466" s="155"/>
      <c r="M466" s="167"/>
      <c r="N466" s="167"/>
      <c r="O466" s="155"/>
      <c r="P466" s="155"/>
      <c r="Q466" s="155"/>
      <c r="R466" s="155"/>
      <c r="S466" s="155"/>
      <c r="T466" s="155"/>
      <c r="U466" s="155"/>
      <c r="V466" s="161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220"/>
      <c r="L467" s="155"/>
      <c r="M467" s="167"/>
      <c r="N467" s="167"/>
      <c r="O467" s="155"/>
      <c r="P467" s="155"/>
      <c r="Q467" s="155"/>
      <c r="R467" s="155"/>
      <c r="S467" s="155"/>
      <c r="T467" s="155"/>
      <c r="U467" s="155"/>
      <c r="V467" s="161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220"/>
      <c r="L468" s="155"/>
      <c r="M468" s="167"/>
      <c r="N468" s="167"/>
      <c r="O468" s="155"/>
      <c r="P468" s="155"/>
      <c r="Q468" s="155"/>
      <c r="R468" s="155"/>
      <c r="S468" s="155"/>
      <c r="T468" s="155"/>
      <c r="U468" s="155"/>
      <c r="V468" s="161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220"/>
      <c r="L469" s="155"/>
      <c r="M469" s="167"/>
      <c r="N469" s="167"/>
      <c r="O469" s="155"/>
      <c r="P469" s="155"/>
      <c r="Q469" s="155"/>
      <c r="R469" s="155"/>
      <c r="S469" s="155"/>
      <c r="T469" s="155"/>
      <c r="U469" s="155"/>
      <c r="V469" s="161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220"/>
      <c r="L470" s="155"/>
      <c r="M470" s="167"/>
      <c r="N470" s="167"/>
      <c r="O470" s="155"/>
      <c r="P470" s="155"/>
      <c r="Q470" s="155"/>
      <c r="R470" s="155"/>
      <c r="S470" s="155"/>
      <c r="T470" s="155"/>
      <c r="U470" s="155"/>
      <c r="V470" s="161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220"/>
      <c r="L471" s="155"/>
      <c r="M471" s="167"/>
      <c r="N471" s="167"/>
      <c r="O471" s="155"/>
      <c r="P471" s="155"/>
      <c r="Q471" s="155"/>
      <c r="R471" s="155"/>
      <c r="S471" s="155"/>
      <c r="T471" s="155"/>
      <c r="U471" s="155"/>
      <c r="V471" s="161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220"/>
      <c r="L472" s="155"/>
      <c r="M472" s="167"/>
      <c r="N472" s="167"/>
      <c r="O472" s="155"/>
      <c r="P472" s="155"/>
      <c r="Q472" s="155"/>
      <c r="R472" s="155"/>
      <c r="S472" s="155"/>
      <c r="T472" s="155"/>
      <c r="U472" s="155"/>
      <c r="V472" s="161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220"/>
      <c r="L473" s="155"/>
      <c r="M473" s="167"/>
      <c r="N473" s="167"/>
      <c r="O473" s="155"/>
      <c r="P473" s="155"/>
      <c r="Q473" s="155"/>
      <c r="R473" s="155"/>
      <c r="S473" s="155"/>
      <c r="T473" s="155"/>
      <c r="U473" s="155"/>
      <c r="V473" s="161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220"/>
      <c r="L474" s="155"/>
      <c r="M474" s="167"/>
      <c r="N474" s="167"/>
      <c r="O474" s="155"/>
      <c r="P474" s="155"/>
      <c r="Q474" s="155"/>
      <c r="R474" s="155"/>
      <c r="S474" s="155"/>
      <c r="T474" s="155"/>
      <c r="U474" s="155"/>
      <c r="V474" s="161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220"/>
      <c r="L475" s="155"/>
      <c r="M475" s="167"/>
      <c r="N475" s="167"/>
      <c r="O475" s="155"/>
      <c r="P475" s="155"/>
      <c r="Q475" s="155"/>
      <c r="R475" s="155"/>
      <c r="S475" s="155"/>
      <c r="T475" s="155"/>
      <c r="U475" s="155"/>
      <c r="V475" s="161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220"/>
      <c r="L476" s="155"/>
      <c r="M476" s="167"/>
      <c r="N476" s="167"/>
      <c r="O476" s="155"/>
      <c r="P476" s="155"/>
      <c r="Q476" s="155"/>
      <c r="R476" s="155"/>
      <c r="S476" s="155"/>
      <c r="T476" s="155"/>
      <c r="U476" s="155"/>
      <c r="V476" s="161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220"/>
      <c r="L477" s="155"/>
      <c r="M477" s="167"/>
      <c r="N477" s="167"/>
      <c r="O477" s="155"/>
      <c r="P477" s="155"/>
      <c r="Q477" s="155"/>
      <c r="R477" s="155"/>
      <c r="S477" s="155"/>
      <c r="T477" s="155"/>
      <c r="U477" s="155"/>
      <c r="V477" s="161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220"/>
      <c r="L478" s="155"/>
      <c r="M478" s="167"/>
      <c r="N478" s="167"/>
      <c r="O478" s="155"/>
      <c r="P478" s="155"/>
      <c r="Q478" s="155"/>
      <c r="R478" s="155"/>
      <c r="S478" s="155"/>
      <c r="T478" s="155"/>
      <c r="U478" s="155"/>
      <c r="V478" s="161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220"/>
      <c r="L479" s="155"/>
      <c r="M479" s="167"/>
      <c r="N479" s="167"/>
      <c r="O479" s="155"/>
      <c r="P479" s="155"/>
      <c r="Q479" s="155"/>
      <c r="R479" s="155"/>
      <c r="S479" s="155"/>
      <c r="T479" s="155"/>
      <c r="U479" s="155"/>
      <c r="V479" s="161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220"/>
      <c r="L480" s="155"/>
      <c r="M480" s="167"/>
      <c r="N480" s="167"/>
      <c r="O480" s="155"/>
      <c r="P480" s="155"/>
      <c r="Q480" s="155"/>
      <c r="R480" s="155"/>
      <c r="S480" s="155"/>
      <c r="T480" s="155"/>
      <c r="U480" s="155"/>
      <c r="V480" s="161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220"/>
      <c r="L481" s="155"/>
      <c r="M481" s="167"/>
      <c r="N481" s="167"/>
      <c r="O481" s="155"/>
      <c r="P481" s="155"/>
      <c r="Q481" s="155"/>
      <c r="R481" s="155"/>
      <c r="S481" s="155"/>
      <c r="T481" s="155"/>
      <c r="U481" s="155"/>
      <c r="V481" s="161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220"/>
      <c r="L482" s="155"/>
      <c r="M482" s="167"/>
      <c r="N482" s="167"/>
      <c r="O482" s="155"/>
      <c r="P482" s="155"/>
      <c r="Q482" s="155"/>
      <c r="R482" s="155"/>
      <c r="S482" s="155"/>
      <c r="T482" s="155"/>
      <c r="U482" s="155"/>
      <c r="V482" s="161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220"/>
      <c r="L483" s="155"/>
      <c r="M483" s="167"/>
      <c r="N483" s="167"/>
      <c r="O483" s="155"/>
      <c r="P483" s="155"/>
      <c r="Q483" s="155"/>
      <c r="R483" s="155"/>
      <c r="S483" s="155"/>
      <c r="T483" s="155"/>
      <c r="U483" s="155"/>
      <c r="V483" s="161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220"/>
      <c r="L484" s="155"/>
      <c r="M484" s="167"/>
      <c r="N484" s="167"/>
      <c r="O484" s="155"/>
      <c r="P484" s="155"/>
      <c r="Q484" s="155"/>
      <c r="R484" s="155"/>
      <c r="S484" s="155"/>
      <c r="T484" s="155"/>
      <c r="U484" s="155"/>
      <c r="V484" s="161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220"/>
      <c r="L485" s="155"/>
      <c r="M485" s="167"/>
      <c r="N485" s="167"/>
      <c r="O485" s="155"/>
      <c r="P485" s="155"/>
      <c r="Q485" s="155"/>
      <c r="R485" s="155"/>
      <c r="S485" s="155"/>
      <c r="T485" s="155"/>
      <c r="U485" s="155"/>
      <c r="V485" s="161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220"/>
      <c r="L486" s="155"/>
      <c r="M486" s="167"/>
      <c r="N486" s="167"/>
      <c r="O486" s="155"/>
      <c r="P486" s="155"/>
      <c r="Q486" s="155"/>
      <c r="R486" s="155"/>
      <c r="S486" s="155"/>
      <c r="T486" s="155"/>
      <c r="U486" s="155"/>
      <c r="V486" s="161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220"/>
      <c r="L487" s="155"/>
      <c r="M487" s="167"/>
      <c r="N487" s="167"/>
      <c r="O487" s="155"/>
      <c r="P487" s="155"/>
      <c r="Q487" s="155"/>
      <c r="R487" s="155"/>
      <c r="S487" s="155"/>
      <c r="T487" s="155"/>
      <c r="U487" s="155"/>
      <c r="V487" s="161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220"/>
      <c r="L488" s="155"/>
      <c r="M488" s="167"/>
      <c r="N488" s="167"/>
      <c r="O488" s="155"/>
      <c r="P488" s="155"/>
      <c r="Q488" s="155"/>
      <c r="R488" s="155"/>
      <c r="S488" s="155"/>
      <c r="T488" s="155"/>
      <c r="U488" s="155"/>
      <c r="V488" s="161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220"/>
      <c r="L489" s="155"/>
      <c r="M489" s="167"/>
      <c r="N489" s="167"/>
      <c r="O489" s="155"/>
      <c r="P489" s="155"/>
      <c r="Q489" s="155"/>
      <c r="R489" s="155"/>
      <c r="S489" s="155"/>
      <c r="T489" s="155"/>
      <c r="U489" s="155"/>
      <c r="V489" s="161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220"/>
      <c r="L490" s="155"/>
      <c r="M490" s="167"/>
      <c r="N490" s="167"/>
      <c r="O490" s="155"/>
      <c r="P490" s="155"/>
      <c r="Q490" s="155"/>
      <c r="R490" s="155"/>
      <c r="S490" s="155"/>
      <c r="T490" s="155"/>
      <c r="U490" s="155"/>
      <c r="V490" s="161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220"/>
      <c r="L491" s="155"/>
      <c r="M491" s="167"/>
      <c r="N491" s="167"/>
      <c r="O491" s="155"/>
      <c r="P491" s="155"/>
      <c r="Q491" s="155"/>
      <c r="R491" s="155"/>
      <c r="S491" s="155"/>
      <c r="T491" s="155"/>
      <c r="U491" s="155"/>
      <c r="V491" s="161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220"/>
      <c r="L492" s="155"/>
      <c r="M492" s="167"/>
      <c r="N492" s="167"/>
      <c r="O492" s="155"/>
      <c r="P492" s="155"/>
      <c r="Q492" s="155"/>
      <c r="R492" s="155"/>
      <c r="S492" s="155"/>
      <c r="T492" s="155"/>
      <c r="U492" s="155"/>
      <c r="V492" s="161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220"/>
      <c r="L493" s="155"/>
      <c r="M493" s="167"/>
      <c r="N493" s="167"/>
      <c r="O493" s="155"/>
      <c r="P493" s="155"/>
      <c r="Q493" s="155"/>
      <c r="R493" s="155"/>
      <c r="S493" s="155"/>
      <c r="T493" s="155"/>
      <c r="U493" s="155"/>
      <c r="V493" s="161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220"/>
      <c r="L494" s="155"/>
      <c r="M494" s="167"/>
      <c r="N494" s="167"/>
      <c r="O494" s="155"/>
      <c r="P494" s="155"/>
      <c r="Q494" s="155"/>
      <c r="R494" s="155"/>
      <c r="S494" s="155"/>
      <c r="T494" s="155"/>
      <c r="U494" s="155"/>
      <c r="V494" s="161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220"/>
      <c r="L495" s="155"/>
      <c r="M495" s="167"/>
      <c r="N495" s="167"/>
      <c r="O495" s="155"/>
      <c r="P495" s="155"/>
      <c r="Q495" s="155"/>
      <c r="R495" s="155"/>
      <c r="S495" s="155"/>
      <c r="T495" s="155"/>
      <c r="U495" s="155"/>
      <c r="V495" s="161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220"/>
      <c r="L496" s="155"/>
      <c r="M496" s="167"/>
      <c r="N496" s="167"/>
      <c r="O496" s="155"/>
      <c r="P496" s="155"/>
      <c r="Q496" s="155"/>
      <c r="R496" s="155"/>
      <c r="S496" s="155"/>
      <c r="T496" s="155"/>
      <c r="U496" s="155"/>
      <c r="V496" s="161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220"/>
      <c r="L497" s="155"/>
      <c r="M497" s="167"/>
      <c r="N497" s="167"/>
      <c r="O497" s="155"/>
      <c r="P497" s="155"/>
      <c r="Q497" s="155"/>
      <c r="R497" s="155"/>
      <c r="S497" s="155"/>
      <c r="T497" s="155"/>
      <c r="U497" s="155"/>
      <c r="V497" s="161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220"/>
      <c r="L498" s="155"/>
      <c r="M498" s="167"/>
      <c r="N498" s="167"/>
      <c r="O498" s="155"/>
      <c r="P498" s="155"/>
      <c r="Q498" s="155"/>
      <c r="R498" s="155"/>
      <c r="S498" s="155"/>
      <c r="T498" s="155"/>
      <c r="U498" s="155"/>
      <c r="V498" s="161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220"/>
      <c r="L499" s="155"/>
      <c r="M499" s="167"/>
      <c r="N499" s="167"/>
      <c r="O499" s="155"/>
      <c r="P499" s="155"/>
      <c r="Q499" s="155"/>
      <c r="R499" s="155"/>
      <c r="S499" s="155"/>
      <c r="T499" s="155"/>
      <c r="U499" s="155"/>
      <c r="V499" s="161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220"/>
      <c r="L500" s="155"/>
      <c r="M500" s="167"/>
      <c r="N500" s="167"/>
      <c r="O500" s="155"/>
      <c r="P500" s="155"/>
      <c r="Q500" s="155"/>
      <c r="R500" s="155"/>
      <c r="S500" s="155"/>
      <c r="T500" s="155"/>
      <c r="U500" s="155"/>
      <c r="V500" s="161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220"/>
      <c r="L501" s="155"/>
      <c r="M501" s="167"/>
      <c r="N501" s="167"/>
      <c r="O501" s="155"/>
      <c r="P501" s="155"/>
      <c r="Q501" s="155"/>
      <c r="R501" s="155"/>
      <c r="S501" s="155"/>
      <c r="T501" s="155"/>
      <c r="U501" s="155"/>
      <c r="V501" s="161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220"/>
      <c r="L502" s="155"/>
      <c r="M502" s="167"/>
      <c r="N502" s="167"/>
      <c r="O502" s="155"/>
      <c r="P502" s="155"/>
      <c r="Q502" s="155"/>
      <c r="R502" s="155"/>
      <c r="S502" s="155"/>
      <c r="T502" s="155"/>
      <c r="U502" s="155"/>
      <c r="V502" s="161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220"/>
      <c r="L503" s="155"/>
      <c r="M503" s="167"/>
      <c r="N503" s="167"/>
      <c r="O503" s="155"/>
      <c r="P503" s="155"/>
      <c r="Q503" s="155"/>
      <c r="R503" s="155"/>
      <c r="S503" s="155"/>
      <c r="T503" s="155"/>
      <c r="U503" s="155"/>
      <c r="V503" s="161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220"/>
      <c r="L504" s="155"/>
      <c r="M504" s="167"/>
      <c r="N504" s="167"/>
      <c r="O504" s="155"/>
      <c r="P504" s="155"/>
      <c r="Q504" s="155"/>
      <c r="R504" s="155"/>
      <c r="S504" s="155"/>
      <c r="T504" s="155"/>
      <c r="U504" s="155"/>
      <c r="V504" s="161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220"/>
      <c r="L505" s="155"/>
      <c r="M505" s="167"/>
      <c r="N505" s="167"/>
      <c r="O505" s="155"/>
      <c r="P505" s="155"/>
      <c r="Q505" s="155"/>
      <c r="R505" s="155"/>
      <c r="S505" s="155"/>
      <c r="T505" s="155"/>
      <c r="U505" s="155"/>
      <c r="V505" s="161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220"/>
      <c r="L506" s="155"/>
      <c r="M506" s="167"/>
      <c r="N506" s="167"/>
      <c r="O506" s="155"/>
      <c r="P506" s="155"/>
      <c r="Q506" s="155"/>
      <c r="R506" s="155"/>
      <c r="S506" s="155"/>
      <c r="T506" s="155"/>
      <c r="U506" s="155"/>
      <c r="V506" s="161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220"/>
      <c r="L507" s="155"/>
      <c r="M507" s="167"/>
      <c r="N507" s="167"/>
      <c r="O507" s="155"/>
      <c r="P507" s="155"/>
      <c r="Q507" s="155"/>
      <c r="R507" s="155"/>
      <c r="S507" s="155"/>
      <c r="T507" s="155"/>
      <c r="U507" s="155"/>
      <c r="V507" s="161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220"/>
      <c r="L508" s="155"/>
      <c r="M508" s="167"/>
      <c r="N508" s="167"/>
      <c r="O508" s="155"/>
      <c r="P508" s="155"/>
      <c r="Q508" s="155"/>
      <c r="R508" s="155"/>
      <c r="S508" s="155"/>
      <c r="T508" s="155"/>
      <c r="U508" s="155"/>
      <c r="V508" s="161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220"/>
      <c r="L509" s="155"/>
      <c r="M509" s="167"/>
      <c r="N509" s="167"/>
      <c r="O509" s="155"/>
      <c r="P509" s="155"/>
      <c r="Q509" s="155"/>
      <c r="R509" s="155"/>
      <c r="S509" s="155"/>
      <c r="T509" s="155"/>
      <c r="U509" s="155"/>
      <c r="V509" s="161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220"/>
      <c r="L510" s="155"/>
      <c r="M510" s="167"/>
      <c r="N510" s="167"/>
      <c r="O510" s="155"/>
      <c r="P510" s="155"/>
      <c r="Q510" s="155"/>
      <c r="R510" s="155"/>
      <c r="S510" s="155"/>
      <c r="T510" s="155"/>
      <c r="U510" s="155"/>
      <c r="V510" s="161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220"/>
      <c r="L511" s="155"/>
      <c r="M511" s="167"/>
      <c r="N511" s="167"/>
      <c r="O511" s="155"/>
      <c r="P511" s="155"/>
      <c r="Q511" s="155"/>
      <c r="R511" s="155"/>
      <c r="S511" s="155"/>
      <c r="T511" s="155"/>
      <c r="U511" s="155"/>
      <c r="V511" s="161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220"/>
      <c r="L512" s="155"/>
      <c r="M512" s="167"/>
      <c r="N512" s="167"/>
      <c r="O512" s="155"/>
      <c r="P512" s="155"/>
      <c r="Q512" s="155"/>
      <c r="R512" s="155"/>
      <c r="S512" s="155"/>
      <c r="T512" s="155"/>
      <c r="U512" s="155"/>
      <c r="V512" s="161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220"/>
      <c r="L513" s="155"/>
      <c r="M513" s="167"/>
      <c r="N513" s="167"/>
      <c r="O513" s="155"/>
      <c r="P513" s="155"/>
      <c r="Q513" s="155"/>
      <c r="R513" s="155"/>
      <c r="S513" s="155"/>
      <c r="T513" s="155"/>
      <c r="U513" s="155"/>
      <c r="V513" s="161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220"/>
      <c r="L514" s="155"/>
      <c r="M514" s="167"/>
      <c r="N514" s="167"/>
      <c r="O514" s="155"/>
      <c r="P514" s="155"/>
      <c r="Q514" s="155"/>
      <c r="R514" s="155"/>
      <c r="S514" s="155"/>
      <c r="T514" s="155"/>
      <c r="U514" s="155"/>
      <c r="V514" s="161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220"/>
      <c r="L515" s="155"/>
      <c r="M515" s="167"/>
      <c r="N515" s="167"/>
      <c r="O515" s="155"/>
      <c r="P515" s="155"/>
      <c r="Q515" s="155"/>
      <c r="R515" s="155"/>
      <c r="S515" s="155"/>
      <c r="T515" s="155"/>
      <c r="U515" s="155"/>
      <c r="V515" s="161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220"/>
      <c r="L516" s="155"/>
      <c r="M516" s="167"/>
      <c r="N516" s="167"/>
      <c r="O516" s="155"/>
      <c r="P516" s="155"/>
      <c r="Q516" s="155"/>
      <c r="R516" s="155"/>
      <c r="S516" s="155"/>
      <c r="T516" s="155"/>
      <c r="U516" s="155"/>
      <c r="V516" s="161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220"/>
      <c r="L517" s="155"/>
      <c r="M517" s="167"/>
      <c r="N517" s="167"/>
      <c r="O517" s="155"/>
      <c r="P517" s="155"/>
      <c r="Q517" s="155"/>
      <c r="R517" s="155"/>
      <c r="S517" s="155"/>
      <c r="T517" s="155"/>
      <c r="U517" s="155"/>
      <c r="V517" s="161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220"/>
      <c r="L518" s="155"/>
      <c r="M518" s="167"/>
      <c r="N518" s="167"/>
      <c r="O518" s="155"/>
      <c r="P518" s="155"/>
      <c r="Q518" s="155"/>
      <c r="R518" s="155"/>
      <c r="S518" s="155"/>
      <c r="T518" s="155"/>
      <c r="U518" s="155"/>
      <c r="V518" s="161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220"/>
      <c r="L519" s="155"/>
      <c r="M519" s="167"/>
      <c r="N519" s="167"/>
      <c r="O519" s="155"/>
      <c r="P519" s="155"/>
      <c r="Q519" s="155"/>
      <c r="R519" s="155"/>
      <c r="S519" s="155"/>
      <c r="T519" s="155"/>
      <c r="U519" s="155"/>
      <c r="V519" s="161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220"/>
      <c r="L520" s="155"/>
      <c r="M520" s="167"/>
      <c r="N520" s="167"/>
      <c r="O520" s="155"/>
      <c r="P520" s="155"/>
      <c r="Q520" s="155"/>
      <c r="R520" s="155"/>
      <c r="S520" s="155"/>
      <c r="T520" s="155"/>
      <c r="U520" s="155"/>
      <c r="V520" s="161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220"/>
      <c r="L521" s="155"/>
      <c r="M521" s="167"/>
      <c r="N521" s="167"/>
      <c r="O521" s="155"/>
      <c r="P521" s="155"/>
      <c r="Q521" s="155"/>
      <c r="R521" s="155"/>
      <c r="S521" s="155"/>
      <c r="T521" s="155"/>
      <c r="U521" s="155"/>
      <c r="V521" s="161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220"/>
      <c r="L522" s="155"/>
      <c r="M522" s="167"/>
      <c r="N522" s="167"/>
      <c r="O522" s="155"/>
      <c r="P522" s="155"/>
      <c r="Q522" s="155"/>
      <c r="R522" s="155"/>
      <c r="S522" s="155"/>
      <c r="T522" s="155"/>
      <c r="U522" s="155"/>
      <c r="V522" s="161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220"/>
      <c r="L523" s="155"/>
      <c r="M523" s="167"/>
      <c r="N523" s="167"/>
      <c r="O523" s="155"/>
      <c r="P523" s="155"/>
      <c r="Q523" s="155"/>
      <c r="R523" s="155"/>
      <c r="S523" s="155"/>
      <c r="T523" s="155"/>
      <c r="U523" s="155"/>
      <c r="V523" s="161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220"/>
      <c r="L524" s="155"/>
      <c r="M524" s="167"/>
      <c r="N524" s="167"/>
      <c r="O524" s="155"/>
      <c r="P524" s="155"/>
      <c r="Q524" s="155"/>
      <c r="R524" s="155"/>
      <c r="S524" s="155"/>
      <c r="T524" s="155"/>
      <c r="U524" s="155"/>
      <c r="V524" s="161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220"/>
      <c r="L525" s="155"/>
      <c r="M525" s="167"/>
      <c r="N525" s="167"/>
      <c r="O525" s="155"/>
      <c r="P525" s="155"/>
      <c r="Q525" s="155"/>
      <c r="R525" s="155"/>
      <c r="S525" s="155"/>
      <c r="T525" s="155"/>
      <c r="U525" s="155"/>
      <c r="V525" s="161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220"/>
      <c r="L526" s="155"/>
      <c r="M526" s="167"/>
      <c r="N526" s="167"/>
      <c r="O526" s="155"/>
      <c r="P526" s="155"/>
      <c r="Q526" s="155"/>
      <c r="R526" s="155"/>
      <c r="S526" s="155"/>
      <c r="T526" s="155"/>
      <c r="U526" s="155"/>
      <c r="V526" s="161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220"/>
      <c r="L527" s="155"/>
      <c r="M527" s="167"/>
      <c r="N527" s="167"/>
      <c r="O527" s="155"/>
      <c r="P527" s="155"/>
      <c r="Q527" s="155"/>
      <c r="R527" s="155"/>
      <c r="S527" s="155"/>
      <c r="T527" s="155"/>
      <c r="U527" s="155"/>
      <c r="V527" s="161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220"/>
      <c r="L528" s="155"/>
      <c r="M528" s="167"/>
      <c r="N528" s="167"/>
      <c r="O528" s="155"/>
      <c r="P528" s="155"/>
      <c r="Q528" s="155"/>
      <c r="R528" s="155"/>
      <c r="S528" s="155"/>
      <c r="T528" s="155"/>
      <c r="U528" s="155"/>
      <c r="V528" s="161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220"/>
      <c r="L529" s="155"/>
      <c r="M529" s="167"/>
      <c r="N529" s="167"/>
      <c r="O529" s="155"/>
      <c r="P529" s="155"/>
      <c r="Q529" s="155"/>
      <c r="R529" s="155"/>
      <c r="S529" s="155"/>
      <c r="T529" s="155"/>
      <c r="U529" s="155"/>
      <c r="V529" s="161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220"/>
      <c r="L530" s="155"/>
      <c r="M530" s="167"/>
      <c r="N530" s="167"/>
      <c r="O530" s="155"/>
      <c r="P530" s="155"/>
      <c r="Q530" s="155"/>
      <c r="R530" s="155"/>
      <c r="S530" s="155"/>
      <c r="T530" s="155"/>
      <c r="U530" s="155"/>
      <c r="V530" s="161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220"/>
      <c r="L531" s="155"/>
      <c r="M531" s="167"/>
      <c r="N531" s="167"/>
      <c r="O531" s="155"/>
      <c r="P531" s="155"/>
      <c r="Q531" s="155"/>
      <c r="R531" s="155"/>
      <c r="S531" s="155"/>
      <c r="T531" s="155"/>
      <c r="U531" s="155"/>
      <c r="V531" s="161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220"/>
      <c r="L532" s="155"/>
      <c r="M532" s="167"/>
      <c r="N532" s="167"/>
      <c r="O532" s="155"/>
      <c r="P532" s="155"/>
      <c r="Q532" s="155"/>
      <c r="R532" s="155"/>
      <c r="S532" s="155"/>
      <c r="T532" s="155"/>
      <c r="U532" s="155"/>
      <c r="V532" s="161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220"/>
      <c r="L533" s="155"/>
      <c r="M533" s="167"/>
      <c r="N533" s="167"/>
      <c r="O533" s="155"/>
      <c r="P533" s="155"/>
      <c r="Q533" s="155"/>
      <c r="R533" s="155"/>
      <c r="S533" s="155"/>
      <c r="T533" s="155"/>
      <c r="U533" s="155"/>
      <c r="V533" s="161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220"/>
      <c r="L534" s="155"/>
      <c r="M534" s="167"/>
      <c r="N534" s="167"/>
      <c r="O534" s="155"/>
      <c r="P534" s="155"/>
      <c r="Q534" s="155"/>
      <c r="R534" s="155"/>
      <c r="S534" s="155"/>
      <c r="T534" s="155"/>
      <c r="U534" s="155"/>
      <c r="V534" s="161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220"/>
      <c r="L535" s="155"/>
      <c r="M535" s="167"/>
      <c r="N535" s="167"/>
      <c r="O535" s="155"/>
      <c r="P535" s="155"/>
      <c r="Q535" s="155"/>
      <c r="R535" s="155"/>
      <c r="S535" s="155"/>
      <c r="T535" s="155"/>
      <c r="U535" s="155"/>
      <c r="V535" s="161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220"/>
      <c r="L536" s="155"/>
      <c r="M536" s="167"/>
      <c r="N536" s="167"/>
      <c r="O536" s="155"/>
      <c r="P536" s="155"/>
      <c r="Q536" s="155"/>
      <c r="R536" s="155"/>
      <c r="S536" s="155"/>
      <c r="T536" s="155"/>
      <c r="U536" s="155"/>
      <c r="V536" s="161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220"/>
      <c r="L537" s="155"/>
      <c r="M537" s="167"/>
      <c r="N537" s="167"/>
      <c r="O537" s="155"/>
      <c r="P537" s="155"/>
      <c r="Q537" s="155"/>
      <c r="R537" s="155"/>
      <c r="S537" s="155"/>
      <c r="T537" s="155"/>
      <c r="U537" s="155"/>
      <c r="V537" s="161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220"/>
      <c r="L538" s="155"/>
      <c r="M538" s="167"/>
      <c r="N538" s="167"/>
      <c r="O538" s="155"/>
      <c r="P538" s="155"/>
      <c r="Q538" s="155"/>
      <c r="R538" s="155"/>
      <c r="S538" s="155"/>
      <c r="T538" s="155"/>
      <c r="U538" s="155"/>
      <c r="V538" s="161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220"/>
      <c r="L539" s="155"/>
      <c r="M539" s="167"/>
      <c r="N539" s="167"/>
      <c r="O539" s="155"/>
      <c r="P539" s="155"/>
      <c r="Q539" s="155"/>
      <c r="R539" s="155"/>
      <c r="S539" s="155"/>
      <c r="T539" s="155"/>
      <c r="U539" s="155"/>
      <c r="V539" s="161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220"/>
      <c r="L540" s="155"/>
      <c r="M540" s="167"/>
      <c r="N540" s="167"/>
      <c r="O540" s="155"/>
      <c r="P540" s="155"/>
      <c r="Q540" s="155"/>
      <c r="R540" s="155"/>
      <c r="S540" s="155"/>
      <c r="T540" s="155"/>
      <c r="U540" s="155"/>
      <c r="V540" s="161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220"/>
      <c r="L541" s="155"/>
      <c r="M541" s="167"/>
      <c r="N541" s="167"/>
      <c r="O541" s="155"/>
      <c r="P541" s="155"/>
      <c r="Q541" s="155"/>
      <c r="R541" s="155"/>
      <c r="S541" s="155"/>
      <c r="T541" s="155"/>
      <c r="U541" s="155"/>
      <c r="V541" s="161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220"/>
      <c r="L542" s="155"/>
      <c r="M542" s="167"/>
      <c r="N542" s="167"/>
      <c r="O542" s="155"/>
      <c r="P542" s="155"/>
      <c r="Q542" s="155"/>
      <c r="R542" s="155"/>
      <c r="S542" s="155"/>
      <c r="T542" s="155"/>
      <c r="U542" s="155"/>
      <c r="V542" s="161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220"/>
      <c r="L543" s="155"/>
      <c r="M543" s="167"/>
      <c r="N543" s="167"/>
      <c r="O543" s="155"/>
      <c r="P543" s="155"/>
      <c r="Q543" s="155"/>
      <c r="R543" s="155"/>
      <c r="S543" s="155"/>
      <c r="T543" s="155"/>
      <c r="U543" s="155"/>
      <c r="V543" s="161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220"/>
      <c r="L544" s="155"/>
      <c r="M544" s="167"/>
      <c r="N544" s="167"/>
      <c r="O544" s="155"/>
      <c r="P544" s="155"/>
      <c r="Q544" s="155"/>
      <c r="R544" s="155"/>
      <c r="S544" s="155"/>
      <c r="T544" s="155"/>
      <c r="U544" s="155"/>
      <c r="V544" s="161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220"/>
      <c r="L545" s="155"/>
      <c r="M545" s="167"/>
      <c r="N545" s="167"/>
      <c r="O545" s="155"/>
      <c r="P545" s="155"/>
      <c r="Q545" s="155"/>
      <c r="R545" s="155"/>
      <c r="S545" s="155"/>
      <c r="T545" s="155"/>
      <c r="U545" s="155"/>
      <c r="V545" s="161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220"/>
      <c r="L546" s="155"/>
      <c r="M546" s="167"/>
      <c r="N546" s="167"/>
      <c r="O546" s="155"/>
      <c r="P546" s="155"/>
      <c r="Q546" s="155"/>
      <c r="R546" s="155"/>
      <c r="S546" s="155"/>
      <c r="T546" s="155"/>
      <c r="U546" s="155"/>
      <c r="V546" s="161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220"/>
      <c r="L547" s="155"/>
      <c r="M547" s="167"/>
      <c r="N547" s="167"/>
      <c r="O547" s="155"/>
      <c r="P547" s="155"/>
      <c r="Q547" s="155"/>
      <c r="R547" s="155"/>
      <c r="S547" s="155"/>
      <c r="T547" s="155"/>
      <c r="U547" s="155"/>
      <c r="V547" s="161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220"/>
      <c r="L548" s="155"/>
      <c r="M548" s="167"/>
      <c r="N548" s="167"/>
      <c r="O548" s="155"/>
      <c r="P548" s="155"/>
      <c r="Q548" s="155"/>
      <c r="R548" s="155"/>
      <c r="S548" s="155"/>
      <c r="T548" s="155"/>
      <c r="U548" s="155"/>
      <c r="V548" s="161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220"/>
      <c r="L549" s="155"/>
      <c r="M549" s="167"/>
      <c r="N549" s="167"/>
      <c r="O549" s="155"/>
      <c r="P549" s="155"/>
      <c r="Q549" s="155"/>
      <c r="R549" s="155"/>
      <c r="S549" s="155"/>
      <c r="T549" s="155"/>
      <c r="U549" s="155"/>
      <c r="V549" s="161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220"/>
      <c r="L550" s="155"/>
      <c r="M550" s="167"/>
      <c r="N550" s="167"/>
      <c r="O550" s="155"/>
      <c r="P550" s="155"/>
      <c r="Q550" s="155"/>
      <c r="R550" s="155"/>
      <c r="S550" s="155"/>
      <c r="T550" s="155"/>
      <c r="U550" s="155"/>
      <c r="V550" s="161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220"/>
      <c r="L551" s="155"/>
      <c r="M551" s="167"/>
      <c r="N551" s="167"/>
      <c r="O551" s="155"/>
      <c r="P551" s="155"/>
      <c r="Q551" s="155"/>
      <c r="R551" s="155"/>
      <c r="S551" s="155"/>
      <c r="T551" s="155"/>
      <c r="U551" s="155"/>
      <c r="V551" s="161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220"/>
      <c r="L552" s="155"/>
      <c r="M552" s="167"/>
      <c r="N552" s="167"/>
      <c r="O552" s="155"/>
      <c r="P552" s="155"/>
      <c r="Q552" s="155"/>
      <c r="R552" s="155"/>
      <c r="S552" s="155"/>
      <c r="T552" s="155"/>
      <c r="U552" s="155"/>
      <c r="V552" s="161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220"/>
      <c r="L553" s="155"/>
      <c r="M553" s="167"/>
      <c r="N553" s="167"/>
      <c r="O553" s="155"/>
      <c r="P553" s="155"/>
      <c r="Q553" s="155"/>
      <c r="R553" s="155"/>
      <c r="S553" s="155"/>
      <c r="T553" s="155"/>
      <c r="U553" s="155"/>
      <c r="V553" s="161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220"/>
      <c r="L554" s="155"/>
      <c r="M554" s="167"/>
      <c r="N554" s="167"/>
      <c r="O554" s="155"/>
      <c r="P554" s="155"/>
      <c r="Q554" s="155"/>
      <c r="R554" s="155"/>
      <c r="S554" s="155"/>
      <c r="T554" s="155"/>
      <c r="U554" s="155"/>
      <c r="V554" s="161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220"/>
      <c r="L555" s="155"/>
      <c r="M555" s="167"/>
      <c r="N555" s="167"/>
      <c r="O555" s="155"/>
      <c r="P555" s="155"/>
      <c r="Q555" s="155"/>
      <c r="R555" s="155"/>
      <c r="S555" s="155"/>
      <c r="T555" s="155"/>
      <c r="U555" s="155"/>
      <c r="V555" s="161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220"/>
      <c r="L556" s="155"/>
      <c r="M556" s="167"/>
      <c r="N556" s="167"/>
      <c r="O556" s="155"/>
      <c r="P556" s="155"/>
      <c r="Q556" s="155"/>
      <c r="R556" s="155"/>
      <c r="S556" s="155"/>
      <c r="T556" s="155"/>
      <c r="U556" s="155"/>
      <c r="V556" s="161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220"/>
      <c r="L557" s="155"/>
      <c r="M557" s="167"/>
      <c r="N557" s="167"/>
      <c r="O557" s="155"/>
      <c r="P557" s="155"/>
      <c r="Q557" s="155"/>
      <c r="R557" s="155"/>
      <c r="S557" s="155"/>
      <c r="T557" s="155"/>
      <c r="U557" s="155"/>
      <c r="V557" s="161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220"/>
      <c r="L558" s="155"/>
      <c r="M558" s="167"/>
      <c r="N558" s="167"/>
      <c r="O558" s="155"/>
      <c r="P558" s="155"/>
      <c r="Q558" s="155"/>
      <c r="R558" s="155"/>
      <c r="S558" s="155"/>
      <c r="T558" s="155"/>
      <c r="U558" s="155"/>
      <c r="V558" s="161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220"/>
      <c r="L559" s="155"/>
      <c r="M559" s="167"/>
      <c r="N559" s="167"/>
      <c r="O559" s="155"/>
      <c r="P559" s="155"/>
      <c r="Q559" s="155"/>
      <c r="R559" s="155"/>
      <c r="S559" s="155"/>
      <c r="T559" s="155"/>
      <c r="U559" s="155"/>
      <c r="V559" s="161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220"/>
      <c r="L560" s="155"/>
      <c r="M560" s="167"/>
      <c r="N560" s="167"/>
      <c r="O560" s="155"/>
      <c r="P560" s="155"/>
      <c r="Q560" s="155"/>
      <c r="R560" s="155"/>
      <c r="S560" s="155"/>
      <c r="T560" s="155"/>
      <c r="U560" s="155"/>
      <c r="V560" s="161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220"/>
      <c r="L561" s="155"/>
      <c r="M561" s="167"/>
      <c r="N561" s="167"/>
      <c r="O561" s="155"/>
      <c r="P561" s="155"/>
      <c r="Q561" s="155"/>
      <c r="R561" s="155"/>
      <c r="S561" s="155"/>
      <c r="T561" s="155"/>
      <c r="U561" s="155"/>
      <c r="V561" s="161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220"/>
      <c r="L562" s="155"/>
      <c r="M562" s="167"/>
      <c r="N562" s="167"/>
      <c r="O562" s="155"/>
      <c r="P562" s="155"/>
      <c r="Q562" s="155"/>
      <c r="R562" s="155"/>
      <c r="S562" s="155"/>
      <c r="T562" s="155"/>
      <c r="U562" s="155"/>
      <c r="V562" s="161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220"/>
      <c r="L563" s="155"/>
      <c r="M563" s="167"/>
      <c r="N563" s="167"/>
      <c r="O563" s="155"/>
      <c r="P563" s="155"/>
      <c r="Q563" s="155"/>
      <c r="R563" s="155"/>
      <c r="S563" s="155"/>
      <c r="T563" s="155"/>
      <c r="U563" s="155"/>
      <c r="V563" s="161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220"/>
      <c r="L564" s="155"/>
      <c r="M564" s="167"/>
      <c r="N564" s="167"/>
      <c r="O564" s="155"/>
      <c r="P564" s="155"/>
      <c r="Q564" s="155"/>
      <c r="R564" s="155"/>
      <c r="S564" s="155"/>
      <c r="T564" s="155"/>
      <c r="U564" s="155"/>
      <c r="V564" s="161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220"/>
      <c r="L565" s="155"/>
      <c r="M565" s="167"/>
      <c r="N565" s="167"/>
      <c r="O565" s="155"/>
      <c r="P565" s="155"/>
      <c r="Q565" s="155"/>
      <c r="R565" s="155"/>
      <c r="S565" s="155"/>
      <c r="T565" s="155"/>
      <c r="U565" s="155"/>
      <c r="V565" s="161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220"/>
      <c r="L566" s="155"/>
      <c r="M566" s="167"/>
      <c r="N566" s="167"/>
      <c r="O566" s="155"/>
      <c r="P566" s="155"/>
      <c r="Q566" s="155"/>
      <c r="R566" s="155"/>
      <c r="S566" s="155"/>
      <c r="T566" s="155"/>
      <c r="U566" s="155"/>
      <c r="V566" s="161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220"/>
      <c r="L567" s="155"/>
      <c r="M567" s="167"/>
      <c r="N567" s="167"/>
      <c r="O567" s="155"/>
      <c r="P567" s="155"/>
      <c r="Q567" s="155"/>
      <c r="R567" s="155"/>
      <c r="S567" s="155"/>
      <c r="T567" s="155"/>
      <c r="U567" s="155"/>
      <c r="V567" s="161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220"/>
      <c r="L568" s="155"/>
      <c r="M568" s="167"/>
      <c r="N568" s="167"/>
      <c r="O568" s="155"/>
      <c r="P568" s="155"/>
      <c r="Q568" s="155"/>
      <c r="R568" s="155"/>
      <c r="S568" s="155"/>
      <c r="T568" s="155"/>
      <c r="U568" s="155"/>
      <c r="V568" s="161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220"/>
      <c r="L569" s="155"/>
      <c r="M569" s="167"/>
      <c r="N569" s="167"/>
      <c r="O569" s="155"/>
      <c r="P569" s="155"/>
      <c r="Q569" s="155"/>
      <c r="R569" s="155"/>
      <c r="S569" s="155"/>
      <c r="T569" s="155"/>
      <c r="U569" s="155"/>
      <c r="V569" s="161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220"/>
      <c r="L570" s="155"/>
      <c r="M570" s="167"/>
      <c r="N570" s="167"/>
      <c r="O570" s="155"/>
      <c r="P570" s="155"/>
      <c r="Q570" s="155"/>
      <c r="R570" s="155"/>
      <c r="S570" s="155"/>
      <c r="T570" s="155"/>
      <c r="U570" s="155"/>
      <c r="V570" s="161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220"/>
      <c r="L571" s="155"/>
      <c r="M571" s="167"/>
      <c r="N571" s="167"/>
      <c r="O571" s="155"/>
      <c r="P571" s="155"/>
      <c r="Q571" s="155"/>
      <c r="R571" s="155"/>
      <c r="S571" s="155"/>
      <c r="T571" s="155"/>
      <c r="U571" s="155"/>
      <c r="V571" s="161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220"/>
      <c r="L572" s="155"/>
      <c r="M572" s="167"/>
      <c r="N572" s="167"/>
      <c r="O572" s="155"/>
      <c r="P572" s="155"/>
      <c r="Q572" s="155"/>
      <c r="R572" s="155"/>
      <c r="S572" s="155"/>
      <c r="T572" s="155"/>
      <c r="U572" s="155"/>
      <c r="V572" s="161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220"/>
      <c r="L573" s="155"/>
      <c r="M573" s="167"/>
      <c r="N573" s="167"/>
      <c r="O573" s="155"/>
      <c r="P573" s="155"/>
      <c r="Q573" s="155"/>
      <c r="R573" s="155"/>
      <c r="S573" s="155"/>
      <c r="T573" s="155"/>
      <c r="U573" s="155"/>
      <c r="V573" s="161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220"/>
      <c r="L574" s="155"/>
      <c r="M574" s="167"/>
      <c r="N574" s="167"/>
      <c r="O574" s="155"/>
      <c r="P574" s="155"/>
      <c r="Q574" s="155"/>
      <c r="R574" s="155"/>
      <c r="S574" s="155"/>
      <c r="T574" s="155"/>
      <c r="U574" s="155"/>
      <c r="V574" s="161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220"/>
      <c r="L575" s="155"/>
      <c r="M575" s="167"/>
      <c r="N575" s="167"/>
      <c r="O575" s="155"/>
      <c r="P575" s="155"/>
      <c r="Q575" s="155"/>
      <c r="R575" s="155"/>
      <c r="S575" s="155"/>
      <c r="T575" s="155"/>
      <c r="U575" s="155"/>
      <c r="V575" s="161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220"/>
      <c r="L576" s="155"/>
      <c r="M576" s="167"/>
      <c r="N576" s="167"/>
      <c r="O576" s="155"/>
      <c r="P576" s="155"/>
      <c r="Q576" s="155"/>
      <c r="R576" s="155"/>
      <c r="S576" s="155"/>
      <c r="T576" s="155"/>
      <c r="U576" s="155"/>
      <c r="V576" s="161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220"/>
      <c r="L577" s="155"/>
      <c r="M577" s="167"/>
      <c r="N577" s="167"/>
      <c r="O577" s="155"/>
      <c r="P577" s="155"/>
      <c r="Q577" s="155"/>
      <c r="R577" s="155"/>
      <c r="S577" s="155"/>
      <c r="T577" s="155"/>
      <c r="U577" s="155"/>
      <c r="V577" s="161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220"/>
      <c r="L578" s="155"/>
      <c r="M578" s="167"/>
      <c r="N578" s="167"/>
      <c r="O578" s="155"/>
      <c r="P578" s="155"/>
      <c r="Q578" s="155"/>
      <c r="R578" s="155"/>
      <c r="S578" s="155"/>
      <c r="T578" s="155"/>
      <c r="U578" s="155"/>
      <c r="V578" s="161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220"/>
      <c r="L579" s="155"/>
      <c r="M579" s="167"/>
      <c r="N579" s="167"/>
      <c r="O579" s="155"/>
      <c r="P579" s="155"/>
      <c r="Q579" s="155"/>
      <c r="R579" s="155"/>
      <c r="S579" s="155"/>
      <c r="T579" s="155"/>
      <c r="U579" s="155"/>
      <c r="V579" s="161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220"/>
      <c r="L580" s="155"/>
      <c r="M580" s="167"/>
      <c r="N580" s="167"/>
      <c r="O580" s="155"/>
      <c r="P580" s="155"/>
      <c r="Q580" s="155"/>
      <c r="R580" s="155"/>
      <c r="S580" s="155"/>
      <c r="T580" s="155"/>
      <c r="U580" s="155"/>
      <c r="V580" s="161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220"/>
      <c r="L581" s="155"/>
      <c r="M581" s="167"/>
      <c r="N581" s="167"/>
      <c r="O581" s="155"/>
      <c r="P581" s="155"/>
      <c r="Q581" s="155"/>
      <c r="R581" s="155"/>
      <c r="S581" s="155"/>
      <c r="T581" s="155"/>
      <c r="U581" s="155"/>
      <c r="V581" s="161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220"/>
      <c r="L582" s="155"/>
      <c r="M582" s="167"/>
      <c r="N582" s="167"/>
      <c r="O582" s="155"/>
      <c r="P582" s="155"/>
      <c r="Q582" s="155"/>
      <c r="R582" s="155"/>
      <c r="S582" s="155"/>
      <c r="T582" s="155"/>
      <c r="U582" s="155"/>
      <c r="V582" s="161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220"/>
      <c r="L583" s="155"/>
      <c r="M583" s="167"/>
      <c r="N583" s="167"/>
      <c r="O583" s="155"/>
      <c r="P583" s="155"/>
      <c r="Q583" s="155"/>
      <c r="R583" s="155"/>
      <c r="S583" s="155"/>
      <c r="T583" s="155"/>
      <c r="U583" s="155"/>
      <c r="V583" s="161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220"/>
      <c r="L584" s="155"/>
      <c r="M584" s="167"/>
      <c r="N584" s="167"/>
      <c r="O584" s="155"/>
      <c r="P584" s="155"/>
      <c r="Q584" s="155"/>
      <c r="R584" s="155"/>
      <c r="S584" s="155"/>
      <c r="T584" s="155"/>
      <c r="U584" s="155"/>
      <c r="V584" s="161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220"/>
      <c r="L585" s="155"/>
      <c r="M585" s="167"/>
      <c r="N585" s="167"/>
      <c r="O585" s="155"/>
      <c r="P585" s="155"/>
      <c r="Q585" s="155"/>
      <c r="R585" s="155"/>
      <c r="S585" s="155"/>
      <c r="T585" s="155"/>
      <c r="U585" s="155"/>
      <c r="V585" s="161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220"/>
      <c r="L586" s="155"/>
      <c r="M586" s="167"/>
      <c r="N586" s="167"/>
      <c r="O586" s="155"/>
      <c r="P586" s="155"/>
      <c r="Q586" s="155"/>
      <c r="R586" s="155"/>
      <c r="S586" s="155"/>
      <c r="T586" s="155"/>
      <c r="U586" s="155"/>
      <c r="V586" s="161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220"/>
      <c r="L587" s="155"/>
      <c r="M587" s="167"/>
      <c r="N587" s="167"/>
      <c r="O587" s="155"/>
      <c r="P587" s="155"/>
      <c r="Q587" s="155"/>
      <c r="R587" s="155"/>
      <c r="S587" s="155"/>
      <c r="T587" s="155"/>
      <c r="U587" s="155"/>
      <c r="V587" s="161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220"/>
      <c r="L588" s="155"/>
      <c r="M588" s="167"/>
      <c r="N588" s="167"/>
      <c r="O588" s="155"/>
      <c r="P588" s="155"/>
      <c r="Q588" s="155"/>
      <c r="R588" s="155"/>
      <c r="S588" s="155"/>
      <c r="T588" s="155"/>
      <c r="U588" s="155"/>
      <c r="V588" s="161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220"/>
      <c r="L589" s="155"/>
      <c r="M589" s="167"/>
      <c r="N589" s="167"/>
      <c r="O589" s="155"/>
      <c r="P589" s="155"/>
      <c r="Q589" s="155"/>
      <c r="R589" s="155"/>
      <c r="S589" s="155"/>
      <c r="T589" s="155"/>
      <c r="U589" s="155"/>
      <c r="V589" s="161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220"/>
      <c r="L590" s="155"/>
      <c r="M590" s="167"/>
      <c r="N590" s="167"/>
      <c r="O590" s="155"/>
      <c r="P590" s="155"/>
      <c r="Q590" s="155"/>
      <c r="R590" s="155"/>
      <c r="S590" s="155"/>
      <c r="T590" s="155"/>
      <c r="U590" s="155"/>
      <c r="V590" s="161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220"/>
      <c r="L591" s="155"/>
      <c r="M591" s="167"/>
      <c r="N591" s="167"/>
      <c r="O591" s="155"/>
      <c r="P591" s="155"/>
      <c r="Q591" s="155"/>
      <c r="R591" s="155"/>
      <c r="S591" s="155"/>
      <c r="T591" s="155"/>
      <c r="U591" s="155"/>
      <c r="V591" s="161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220"/>
      <c r="L592" s="155"/>
      <c r="M592" s="167"/>
      <c r="N592" s="167"/>
      <c r="O592" s="155"/>
      <c r="P592" s="155"/>
      <c r="Q592" s="155"/>
      <c r="R592" s="155"/>
      <c r="S592" s="155"/>
      <c r="T592" s="155"/>
      <c r="U592" s="155"/>
      <c r="V592" s="161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220"/>
      <c r="L593" s="155"/>
      <c r="M593" s="167"/>
      <c r="N593" s="167"/>
      <c r="O593" s="155"/>
      <c r="P593" s="155"/>
      <c r="Q593" s="155"/>
      <c r="R593" s="155"/>
      <c r="S593" s="155"/>
      <c r="T593" s="155"/>
      <c r="U593" s="155"/>
      <c r="V593" s="161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220"/>
      <c r="L594" s="155"/>
      <c r="M594" s="167"/>
      <c r="N594" s="167"/>
      <c r="O594" s="155"/>
      <c r="P594" s="155"/>
      <c r="Q594" s="155"/>
      <c r="R594" s="155"/>
      <c r="S594" s="155"/>
      <c r="T594" s="155"/>
      <c r="U594" s="155"/>
      <c r="V594" s="161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220"/>
      <c r="L595" s="155"/>
      <c r="M595" s="167"/>
      <c r="N595" s="167"/>
      <c r="O595" s="155"/>
      <c r="P595" s="155"/>
      <c r="Q595" s="155"/>
      <c r="R595" s="155"/>
      <c r="S595" s="155"/>
      <c r="T595" s="155"/>
      <c r="U595" s="155"/>
      <c r="V595" s="161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220"/>
      <c r="L596" s="155"/>
      <c r="M596" s="167"/>
      <c r="N596" s="167"/>
      <c r="O596" s="155"/>
      <c r="P596" s="155"/>
      <c r="Q596" s="155"/>
      <c r="R596" s="155"/>
      <c r="S596" s="155"/>
      <c r="T596" s="155"/>
      <c r="U596" s="155"/>
      <c r="V596" s="161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220"/>
      <c r="L597" s="155"/>
      <c r="M597" s="167"/>
      <c r="N597" s="167"/>
      <c r="O597" s="155"/>
      <c r="P597" s="155"/>
      <c r="Q597" s="155"/>
      <c r="R597" s="155"/>
      <c r="S597" s="155"/>
      <c r="T597" s="155"/>
      <c r="U597" s="155"/>
      <c r="V597" s="161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220"/>
      <c r="L598" s="155"/>
      <c r="M598" s="167"/>
      <c r="N598" s="167"/>
      <c r="O598" s="155"/>
      <c r="P598" s="155"/>
      <c r="Q598" s="155"/>
      <c r="R598" s="155"/>
      <c r="S598" s="155"/>
      <c r="T598" s="155"/>
      <c r="U598" s="155"/>
      <c r="V598" s="161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220"/>
      <c r="L599" s="155"/>
      <c r="M599" s="167"/>
      <c r="N599" s="167"/>
      <c r="O599" s="155"/>
      <c r="P599" s="155"/>
      <c r="Q599" s="155"/>
      <c r="R599" s="155"/>
      <c r="S599" s="155"/>
      <c r="T599" s="155"/>
      <c r="U599" s="155"/>
      <c r="V599" s="161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220"/>
      <c r="L600" s="155"/>
      <c r="M600" s="167"/>
      <c r="N600" s="167"/>
      <c r="O600" s="155"/>
      <c r="P600" s="155"/>
      <c r="Q600" s="155"/>
      <c r="R600" s="155"/>
      <c r="S600" s="155"/>
      <c r="T600" s="155"/>
      <c r="U600" s="155"/>
      <c r="V600" s="161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220"/>
      <c r="L601" s="155"/>
      <c r="M601" s="167"/>
      <c r="N601" s="167"/>
      <c r="O601" s="155"/>
      <c r="P601" s="155"/>
      <c r="Q601" s="155"/>
      <c r="R601" s="155"/>
      <c r="S601" s="155"/>
      <c r="T601" s="155"/>
      <c r="U601" s="155"/>
      <c r="V601" s="161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220"/>
      <c r="L602" s="155"/>
      <c r="M602" s="167"/>
      <c r="N602" s="167"/>
      <c r="O602" s="155"/>
      <c r="P602" s="155"/>
      <c r="Q602" s="155"/>
      <c r="R602" s="155"/>
      <c r="S602" s="155"/>
      <c r="T602" s="155"/>
      <c r="U602" s="155"/>
      <c r="V602" s="161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220"/>
      <c r="L603" s="155"/>
      <c r="M603" s="167"/>
      <c r="N603" s="167"/>
      <c r="O603" s="155"/>
      <c r="P603" s="155"/>
      <c r="Q603" s="155"/>
      <c r="R603" s="155"/>
      <c r="S603" s="155"/>
      <c r="T603" s="155"/>
      <c r="U603" s="155"/>
      <c r="V603" s="161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220"/>
      <c r="L604" s="155"/>
      <c r="M604" s="167"/>
      <c r="N604" s="167"/>
      <c r="O604" s="155"/>
      <c r="P604" s="155"/>
      <c r="Q604" s="155"/>
      <c r="R604" s="155"/>
      <c r="S604" s="155"/>
      <c r="T604" s="155"/>
      <c r="U604" s="155"/>
      <c r="V604" s="161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220"/>
      <c r="L605" s="155"/>
      <c r="M605" s="167"/>
      <c r="N605" s="167"/>
      <c r="O605" s="155"/>
      <c r="P605" s="155"/>
      <c r="Q605" s="155"/>
      <c r="R605" s="155"/>
      <c r="S605" s="155"/>
      <c r="T605" s="155"/>
      <c r="U605" s="155"/>
      <c r="V605" s="161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220"/>
      <c r="L606" s="155"/>
      <c r="M606" s="167"/>
      <c r="N606" s="167"/>
      <c r="O606" s="155"/>
      <c r="P606" s="155"/>
      <c r="Q606" s="155"/>
      <c r="R606" s="155"/>
      <c r="S606" s="155"/>
      <c r="T606" s="155"/>
      <c r="U606" s="155"/>
      <c r="V606" s="161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220"/>
      <c r="L607" s="155"/>
      <c r="M607" s="167"/>
      <c r="N607" s="167"/>
      <c r="O607" s="155"/>
      <c r="P607" s="155"/>
      <c r="Q607" s="155"/>
      <c r="R607" s="155"/>
      <c r="S607" s="155"/>
      <c r="T607" s="155"/>
      <c r="U607" s="155"/>
      <c r="V607" s="161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220"/>
      <c r="L608" s="155"/>
      <c r="M608" s="167"/>
      <c r="N608" s="167"/>
      <c r="O608" s="155"/>
      <c r="P608" s="155"/>
      <c r="Q608" s="155"/>
      <c r="R608" s="155"/>
      <c r="S608" s="155"/>
      <c r="T608" s="155"/>
      <c r="U608" s="155"/>
      <c r="V608" s="161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220"/>
      <c r="L609" s="155"/>
      <c r="M609" s="167"/>
      <c r="N609" s="167"/>
      <c r="O609" s="155"/>
      <c r="P609" s="155"/>
      <c r="Q609" s="155"/>
      <c r="R609" s="155"/>
      <c r="S609" s="155"/>
      <c r="T609" s="155"/>
      <c r="U609" s="155"/>
      <c r="V609" s="161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220"/>
      <c r="L610" s="155"/>
      <c r="M610" s="167"/>
      <c r="N610" s="167"/>
      <c r="O610" s="155"/>
      <c r="P610" s="155"/>
      <c r="Q610" s="155"/>
      <c r="R610" s="155"/>
      <c r="S610" s="155"/>
      <c r="T610" s="155"/>
      <c r="U610" s="155"/>
      <c r="V610" s="161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220"/>
      <c r="L611" s="155"/>
      <c r="M611" s="167"/>
      <c r="N611" s="167"/>
      <c r="O611" s="155"/>
      <c r="P611" s="155"/>
      <c r="Q611" s="155"/>
      <c r="R611" s="155"/>
      <c r="S611" s="155"/>
      <c r="T611" s="155"/>
      <c r="U611" s="155"/>
      <c r="V611" s="161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220"/>
      <c r="L612" s="155"/>
      <c r="M612" s="167"/>
      <c r="N612" s="167"/>
      <c r="O612" s="155"/>
      <c r="P612" s="155"/>
      <c r="Q612" s="155"/>
      <c r="R612" s="155"/>
      <c r="S612" s="155"/>
      <c r="T612" s="155"/>
      <c r="U612" s="155"/>
      <c r="V612" s="161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220"/>
      <c r="L613" s="155"/>
      <c r="M613" s="167"/>
      <c r="N613" s="167"/>
      <c r="O613" s="155"/>
      <c r="P613" s="155"/>
      <c r="Q613" s="155"/>
      <c r="R613" s="155"/>
      <c r="S613" s="155"/>
      <c r="T613" s="155"/>
      <c r="U613" s="155"/>
      <c r="V613" s="161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220"/>
      <c r="L614" s="155"/>
      <c r="M614" s="167"/>
      <c r="N614" s="167"/>
      <c r="O614" s="155"/>
      <c r="P614" s="155"/>
      <c r="Q614" s="155"/>
      <c r="R614" s="155"/>
      <c r="S614" s="155"/>
      <c r="T614" s="155"/>
      <c r="U614" s="155"/>
      <c r="V614" s="161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220"/>
      <c r="L615" s="155"/>
      <c r="M615" s="167"/>
      <c r="N615" s="167"/>
      <c r="O615" s="155"/>
      <c r="P615" s="155"/>
      <c r="Q615" s="155"/>
      <c r="R615" s="155"/>
      <c r="S615" s="155"/>
      <c r="T615" s="155"/>
      <c r="U615" s="155"/>
      <c r="V615" s="161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220"/>
      <c r="L616" s="155"/>
      <c r="M616" s="167"/>
      <c r="N616" s="167"/>
      <c r="O616" s="155"/>
      <c r="P616" s="155"/>
      <c r="Q616" s="155"/>
      <c r="R616" s="155"/>
      <c r="S616" s="155"/>
      <c r="T616" s="155"/>
      <c r="U616" s="155"/>
      <c r="V616" s="161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220"/>
      <c r="L617" s="155"/>
      <c r="M617" s="167"/>
      <c r="N617" s="167"/>
      <c r="O617" s="155"/>
      <c r="P617" s="155"/>
      <c r="Q617" s="155"/>
      <c r="R617" s="155"/>
      <c r="S617" s="155"/>
      <c r="T617" s="155"/>
      <c r="U617" s="155"/>
      <c r="V617" s="161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220"/>
      <c r="L618" s="155"/>
      <c r="M618" s="167"/>
      <c r="N618" s="167"/>
      <c r="O618" s="155"/>
      <c r="P618" s="155"/>
      <c r="Q618" s="155"/>
      <c r="R618" s="155"/>
      <c r="S618" s="155"/>
      <c r="T618" s="155"/>
      <c r="U618" s="155"/>
      <c r="V618" s="161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220"/>
      <c r="L619" s="155"/>
      <c r="M619" s="167"/>
      <c r="N619" s="167"/>
      <c r="O619" s="155"/>
      <c r="P619" s="155"/>
      <c r="Q619" s="155"/>
      <c r="R619" s="155"/>
      <c r="S619" s="155"/>
      <c r="T619" s="155"/>
      <c r="U619" s="155"/>
      <c r="V619" s="161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220"/>
      <c r="L620" s="155"/>
      <c r="M620" s="167"/>
      <c r="N620" s="167"/>
      <c r="O620" s="155"/>
      <c r="P620" s="155"/>
      <c r="Q620" s="155"/>
      <c r="R620" s="155"/>
      <c r="S620" s="155"/>
      <c r="T620" s="155"/>
      <c r="U620" s="155"/>
      <c r="V620" s="161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220"/>
      <c r="L621" s="155"/>
      <c r="M621" s="167"/>
      <c r="N621" s="167"/>
      <c r="O621" s="155"/>
      <c r="P621" s="155"/>
      <c r="Q621" s="155"/>
      <c r="R621" s="155"/>
      <c r="S621" s="155"/>
      <c r="T621" s="155"/>
      <c r="U621" s="155"/>
      <c r="V621" s="161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220"/>
      <c r="L622" s="155"/>
      <c r="M622" s="167"/>
      <c r="N622" s="167"/>
      <c r="O622" s="155"/>
      <c r="P622" s="155"/>
      <c r="Q622" s="155"/>
      <c r="R622" s="155"/>
      <c r="S622" s="155"/>
      <c r="T622" s="155"/>
      <c r="U622" s="155"/>
      <c r="V622" s="161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220"/>
      <c r="L623" s="155"/>
      <c r="M623" s="167"/>
      <c r="N623" s="167"/>
      <c r="O623" s="155"/>
      <c r="P623" s="155"/>
      <c r="Q623" s="155"/>
      <c r="R623" s="155"/>
      <c r="S623" s="155"/>
      <c r="T623" s="155"/>
      <c r="U623" s="155"/>
      <c r="V623" s="161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220"/>
      <c r="L624" s="155"/>
      <c r="M624" s="167"/>
      <c r="N624" s="167"/>
      <c r="O624" s="155"/>
      <c r="P624" s="155"/>
      <c r="Q624" s="155"/>
      <c r="R624" s="155"/>
      <c r="S624" s="155"/>
      <c r="T624" s="155"/>
      <c r="U624" s="155"/>
      <c r="V624" s="161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220"/>
      <c r="L625" s="155"/>
      <c r="M625" s="167"/>
      <c r="N625" s="167"/>
      <c r="O625" s="155"/>
      <c r="P625" s="155"/>
      <c r="Q625" s="155"/>
      <c r="R625" s="155"/>
      <c r="S625" s="155"/>
      <c r="T625" s="155"/>
      <c r="U625" s="155"/>
      <c r="V625" s="161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220"/>
      <c r="L626" s="155"/>
      <c r="M626" s="167"/>
      <c r="N626" s="167"/>
      <c r="O626" s="155"/>
      <c r="P626" s="155"/>
      <c r="Q626" s="155"/>
      <c r="R626" s="155"/>
      <c r="S626" s="155"/>
      <c r="T626" s="155"/>
      <c r="U626" s="155"/>
      <c r="V626" s="161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220"/>
      <c r="L627" s="155"/>
      <c r="M627" s="167"/>
      <c r="N627" s="167"/>
      <c r="O627" s="155"/>
      <c r="P627" s="155"/>
      <c r="Q627" s="155"/>
      <c r="R627" s="155"/>
      <c r="S627" s="155"/>
      <c r="T627" s="155"/>
      <c r="U627" s="155"/>
      <c r="V627" s="161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220"/>
      <c r="L628" s="155"/>
      <c r="M628" s="167"/>
      <c r="N628" s="167"/>
      <c r="O628" s="155"/>
      <c r="P628" s="155"/>
      <c r="Q628" s="155"/>
      <c r="R628" s="155"/>
      <c r="S628" s="155"/>
      <c r="T628" s="155"/>
      <c r="U628" s="155"/>
      <c r="V628" s="161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220"/>
      <c r="L629" s="155"/>
      <c r="M629" s="167"/>
      <c r="N629" s="167"/>
      <c r="O629" s="155"/>
      <c r="P629" s="155"/>
      <c r="Q629" s="155"/>
      <c r="R629" s="155"/>
      <c r="S629" s="155"/>
      <c r="T629" s="155"/>
      <c r="U629" s="155"/>
      <c r="V629" s="161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220"/>
      <c r="L630" s="155"/>
      <c r="M630" s="167"/>
      <c r="N630" s="167"/>
      <c r="O630" s="155"/>
      <c r="P630" s="155"/>
      <c r="Q630" s="155"/>
      <c r="R630" s="155"/>
      <c r="S630" s="155"/>
      <c r="T630" s="155"/>
      <c r="U630" s="155"/>
      <c r="V630" s="161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220"/>
      <c r="L631" s="155"/>
      <c r="M631" s="167"/>
      <c r="N631" s="167"/>
      <c r="O631" s="155"/>
      <c r="P631" s="155"/>
      <c r="Q631" s="155"/>
      <c r="R631" s="155"/>
      <c r="S631" s="155"/>
      <c r="T631" s="155"/>
      <c r="U631" s="155"/>
      <c r="V631" s="161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220"/>
      <c r="L632" s="155"/>
      <c r="M632" s="167"/>
      <c r="N632" s="167"/>
      <c r="O632" s="155"/>
      <c r="P632" s="155"/>
      <c r="Q632" s="155"/>
      <c r="R632" s="155"/>
      <c r="S632" s="155"/>
      <c r="T632" s="155"/>
      <c r="U632" s="155"/>
      <c r="V632" s="161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220"/>
      <c r="L633" s="155"/>
      <c r="M633" s="167"/>
      <c r="N633" s="167"/>
      <c r="O633" s="155"/>
      <c r="P633" s="155"/>
      <c r="Q633" s="155"/>
      <c r="R633" s="155"/>
      <c r="S633" s="155"/>
      <c r="T633" s="155"/>
      <c r="U633" s="155"/>
      <c r="V633" s="161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220"/>
      <c r="L634" s="155"/>
      <c r="M634" s="167"/>
      <c r="N634" s="167"/>
      <c r="O634" s="155"/>
      <c r="P634" s="155"/>
      <c r="Q634" s="155"/>
      <c r="R634" s="155"/>
      <c r="S634" s="155"/>
      <c r="T634" s="155"/>
      <c r="U634" s="155"/>
      <c r="V634" s="161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220"/>
      <c r="L635" s="155"/>
      <c r="M635" s="167"/>
      <c r="N635" s="167"/>
      <c r="O635" s="155"/>
      <c r="P635" s="155"/>
      <c r="Q635" s="155"/>
      <c r="R635" s="155"/>
      <c r="S635" s="155"/>
      <c r="T635" s="155"/>
      <c r="U635" s="155"/>
      <c r="V635" s="161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220"/>
      <c r="L636" s="155"/>
      <c r="M636" s="167"/>
      <c r="N636" s="167"/>
      <c r="O636" s="155"/>
      <c r="P636" s="155"/>
      <c r="Q636" s="155"/>
      <c r="R636" s="155"/>
      <c r="S636" s="155"/>
      <c r="T636" s="155"/>
      <c r="U636" s="155"/>
      <c r="V636" s="161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220"/>
      <c r="L637" s="155"/>
      <c r="M637" s="167"/>
      <c r="N637" s="167"/>
      <c r="O637" s="155"/>
      <c r="P637" s="155"/>
      <c r="Q637" s="155"/>
      <c r="R637" s="155"/>
      <c r="S637" s="155"/>
      <c r="T637" s="155"/>
      <c r="U637" s="155"/>
      <c r="V637" s="161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220"/>
      <c r="L638" s="155"/>
      <c r="M638" s="167"/>
      <c r="N638" s="167"/>
      <c r="O638" s="155"/>
      <c r="P638" s="155"/>
      <c r="Q638" s="155"/>
      <c r="R638" s="155"/>
      <c r="S638" s="155"/>
      <c r="T638" s="155"/>
      <c r="U638" s="155"/>
      <c r="V638" s="161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220"/>
      <c r="L639" s="155"/>
      <c r="M639" s="167"/>
      <c r="N639" s="167"/>
      <c r="O639" s="155"/>
      <c r="P639" s="155"/>
      <c r="Q639" s="155"/>
      <c r="R639" s="155"/>
      <c r="S639" s="155"/>
      <c r="T639" s="155"/>
      <c r="U639" s="155"/>
      <c r="V639" s="161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220"/>
      <c r="L640" s="155"/>
      <c r="M640" s="167"/>
      <c r="N640" s="167"/>
      <c r="O640" s="155"/>
      <c r="P640" s="155"/>
      <c r="Q640" s="155"/>
      <c r="R640" s="155"/>
      <c r="S640" s="155"/>
      <c r="T640" s="155"/>
      <c r="U640" s="155"/>
      <c r="V640" s="161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220"/>
      <c r="L641" s="155"/>
      <c r="M641" s="167"/>
      <c r="N641" s="167"/>
      <c r="O641" s="155"/>
      <c r="P641" s="155"/>
      <c r="Q641" s="155"/>
      <c r="R641" s="155"/>
      <c r="S641" s="155"/>
      <c r="T641" s="155"/>
      <c r="U641" s="155"/>
      <c r="V641" s="161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220"/>
      <c r="L642" s="155"/>
      <c r="M642" s="167"/>
      <c r="N642" s="167"/>
      <c r="O642" s="155"/>
      <c r="P642" s="155"/>
      <c r="Q642" s="155"/>
      <c r="R642" s="155"/>
      <c r="S642" s="155"/>
      <c r="T642" s="155"/>
      <c r="U642" s="155"/>
      <c r="V642" s="161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220"/>
      <c r="L643" s="155"/>
      <c r="M643" s="167"/>
      <c r="N643" s="167"/>
      <c r="O643" s="155"/>
      <c r="P643" s="155"/>
      <c r="Q643" s="155"/>
      <c r="R643" s="155"/>
      <c r="S643" s="155"/>
      <c r="T643" s="155"/>
      <c r="U643" s="155"/>
      <c r="V643" s="161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220"/>
      <c r="L644" s="155"/>
      <c r="M644" s="167"/>
      <c r="N644" s="167"/>
      <c r="O644" s="155"/>
      <c r="P644" s="155"/>
      <c r="Q644" s="155"/>
      <c r="R644" s="155"/>
      <c r="S644" s="155"/>
      <c r="T644" s="155"/>
      <c r="U644" s="155"/>
      <c r="V644" s="161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220"/>
      <c r="L645" s="155"/>
      <c r="M645" s="167"/>
      <c r="N645" s="167"/>
      <c r="O645" s="155"/>
      <c r="P645" s="155"/>
      <c r="Q645" s="155"/>
      <c r="R645" s="155"/>
      <c r="S645" s="155"/>
      <c r="T645" s="155"/>
      <c r="U645" s="155"/>
      <c r="V645" s="161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220"/>
      <c r="L646" s="155"/>
      <c r="M646" s="167"/>
      <c r="N646" s="167"/>
      <c r="O646" s="155"/>
      <c r="P646" s="155"/>
      <c r="Q646" s="155"/>
      <c r="R646" s="155"/>
      <c r="S646" s="155"/>
      <c r="T646" s="155"/>
      <c r="U646" s="155"/>
      <c r="V646" s="161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220"/>
      <c r="L647" s="155"/>
      <c r="M647" s="167"/>
      <c r="N647" s="167"/>
      <c r="O647" s="155"/>
      <c r="P647" s="155"/>
      <c r="Q647" s="155"/>
      <c r="R647" s="155"/>
      <c r="S647" s="155"/>
      <c r="T647" s="155"/>
      <c r="U647" s="155"/>
      <c r="V647" s="161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220"/>
      <c r="L648" s="155"/>
      <c r="M648" s="167"/>
      <c r="N648" s="167"/>
      <c r="O648" s="155"/>
      <c r="P648" s="155"/>
      <c r="Q648" s="155"/>
      <c r="R648" s="155"/>
      <c r="S648" s="155"/>
      <c r="T648" s="155"/>
      <c r="U648" s="155"/>
      <c r="V648" s="161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220"/>
      <c r="L649" s="155"/>
      <c r="M649" s="167"/>
      <c r="N649" s="167"/>
      <c r="O649" s="155"/>
      <c r="P649" s="155"/>
      <c r="Q649" s="155"/>
      <c r="R649" s="155"/>
      <c r="S649" s="155"/>
      <c r="T649" s="155"/>
      <c r="U649" s="155"/>
      <c r="V649" s="161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220"/>
      <c r="L650" s="155"/>
      <c r="M650" s="167"/>
      <c r="N650" s="167"/>
      <c r="O650" s="155"/>
      <c r="P650" s="155"/>
      <c r="Q650" s="155"/>
      <c r="R650" s="155"/>
      <c r="S650" s="155"/>
      <c r="T650" s="155"/>
      <c r="U650" s="155"/>
      <c r="V650" s="161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220"/>
      <c r="L651" s="155"/>
      <c r="M651" s="167"/>
      <c r="N651" s="167"/>
      <c r="O651" s="155"/>
      <c r="P651" s="155"/>
      <c r="Q651" s="155"/>
      <c r="R651" s="155"/>
      <c r="S651" s="155"/>
      <c r="T651" s="155"/>
      <c r="U651" s="155"/>
      <c r="V651" s="161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220"/>
      <c r="L652" s="155"/>
      <c r="M652" s="167"/>
      <c r="N652" s="167"/>
      <c r="O652" s="155"/>
      <c r="P652" s="155"/>
      <c r="Q652" s="155"/>
      <c r="R652" s="155"/>
      <c r="S652" s="155"/>
      <c r="T652" s="155"/>
      <c r="U652" s="155"/>
      <c r="V652" s="161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220"/>
      <c r="L653" s="155"/>
      <c r="M653" s="167"/>
      <c r="N653" s="167"/>
      <c r="O653" s="155"/>
      <c r="P653" s="155"/>
      <c r="Q653" s="155"/>
      <c r="R653" s="155"/>
      <c r="S653" s="155"/>
      <c r="T653" s="155"/>
      <c r="U653" s="155"/>
      <c r="V653" s="161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220"/>
      <c r="L654" s="155"/>
      <c r="M654" s="167"/>
      <c r="N654" s="167"/>
      <c r="O654" s="155"/>
      <c r="P654" s="155"/>
      <c r="Q654" s="155"/>
      <c r="R654" s="155"/>
      <c r="S654" s="155"/>
      <c r="T654" s="155"/>
      <c r="U654" s="155"/>
      <c r="V654" s="161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220"/>
      <c r="L655" s="155"/>
      <c r="M655" s="167"/>
      <c r="N655" s="167"/>
      <c r="O655" s="155"/>
      <c r="P655" s="155"/>
      <c r="Q655" s="155"/>
      <c r="R655" s="155"/>
      <c r="S655" s="155"/>
      <c r="T655" s="155"/>
      <c r="U655" s="155"/>
      <c r="V655" s="161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220"/>
      <c r="L656" s="155"/>
      <c r="M656" s="167"/>
      <c r="N656" s="167"/>
      <c r="O656" s="155"/>
      <c r="P656" s="155"/>
      <c r="Q656" s="155"/>
      <c r="R656" s="155"/>
      <c r="S656" s="155"/>
      <c r="T656" s="155"/>
      <c r="U656" s="155"/>
      <c r="V656" s="161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220"/>
      <c r="L657" s="155"/>
      <c r="M657" s="167"/>
      <c r="N657" s="167"/>
      <c r="O657" s="155"/>
      <c r="P657" s="155"/>
      <c r="Q657" s="155"/>
      <c r="R657" s="155"/>
      <c r="S657" s="155"/>
      <c r="T657" s="155"/>
      <c r="U657" s="155"/>
      <c r="V657" s="161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220"/>
      <c r="L658" s="155"/>
      <c r="M658" s="167"/>
      <c r="N658" s="167"/>
      <c r="O658" s="155"/>
      <c r="P658" s="155"/>
      <c r="Q658" s="155"/>
      <c r="R658" s="155"/>
      <c r="S658" s="155"/>
      <c r="T658" s="155"/>
      <c r="U658" s="155"/>
      <c r="V658" s="161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220"/>
      <c r="L659" s="155"/>
      <c r="M659" s="167"/>
      <c r="N659" s="167"/>
      <c r="O659" s="155"/>
      <c r="P659" s="155"/>
      <c r="Q659" s="155"/>
      <c r="R659" s="155"/>
      <c r="S659" s="155"/>
      <c r="T659" s="155"/>
      <c r="U659" s="155"/>
      <c r="V659" s="161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220"/>
      <c r="L660" s="155"/>
      <c r="M660" s="167"/>
      <c r="N660" s="167"/>
      <c r="O660" s="155"/>
      <c r="P660" s="155"/>
      <c r="Q660" s="155"/>
      <c r="R660" s="155"/>
      <c r="S660" s="155"/>
      <c r="T660" s="155"/>
      <c r="U660" s="155"/>
      <c r="V660" s="161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220"/>
      <c r="L661" s="155"/>
      <c r="M661" s="167"/>
      <c r="N661" s="167"/>
      <c r="O661" s="155"/>
      <c r="P661" s="155"/>
      <c r="Q661" s="155"/>
      <c r="R661" s="155"/>
      <c r="S661" s="155"/>
      <c r="T661" s="155"/>
      <c r="U661" s="155"/>
      <c r="V661" s="161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220"/>
      <c r="L662" s="155"/>
      <c r="M662" s="167"/>
      <c r="N662" s="167"/>
      <c r="O662" s="155"/>
      <c r="P662" s="155"/>
      <c r="Q662" s="155"/>
      <c r="R662" s="155"/>
      <c r="S662" s="155"/>
      <c r="T662" s="155"/>
      <c r="U662" s="155"/>
      <c r="V662" s="161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220"/>
      <c r="L663" s="155"/>
      <c r="M663" s="167"/>
      <c r="N663" s="167"/>
      <c r="O663" s="155"/>
      <c r="P663" s="155"/>
      <c r="Q663" s="155"/>
      <c r="R663" s="155"/>
      <c r="S663" s="155"/>
      <c r="T663" s="155"/>
      <c r="U663" s="155"/>
      <c r="V663" s="161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220"/>
      <c r="L664" s="155"/>
      <c r="M664" s="167"/>
      <c r="N664" s="167"/>
      <c r="O664" s="155"/>
      <c r="P664" s="155"/>
      <c r="Q664" s="155"/>
      <c r="R664" s="155"/>
      <c r="S664" s="155"/>
      <c r="T664" s="155"/>
      <c r="U664" s="155"/>
      <c r="V664" s="161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220"/>
      <c r="L665" s="155"/>
      <c r="M665" s="167"/>
      <c r="N665" s="167"/>
      <c r="O665" s="155"/>
      <c r="P665" s="155"/>
      <c r="Q665" s="155"/>
      <c r="R665" s="155"/>
      <c r="S665" s="155"/>
      <c r="T665" s="155"/>
      <c r="U665" s="155"/>
      <c r="V665" s="161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220"/>
      <c r="L666" s="155"/>
      <c r="M666" s="167"/>
      <c r="N666" s="167"/>
      <c r="O666" s="155"/>
      <c r="P666" s="155"/>
      <c r="Q666" s="155"/>
      <c r="R666" s="155"/>
      <c r="S666" s="155"/>
      <c r="T666" s="155"/>
      <c r="U666" s="155"/>
      <c r="V666" s="161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220"/>
      <c r="L667" s="155"/>
      <c r="M667" s="167"/>
      <c r="N667" s="167"/>
      <c r="O667" s="155"/>
      <c r="P667" s="155"/>
      <c r="Q667" s="155"/>
      <c r="R667" s="155"/>
      <c r="S667" s="155"/>
      <c r="T667" s="155"/>
      <c r="U667" s="155"/>
      <c r="V667" s="161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220"/>
      <c r="L668" s="155"/>
      <c r="M668" s="167"/>
      <c r="N668" s="167"/>
      <c r="O668" s="155"/>
      <c r="P668" s="155"/>
      <c r="Q668" s="155"/>
      <c r="R668" s="155"/>
      <c r="S668" s="155"/>
      <c r="T668" s="155"/>
      <c r="U668" s="155"/>
      <c r="V668" s="161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220"/>
      <c r="L669" s="155"/>
      <c r="M669" s="167"/>
      <c r="N669" s="167"/>
      <c r="O669" s="155"/>
      <c r="P669" s="155"/>
      <c r="Q669" s="155"/>
      <c r="R669" s="155"/>
      <c r="S669" s="155"/>
      <c r="T669" s="155"/>
      <c r="U669" s="155"/>
      <c r="V669" s="161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220"/>
      <c r="L670" s="155"/>
      <c r="M670" s="167"/>
      <c r="N670" s="167"/>
      <c r="O670" s="155"/>
      <c r="P670" s="155"/>
      <c r="Q670" s="155"/>
      <c r="R670" s="155"/>
      <c r="S670" s="155"/>
      <c r="T670" s="155"/>
      <c r="U670" s="155"/>
      <c r="V670" s="161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220"/>
      <c r="L671" s="155"/>
      <c r="M671" s="167"/>
      <c r="N671" s="167"/>
      <c r="O671" s="155"/>
      <c r="P671" s="155"/>
      <c r="Q671" s="155"/>
      <c r="R671" s="155"/>
      <c r="S671" s="155"/>
      <c r="T671" s="155"/>
      <c r="U671" s="155"/>
      <c r="V671" s="161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220"/>
      <c r="L672" s="155"/>
      <c r="M672" s="167"/>
      <c r="N672" s="167"/>
      <c r="O672" s="155"/>
      <c r="P672" s="155"/>
      <c r="Q672" s="155"/>
      <c r="R672" s="155"/>
      <c r="S672" s="155"/>
      <c r="T672" s="155"/>
      <c r="U672" s="155"/>
      <c r="V672" s="161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220"/>
      <c r="L673" s="155"/>
      <c r="M673" s="167"/>
      <c r="N673" s="167"/>
      <c r="O673" s="155"/>
      <c r="P673" s="155"/>
      <c r="Q673" s="155"/>
      <c r="R673" s="155"/>
      <c r="S673" s="155"/>
      <c r="T673" s="155"/>
      <c r="U673" s="155"/>
      <c r="V673" s="161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220"/>
      <c r="L674" s="155"/>
      <c r="M674" s="167"/>
      <c r="N674" s="167"/>
      <c r="O674" s="155"/>
      <c r="P674" s="155"/>
      <c r="Q674" s="155"/>
      <c r="R674" s="155"/>
      <c r="S674" s="155"/>
      <c r="T674" s="155"/>
      <c r="U674" s="155"/>
      <c r="V674" s="161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220"/>
      <c r="L675" s="155"/>
      <c r="M675" s="167"/>
      <c r="N675" s="167"/>
      <c r="O675" s="155"/>
      <c r="P675" s="155"/>
      <c r="Q675" s="155"/>
      <c r="R675" s="155"/>
      <c r="S675" s="155"/>
      <c r="T675" s="155"/>
      <c r="U675" s="155"/>
      <c r="V675" s="161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220"/>
      <c r="L676" s="155"/>
      <c r="M676" s="167"/>
      <c r="N676" s="167"/>
      <c r="O676" s="155"/>
      <c r="P676" s="155"/>
      <c r="Q676" s="155"/>
      <c r="R676" s="155"/>
      <c r="S676" s="155"/>
      <c r="T676" s="155"/>
      <c r="U676" s="155"/>
      <c r="V676" s="161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220"/>
      <c r="L677" s="155"/>
      <c r="M677" s="167"/>
      <c r="N677" s="167"/>
      <c r="O677" s="155"/>
      <c r="P677" s="155"/>
      <c r="Q677" s="155"/>
      <c r="R677" s="155"/>
      <c r="S677" s="155"/>
      <c r="T677" s="155"/>
      <c r="U677" s="155"/>
      <c r="V677" s="161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220"/>
      <c r="L678" s="155"/>
      <c r="M678" s="167"/>
      <c r="N678" s="167"/>
      <c r="O678" s="155"/>
      <c r="P678" s="155"/>
      <c r="Q678" s="155"/>
      <c r="R678" s="155"/>
      <c r="S678" s="155"/>
      <c r="T678" s="155"/>
      <c r="U678" s="155"/>
      <c r="V678" s="161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220"/>
      <c r="L679" s="155"/>
      <c r="M679" s="167"/>
      <c r="N679" s="167"/>
      <c r="O679" s="155"/>
      <c r="P679" s="155"/>
      <c r="Q679" s="155"/>
      <c r="R679" s="155"/>
      <c r="S679" s="155"/>
      <c r="T679" s="155"/>
      <c r="U679" s="155"/>
      <c r="V679" s="161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220"/>
      <c r="L680" s="155"/>
      <c r="M680" s="167"/>
      <c r="N680" s="167"/>
      <c r="O680" s="155"/>
      <c r="P680" s="155"/>
      <c r="Q680" s="155"/>
      <c r="R680" s="155"/>
      <c r="S680" s="155"/>
      <c r="T680" s="155"/>
      <c r="U680" s="155"/>
      <c r="V680" s="161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220"/>
      <c r="L681" s="155"/>
      <c r="M681" s="167"/>
      <c r="N681" s="167"/>
      <c r="O681" s="155"/>
      <c r="P681" s="155"/>
      <c r="Q681" s="155"/>
      <c r="R681" s="155"/>
      <c r="S681" s="155"/>
      <c r="T681" s="155"/>
      <c r="U681" s="155"/>
      <c r="V681" s="161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220"/>
      <c r="L682" s="155"/>
      <c r="M682" s="167"/>
      <c r="N682" s="167"/>
      <c r="O682" s="155"/>
      <c r="P682" s="155"/>
      <c r="Q682" s="155"/>
      <c r="R682" s="155"/>
      <c r="S682" s="155"/>
      <c r="T682" s="155"/>
      <c r="U682" s="155"/>
      <c r="V682" s="161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220"/>
      <c r="L683" s="155"/>
      <c r="M683" s="167"/>
      <c r="N683" s="167"/>
      <c r="O683" s="155"/>
      <c r="P683" s="155"/>
      <c r="Q683" s="155"/>
      <c r="R683" s="155"/>
      <c r="S683" s="155"/>
      <c r="T683" s="155"/>
      <c r="U683" s="155"/>
      <c r="V683" s="161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220"/>
      <c r="L684" s="155"/>
      <c r="M684" s="167"/>
      <c r="N684" s="167"/>
      <c r="O684" s="155"/>
      <c r="P684" s="155"/>
      <c r="Q684" s="155"/>
      <c r="R684" s="155"/>
      <c r="S684" s="155"/>
      <c r="T684" s="155"/>
      <c r="U684" s="155"/>
      <c r="V684" s="161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220"/>
      <c r="L685" s="155"/>
      <c r="M685" s="167"/>
      <c r="N685" s="167"/>
      <c r="O685" s="155"/>
      <c r="P685" s="155"/>
      <c r="Q685" s="155"/>
      <c r="R685" s="155"/>
      <c r="S685" s="155"/>
      <c r="T685" s="155"/>
      <c r="U685" s="155"/>
      <c r="V685" s="161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220"/>
      <c r="L686" s="155"/>
      <c r="M686" s="167"/>
      <c r="N686" s="167"/>
      <c r="O686" s="155"/>
      <c r="P686" s="155"/>
      <c r="Q686" s="155"/>
      <c r="R686" s="155"/>
      <c r="S686" s="155"/>
      <c r="T686" s="155"/>
      <c r="U686" s="155"/>
      <c r="V686" s="161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220"/>
      <c r="L687" s="155"/>
      <c r="M687" s="167"/>
      <c r="N687" s="167"/>
      <c r="O687" s="155"/>
      <c r="P687" s="155"/>
      <c r="Q687" s="155"/>
      <c r="R687" s="155"/>
      <c r="S687" s="155"/>
      <c r="T687" s="155"/>
      <c r="U687" s="155"/>
      <c r="V687" s="161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220"/>
      <c r="L688" s="155"/>
      <c r="M688" s="167"/>
      <c r="N688" s="167"/>
      <c r="O688" s="155"/>
      <c r="P688" s="155"/>
      <c r="Q688" s="155"/>
      <c r="R688" s="155"/>
      <c r="S688" s="155"/>
      <c r="T688" s="155"/>
      <c r="U688" s="155"/>
      <c r="V688" s="161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220"/>
      <c r="L689" s="155"/>
      <c r="M689" s="167"/>
      <c r="N689" s="167"/>
      <c r="O689" s="155"/>
      <c r="P689" s="155"/>
      <c r="Q689" s="155"/>
      <c r="R689" s="155"/>
      <c r="S689" s="155"/>
      <c r="T689" s="155"/>
      <c r="U689" s="155"/>
      <c r="V689" s="161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220"/>
      <c r="L690" s="155"/>
      <c r="M690" s="167"/>
      <c r="N690" s="167"/>
      <c r="O690" s="155"/>
      <c r="P690" s="155"/>
      <c r="Q690" s="155"/>
      <c r="R690" s="155"/>
      <c r="S690" s="155"/>
      <c r="T690" s="155"/>
      <c r="U690" s="155"/>
      <c r="V690" s="161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220"/>
      <c r="L691" s="155"/>
      <c r="M691" s="167"/>
      <c r="N691" s="167"/>
      <c r="O691" s="155"/>
      <c r="P691" s="155"/>
      <c r="Q691" s="155"/>
      <c r="R691" s="155"/>
      <c r="S691" s="155"/>
      <c r="T691" s="155"/>
      <c r="U691" s="155"/>
      <c r="V691" s="161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220"/>
      <c r="L692" s="155"/>
      <c r="M692" s="167"/>
      <c r="N692" s="167"/>
      <c r="O692" s="155"/>
      <c r="P692" s="155"/>
      <c r="Q692" s="155"/>
      <c r="R692" s="155"/>
      <c r="S692" s="155"/>
      <c r="T692" s="155"/>
      <c r="U692" s="155"/>
      <c r="V692" s="161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220"/>
      <c r="L693" s="155"/>
      <c r="M693" s="167"/>
      <c r="N693" s="167"/>
      <c r="O693" s="155"/>
      <c r="P693" s="155"/>
      <c r="Q693" s="155"/>
      <c r="R693" s="155"/>
      <c r="S693" s="155"/>
      <c r="T693" s="155"/>
      <c r="U693" s="155"/>
      <c r="V693" s="161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220"/>
      <c r="L694" s="155"/>
      <c r="M694" s="167"/>
      <c r="N694" s="167"/>
      <c r="O694" s="155"/>
      <c r="P694" s="155"/>
      <c r="Q694" s="155"/>
      <c r="R694" s="155"/>
      <c r="S694" s="155"/>
      <c r="T694" s="155"/>
      <c r="U694" s="155"/>
      <c r="V694" s="161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220"/>
      <c r="L695" s="155"/>
      <c r="M695" s="167"/>
      <c r="N695" s="167"/>
      <c r="O695" s="155"/>
      <c r="P695" s="155"/>
      <c r="Q695" s="155"/>
      <c r="R695" s="155"/>
      <c r="S695" s="155"/>
      <c r="T695" s="155"/>
      <c r="U695" s="155"/>
      <c r="V695" s="161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220"/>
      <c r="L696" s="155"/>
      <c r="M696" s="167"/>
      <c r="N696" s="167"/>
      <c r="O696" s="155"/>
      <c r="P696" s="155"/>
      <c r="Q696" s="155"/>
      <c r="R696" s="155"/>
      <c r="S696" s="155"/>
      <c r="T696" s="155"/>
      <c r="U696" s="155"/>
      <c r="V696" s="161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220"/>
      <c r="L697" s="155"/>
      <c r="M697" s="167"/>
      <c r="N697" s="167"/>
      <c r="O697" s="155"/>
      <c r="P697" s="155"/>
      <c r="Q697" s="155"/>
      <c r="R697" s="155"/>
      <c r="S697" s="155"/>
      <c r="T697" s="155"/>
      <c r="U697" s="155"/>
      <c r="V697" s="161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220"/>
      <c r="L698" s="155"/>
      <c r="M698" s="167"/>
      <c r="N698" s="167"/>
      <c r="O698" s="155"/>
      <c r="P698" s="155"/>
      <c r="Q698" s="155"/>
      <c r="R698" s="155"/>
      <c r="S698" s="155"/>
      <c r="T698" s="155"/>
      <c r="U698" s="155"/>
      <c r="V698" s="161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220"/>
      <c r="L699" s="155"/>
      <c r="M699" s="167"/>
      <c r="N699" s="167"/>
      <c r="O699" s="155"/>
      <c r="P699" s="155"/>
      <c r="Q699" s="155"/>
      <c r="R699" s="155"/>
      <c r="S699" s="155"/>
      <c r="T699" s="155"/>
      <c r="U699" s="155"/>
      <c r="V699" s="161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220"/>
      <c r="L700" s="155"/>
      <c r="M700" s="167"/>
      <c r="N700" s="167"/>
      <c r="O700" s="155"/>
      <c r="P700" s="155"/>
      <c r="Q700" s="155"/>
      <c r="R700" s="155"/>
      <c r="S700" s="155"/>
      <c r="T700" s="155"/>
      <c r="U700" s="155"/>
      <c r="V700" s="161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220"/>
      <c r="L701" s="155"/>
      <c r="M701" s="167"/>
      <c r="N701" s="167"/>
      <c r="O701" s="155"/>
      <c r="P701" s="155"/>
      <c r="Q701" s="155"/>
      <c r="R701" s="155"/>
      <c r="S701" s="155"/>
      <c r="T701" s="155"/>
      <c r="U701" s="155"/>
      <c r="V701" s="161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220"/>
      <c r="L702" s="155"/>
      <c r="M702" s="167"/>
      <c r="N702" s="167"/>
      <c r="O702" s="155"/>
      <c r="P702" s="155"/>
      <c r="Q702" s="155"/>
      <c r="R702" s="155"/>
      <c r="S702" s="155"/>
      <c r="T702" s="155"/>
      <c r="U702" s="155"/>
      <c r="V702" s="161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220"/>
      <c r="L703" s="155"/>
      <c r="M703" s="167"/>
      <c r="N703" s="167"/>
      <c r="O703" s="155"/>
      <c r="P703" s="155"/>
      <c r="Q703" s="155"/>
      <c r="R703" s="155"/>
      <c r="S703" s="155"/>
      <c r="T703" s="155"/>
      <c r="U703" s="155"/>
      <c r="V703" s="161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220"/>
      <c r="L704" s="155"/>
      <c r="M704" s="167"/>
      <c r="N704" s="167"/>
      <c r="O704" s="155"/>
      <c r="P704" s="155"/>
      <c r="Q704" s="155"/>
      <c r="R704" s="155"/>
      <c r="S704" s="155"/>
      <c r="T704" s="155"/>
      <c r="U704" s="155"/>
      <c r="V704" s="161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220"/>
      <c r="L705" s="155"/>
      <c r="M705" s="167"/>
      <c r="N705" s="167"/>
      <c r="O705" s="155"/>
      <c r="P705" s="155"/>
      <c r="Q705" s="155"/>
      <c r="R705" s="155"/>
      <c r="S705" s="155"/>
      <c r="T705" s="155"/>
      <c r="U705" s="155"/>
      <c r="V705" s="161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220"/>
      <c r="L706" s="155"/>
      <c r="M706" s="167"/>
      <c r="N706" s="167"/>
      <c r="O706" s="155"/>
      <c r="P706" s="155"/>
      <c r="Q706" s="155"/>
      <c r="R706" s="155"/>
      <c r="S706" s="155"/>
      <c r="T706" s="155"/>
      <c r="U706" s="155"/>
      <c r="V706" s="161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220"/>
      <c r="L707" s="155"/>
      <c r="M707" s="167"/>
      <c r="N707" s="167"/>
      <c r="O707" s="155"/>
      <c r="P707" s="155"/>
      <c r="Q707" s="155"/>
      <c r="R707" s="155"/>
      <c r="S707" s="155"/>
      <c r="T707" s="155"/>
      <c r="U707" s="155"/>
      <c r="V707" s="161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220"/>
      <c r="L708" s="155"/>
      <c r="M708" s="167"/>
      <c r="N708" s="167"/>
      <c r="O708" s="155"/>
      <c r="P708" s="155"/>
      <c r="Q708" s="155"/>
      <c r="R708" s="155"/>
      <c r="S708" s="155"/>
      <c r="T708" s="155"/>
      <c r="U708" s="155"/>
      <c r="V708" s="161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220"/>
      <c r="L709" s="155"/>
      <c r="M709" s="167"/>
      <c r="N709" s="167"/>
      <c r="O709" s="155"/>
      <c r="P709" s="155"/>
      <c r="Q709" s="155"/>
      <c r="R709" s="155"/>
      <c r="S709" s="155"/>
      <c r="T709" s="155"/>
      <c r="U709" s="155"/>
      <c r="V709" s="161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220"/>
      <c r="L710" s="155"/>
      <c r="M710" s="167"/>
      <c r="N710" s="167"/>
      <c r="O710" s="155"/>
      <c r="P710" s="155"/>
      <c r="Q710" s="155"/>
      <c r="R710" s="155"/>
      <c r="S710" s="155"/>
      <c r="T710" s="155"/>
      <c r="U710" s="155"/>
      <c r="V710" s="161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220"/>
      <c r="L711" s="155"/>
      <c r="M711" s="167"/>
      <c r="N711" s="167"/>
      <c r="O711" s="155"/>
      <c r="P711" s="155"/>
      <c r="Q711" s="155"/>
      <c r="R711" s="155"/>
      <c r="S711" s="155"/>
      <c r="T711" s="155"/>
      <c r="U711" s="155"/>
      <c r="V711" s="161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220"/>
      <c r="L712" s="155"/>
      <c r="M712" s="167"/>
      <c r="N712" s="167"/>
      <c r="O712" s="155"/>
      <c r="P712" s="155"/>
      <c r="Q712" s="155"/>
      <c r="R712" s="155"/>
      <c r="S712" s="155"/>
      <c r="T712" s="155"/>
      <c r="U712" s="155"/>
      <c r="V712" s="161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220"/>
      <c r="L713" s="155"/>
      <c r="M713" s="167"/>
      <c r="N713" s="167"/>
      <c r="O713" s="155"/>
      <c r="P713" s="155"/>
      <c r="Q713" s="155"/>
      <c r="R713" s="155"/>
      <c r="S713" s="155"/>
      <c r="T713" s="155"/>
      <c r="U713" s="155"/>
      <c r="V713" s="161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220"/>
      <c r="L714" s="155"/>
      <c r="M714" s="167"/>
      <c r="N714" s="167"/>
      <c r="O714" s="155"/>
      <c r="P714" s="155"/>
      <c r="Q714" s="155"/>
      <c r="R714" s="155"/>
      <c r="S714" s="155"/>
      <c r="T714" s="155"/>
      <c r="U714" s="155"/>
      <c r="V714" s="161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220"/>
      <c r="L715" s="155"/>
      <c r="M715" s="167"/>
      <c r="N715" s="167"/>
      <c r="O715" s="155"/>
      <c r="P715" s="155"/>
      <c r="Q715" s="155"/>
      <c r="R715" s="155"/>
      <c r="S715" s="155"/>
      <c r="T715" s="155"/>
      <c r="U715" s="155"/>
      <c r="V715" s="161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220"/>
      <c r="L716" s="155"/>
      <c r="M716" s="167"/>
      <c r="N716" s="167"/>
      <c r="O716" s="155"/>
      <c r="P716" s="155"/>
      <c r="Q716" s="155"/>
      <c r="R716" s="155"/>
      <c r="S716" s="155"/>
      <c r="T716" s="155"/>
      <c r="U716" s="155"/>
      <c r="V716" s="161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220"/>
      <c r="L717" s="155"/>
      <c r="M717" s="167"/>
      <c r="N717" s="167"/>
      <c r="O717" s="155"/>
      <c r="P717" s="155"/>
      <c r="Q717" s="155"/>
      <c r="R717" s="155"/>
      <c r="S717" s="155"/>
      <c r="T717" s="155"/>
      <c r="U717" s="155"/>
      <c r="V717" s="161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220"/>
      <c r="L718" s="155"/>
      <c r="M718" s="167"/>
      <c r="N718" s="167"/>
      <c r="O718" s="155"/>
      <c r="P718" s="155"/>
      <c r="Q718" s="155"/>
      <c r="R718" s="155"/>
      <c r="S718" s="155"/>
      <c r="T718" s="155"/>
      <c r="U718" s="155"/>
      <c r="V718" s="161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220"/>
      <c r="L719" s="155"/>
      <c r="M719" s="167"/>
      <c r="N719" s="167"/>
      <c r="O719" s="155"/>
      <c r="P719" s="155"/>
      <c r="Q719" s="155"/>
      <c r="R719" s="155"/>
      <c r="S719" s="155"/>
      <c r="T719" s="155"/>
      <c r="U719" s="155"/>
      <c r="V719" s="161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220"/>
      <c r="L720" s="155"/>
      <c r="M720" s="167"/>
      <c r="N720" s="167"/>
      <c r="O720" s="155"/>
      <c r="P720" s="155"/>
      <c r="Q720" s="155"/>
      <c r="R720" s="155"/>
      <c r="S720" s="155"/>
      <c r="T720" s="155"/>
      <c r="U720" s="155"/>
      <c r="V720" s="161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220"/>
      <c r="L721" s="155"/>
      <c r="M721" s="167"/>
      <c r="N721" s="167"/>
      <c r="O721" s="155"/>
      <c r="P721" s="155"/>
      <c r="Q721" s="155"/>
      <c r="R721" s="155"/>
      <c r="S721" s="155"/>
      <c r="T721" s="155"/>
      <c r="U721" s="155"/>
      <c r="V721" s="161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220"/>
      <c r="L722" s="155"/>
      <c r="M722" s="167"/>
      <c r="N722" s="167"/>
      <c r="O722" s="155"/>
      <c r="P722" s="155"/>
      <c r="Q722" s="155"/>
      <c r="R722" s="155"/>
      <c r="S722" s="155"/>
      <c r="T722" s="155"/>
      <c r="U722" s="155"/>
      <c r="V722" s="161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220"/>
      <c r="L723" s="155"/>
      <c r="M723" s="167"/>
      <c r="N723" s="167"/>
      <c r="O723" s="155"/>
      <c r="P723" s="155"/>
      <c r="Q723" s="155"/>
      <c r="R723" s="155"/>
      <c r="S723" s="155"/>
      <c r="T723" s="155"/>
      <c r="U723" s="155"/>
      <c r="V723" s="161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220"/>
      <c r="L724" s="155"/>
      <c r="M724" s="167"/>
      <c r="N724" s="167"/>
      <c r="O724" s="155"/>
      <c r="P724" s="155"/>
      <c r="Q724" s="155"/>
      <c r="R724" s="155"/>
      <c r="S724" s="155"/>
      <c r="T724" s="155"/>
      <c r="U724" s="155"/>
      <c r="V724" s="161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220"/>
      <c r="L725" s="155"/>
      <c r="M725" s="167"/>
      <c r="N725" s="167"/>
      <c r="O725" s="155"/>
      <c r="P725" s="155"/>
      <c r="Q725" s="155"/>
      <c r="R725" s="155"/>
      <c r="S725" s="155"/>
      <c r="T725" s="155"/>
      <c r="U725" s="155"/>
      <c r="V725" s="161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220"/>
      <c r="L726" s="155"/>
      <c r="M726" s="167"/>
      <c r="N726" s="167"/>
      <c r="O726" s="155"/>
      <c r="P726" s="155"/>
      <c r="Q726" s="155"/>
      <c r="R726" s="155"/>
      <c r="S726" s="155"/>
      <c r="T726" s="155"/>
      <c r="U726" s="155"/>
      <c r="V726" s="161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220"/>
      <c r="L727" s="155"/>
      <c r="M727" s="167"/>
      <c r="N727" s="167"/>
      <c r="O727" s="155"/>
      <c r="P727" s="155"/>
      <c r="Q727" s="155"/>
      <c r="R727" s="155"/>
      <c r="S727" s="155"/>
      <c r="T727" s="155"/>
      <c r="U727" s="155"/>
      <c r="V727" s="161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220"/>
      <c r="L728" s="155"/>
      <c r="M728" s="167"/>
      <c r="N728" s="167"/>
      <c r="O728" s="155"/>
      <c r="P728" s="155"/>
      <c r="Q728" s="155"/>
      <c r="R728" s="155"/>
      <c r="S728" s="155"/>
      <c r="T728" s="155"/>
      <c r="U728" s="155"/>
      <c r="V728" s="161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220"/>
      <c r="L729" s="155"/>
      <c r="M729" s="167"/>
      <c r="N729" s="167"/>
      <c r="O729" s="155"/>
      <c r="P729" s="155"/>
      <c r="Q729" s="155"/>
      <c r="R729" s="155"/>
      <c r="S729" s="155"/>
      <c r="T729" s="155"/>
      <c r="U729" s="155"/>
      <c r="V729" s="161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220"/>
      <c r="L730" s="155"/>
      <c r="M730" s="167"/>
      <c r="N730" s="167"/>
      <c r="O730" s="155"/>
      <c r="P730" s="155"/>
      <c r="Q730" s="155"/>
      <c r="R730" s="155"/>
      <c r="S730" s="155"/>
      <c r="T730" s="155"/>
      <c r="U730" s="155"/>
      <c r="V730" s="161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220"/>
      <c r="L731" s="155"/>
      <c r="M731" s="167"/>
      <c r="N731" s="167"/>
      <c r="O731" s="155"/>
      <c r="P731" s="155"/>
      <c r="Q731" s="155"/>
      <c r="R731" s="155"/>
      <c r="S731" s="155"/>
      <c r="T731" s="155"/>
      <c r="U731" s="155"/>
      <c r="V731" s="161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220"/>
      <c r="L732" s="155"/>
      <c r="M732" s="167"/>
      <c r="N732" s="167"/>
      <c r="O732" s="155"/>
      <c r="P732" s="155"/>
      <c r="Q732" s="155"/>
      <c r="R732" s="155"/>
      <c r="S732" s="155"/>
      <c r="T732" s="155"/>
      <c r="U732" s="155"/>
      <c r="V732" s="161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220"/>
      <c r="L733" s="155"/>
      <c r="M733" s="167"/>
      <c r="N733" s="167"/>
      <c r="O733" s="155"/>
      <c r="P733" s="155"/>
      <c r="Q733" s="155"/>
      <c r="R733" s="155"/>
      <c r="S733" s="155"/>
      <c r="T733" s="155"/>
      <c r="U733" s="155"/>
      <c r="V733" s="161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220"/>
      <c r="L734" s="155"/>
      <c r="M734" s="167"/>
      <c r="N734" s="167"/>
      <c r="O734" s="155"/>
      <c r="P734" s="155"/>
      <c r="Q734" s="155"/>
      <c r="R734" s="155"/>
      <c r="S734" s="155"/>
      <c r="T734" s="155"/>
      <c r="U734" s="155"/>
      <c r="V734" s="161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220"/>
      <c r="L735" s="155"/>
      <c r="M735" s="167"/>
      <c r="N735" s="167"/>
      <c r="O735" s="155"/>
      <c r="P735" s="155"/>
      <c r="Q735" s="155"/>
      <c r="R735" s="155"/>
      <c r="S735" s="155"/>
      <c r="T735" s="155"/>
      <c r="U735" s="155"/>
      <c r="V735" s="161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220"/>
      <c r="L736" s="155"/>
      <c r="M736" s="167"/>
      <c r="N736" s="167"/>
      <c r="O736" s="155"/>
      <c r="P736" s="155"/>
      <c r="Q736" s="155"/>
      <c r="R736" s="155"/>
      <c r="S736" s="155"/>
      <c r="T736" s="155"/>
      <c r="U736" s="155"/>
      <c r="V736" s="161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220"/>
      <c r="L737" s="155"/>
      <c r="M737" s="167"/>
      <c r="N737" s="167"/>
      <c r="O737" s="155"/>
      <c r="P737" s="155"/>
      <c r="Q737" s="155"/>
      <c r="R737" s="155"/>
      <c r="S737" s="155"/>
      <c r="T737" s="155"/>
      <c r="U737" s="155"/>
      <c r="V737" s="161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220"/>
      <c r="L738" s="155"/>
      <c r="M738" s="167"/>
      <c r="N738" s="167"/>
      <c r="O738" s="155"/>
      <c r="P738" s="155"/>
      <c r="Q738" s="155"/>
      <c r="R738" s="155"/>
      <c r="S738" s="155"/>
      <c r="T738" s="155"/>
      <c r="U738" s="155"/>
      <c r="V738" s="161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220"/>
      <c r="L739" s="155"/>
      <c r="M739" s="167"/>
      <c r="N739" s="167"/>
      <c r="O739" s="155"/>
      <c r="P739" s="155"/>
      <c r="Q739" s="155"/>
      <c r="R739" s="155"/>
      <c r="S739" s="155"/>
      <c r="T739" s="155"/>
      <c r="U739" s="155"/>
      <c r="V739" s="161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220"/>
      <c r="L740" s="155"/>
      <c r="M740" s="167"/>
      <c r="N740" s="167"/>
      <c r="O740" s="155"/>
      <c r="P740" s="155"/>
      <c r="Q740" s="155"/>
      <c r="R740" s="155"/>
      <c r="S740" s="155"/>
      <c r="T740" s="155"/>
      <c r="U740" s="155"/>
      <c r="V740" s="161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220"/>
      <c r="L741" s="155"/>
      <c r="M741" s="167"/>
      <c r="N741" s="167"/>
      <c r="O741" s="155"/>
      <c r="P741" s="155"/>
      <c r="Q741" s="155"/>
      <c r="R741" s="155"/>
      <c r="S741" s="155"/>
      <c r="T741" s="155"/>
      <c r="U741" s="155"/>
      <c r="V741" s="161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220"/>
      <c r="L742" s="155"/>
      <c r="M742" s="167"/>
      <c r="N742" s="167"/>
      <c r="O742" s="155"/>
      <c r="P742" s="155"/>
      <c r="Q742" s="155"/>
      <c r="R742" s="155"/>
      <c r="S742" s="155"/>
      <c r="T742" s="155"/>
      <c r="U742" s="155"/>
      <c r="V742" s="161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220"/>
      <c r="L743" s="155"/>
      <c r="M743" s="167"/>
      <c r="N743" s="167"/>
      <c r="O743" s="155"/>
      <c r="P743" s="155"/>
      <c r="Q743" s="155"/>
      <c r="R743" s="155"/>
      <c r="S743" s="155"/>
      <c r="T743" s="155"/>
      <c r="U743" s="155"/>
      <c r="V743" s="161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220"/>
      <c r="L744" s="155"/>
      <c r="M744" s="167"/>
      <c r="N744" s="167"/>
      <c r="O744" s="155"/>
      <c r="P744" s="155"/>
      <c r="Q744" s="155"/>
      <c r="R744" s="155"/>
      <c r="S744" s="155"/>
      <c r="T744" s="155"/>
      <c r="U744" s="155"/>
      <c r="V744" s="161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220"/>
      <c r="L745" s="155"/>
      <c r="M745" s="167"/>
      <c r="N745" s="167"/>
      <c r="O745" s="155"/>
      <c r="P745" s="155"/>
      <c r="Q745" s="155"/>
      <c r="R745" s="155"/>
      <c r="S745" s="155"/>
      <c r="T745" s="155"/>
      <c r="U745" s="155"/>
      <c r="V745" s="161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220"/>
      <c r="L746" s="155"/>
      <c r="M746" s="167"/>
      <c r="N746" s="167"/>
      <c r="O746" s="155"/>
      <c r="P746" s="155"/>
      <c r="Q746" s="155"/>
      <c r="R746" s="155"/>
      <c r="S746" s="155"/>
      <c r="T746" s="155"/>
      <c r="U746" s="155"/>
      <c r="V746" s="161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220"/>
      <c r="L747" s="155"/>
      <c r="M747" s="167"/>
      <c r="N747" s="167"/>
      <c r="O747" s="155"/>
      <c r="P747" s="155"/>
      <c r="Q747" s="155"/>
      <c r="R747" s="155"/>
      <c r="S747" s="155"/>
      <c r="T747" s="155"/>
      <c r="U747" s="155"/>
      <c r="V747" s="161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220"/>
      <c r="L748" s="155"/>
      <c r="M748" s="167"/>
      <c r="N748" s="167"/>
      <c r="O748" s="155"/>
      <c r="P748" s="155"/>
      <c r="Q748" s="155"/>
      <c r="R748" s="155"/>
      <c r="S748" s="155"/>
      <c r="T748" s="155"/>
      <c r="U748" s="155"/>
      <c r="V748" s="161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220"/>
      <c r="L749" s="155"/>
      <c r="M749" s="167"/>
      <c r="N749" s="167"/>
      <c r="O749" s="155"/>
      <c r="P749" s="155"/>
      <c r="Q749" s="155"/>
      <c r="R749" s="155"/>
      <c r="S749" s="155"/>
      <c r="T749" s="155"/>
      <c r="U749" s="155"/>
      <c r="V749" s="161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220"/>
      <c r="L750" s="155"/>
      <c r="M750" s="167"/>
      <c r="N750" s="167"/>
      <c r="O750" s="155"/>
      <c r="P750" s="155"/>
      <c r="Q750" s="155"/>
      <c r="R750" s="155"/>
      <c r="S750" s="155"/>
      <c r="T750" s="155"/>
      <c r="U750" s="155"/>
      <c r="V750" s="161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220"/>
      <c r="L751" s="155"/>
      <c r="M751" s="167"/>
      <c r="N751" s="167"/>
      <c r="O751" s="155"/>
      <c r="P751" s="155"/>
      <c r="Q751" s="155"/>
      <c r="R751" s="155"/>
      <c r="S751" s="155"/>
      <c r="T751" s="155"/>
      <c r="U751" s="155"/>
      <c r="V751" s="161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220"/>
      <c r="L752" s="155"/>
      <c r="M752" s="167"/>
      <c r="N752" s="167"/>
      <c r="O752" s="155"/>
      <c r="P752" s="155"/>
      <c r="Q752" s="155"/>
      <c r="R752" s="155"/>
      <c r="S752" s="155"/>
      <c r="T752" s="155"/>
      <c r="U752" s="155"/>
      <c r="V752" s="161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220"/>
      <c r="L753" s="155"/>
      <c r="M753" s="167"/>
      <c r="N753" s="167"/>
      <c r="O753" s="155"/>
      <c r="P753" s="155"/>
      <c r="Q753" s="155"/>
      <c r="R753" s="155"/>
      <c r="S753" s="155"/>
      <c r="T753" s="155"/>
      <c r="U753" s="155"/>
      <c r="V753" s="161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220"/>
      <c r="L754" s="155"/>
      <c r="M754" s="167"/>
      <c r="N754" s="167"/>
      <c r="O754" s="155"/>
      <c r="P754" s="155"/>
      <c r="Q754" s="155"/>
      <c r="R754" s="155"/>
      <c r="S754" s="155"/>
      <c r="T754" s="155"/>
      <c r="U754" s="155"/>
      <c r="V754" s="161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220"/>
      <c r="L755" s="155"/>
      <c r="M755" s="167"/>
      <c r="N755" s="167"/>
      <c r="O755" s="155"/>
      <c r="P755" s="155"/>
      <c r="Q755" s="155"/>
      <c r="R755" s="155"/>
      <c r="S755" s="155"/>
      <c r="T755" s="155"/>
      <c r="U755" s="155"/>
      <c r="V755" s="161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220"/>
      <c r="L756" s="155"/>
      <c r="M756" s="167"/>
      <c r="N756" s="167"/>
      <c r="O756" s="155"/>
      <c r="P756" s="155"/>
      <c r="Q756" s="155"/>
      <c r="R756" s="155"/>
      <c r="S756" s="155"/>
      <c r="T756" s="155"/>
      <c r="U756" s="155"/>
      <c r="V756" s="161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220"/>
      <c r="L757" s="155"/>
      <c r="M757" s="167"/>
      <c r="N757" s="167"/>
      <c r="O757" s="155"/>
      <c r="P757" s="155"/>
      <c r="Q757" s="155"/>
      <c r="R757" s="155"/>
      <c r="S757" s="155"/>
      <c r="T757" s="155"/>
      <c r="U757" s="155"/>
      <c r="V757" s="161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220"/>
      <c r="L758" s="155"/>
      <c r="M758" s="167"/>
      <c r="N758" s="167"/>
      <c r="O758" s="155"/>
      <c r="P758" s="155"/>
      <c r="Q758" s="155"/>
      <c r="R758" s="155"/>
      <c r="S758" s="155"/>
      <c r="T758" s="155"/>
      <c r="U758" s="155"/>
      <c r="V758" s="161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220"/>
      <c r="L759" s="155"/>
      <c r="M759" s="167"/>
      <c r="N759" s="167"/>
      <c r="O759" s="155"/>
      <c r="P759" s="155"/>
      <c r="Q759" s="155"/>
      <c r="R759" s="155"/>
      <c r="S759" s="155"/>
      <c r="T759" s="155"/>
      <c r="U759" s="155"/>
      <c r="V759" s="161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220"/>
      <c r="L760" s="155"/>
      <c r="M760" s="167"/>
      <c r="N760" s="167"/>
      <c r="O760" s="155"/>
      <c r="P760" s="155"/>
      <c r="Q760" s="155"/>
      <c r="R760" s="155"/>
      <c r="S760" s="155"/>
      <c r="T760" s="155"/>
      <c r="U760" s="155"/>
      <c r="V760" s="161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220"/>
      <c r="L761" s="155"/>
      <c r="M761" s="167"/>
      <c r="N761" s="167"/>
      <c r="O761" s="155"/>
      <c r="P761" s="155"/>
      <c r="Q761" s="155"/>
      <c r="R761" s="155"/>
      <c r="S761" s="155"/>
      <c r="T761" s="155"/>
      <c r="U761" s="155"/>
      <c r="V761" s="161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220"/>
      <c r="L762" s="155"/>
      <c r="M762" s="167"/>
      <c r="N762" s="167"/>
      <c r="O762" s="155"/>
      <c r="P762" s="155"/>
      <c r="Q762" s="155"/>
      <c r="R762" s="155"/>
      <c r="S762" s="155"/>
      <c r="T762" s="155"/>
      <c r="U762" s="155"/>
      <c r="V762" s="161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220"/>
      <c r="L763" s="155"/>
      <c r="M763" s="167"/>
      <c r="N763" s="167"/>
      <c r="O763" s="155"/>
      <c r="P763" s="155"/>
      <c r="Q763" s="155"/>
      <c r="R763" s="155"/>
      <c r="S763" s="155"/>
      <c r="T763" s="155"/>
      <c r="U763" s="155"/>
      <c r="V763" s="161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220"/>
      <c r="L764" s="155"/>
      <c r="M764" s="167"/>
      <c r="N764" s="167"/>
      <c r="O764" s="155"/>
      <c r="P764" s="155"/>
      <c r="Q764" s="155"/>
      <c r="R764" s="155"/>
      <c r="S764" s="155"/>
      <c r="T764" s="155"/>
      <c r="U764" s="155"/>
      <c r="V764" s="161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220"/>
      <c r="L765" s="155"/>
      <c r="M765" s="167"/>
      <c r="N765" s="167"/>
      <c r="O765" s="155"/>
      <c r="P765" s="155"/>
      <c r="Q765" s="155"/>
      <c r="R765" s="155"/>
      <c r="S765" s="155"/>
      <c r="T765" s="155"/>
      <c r="U765" s="155"/>
      <c r="V765" s="161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220"/>
      <c r="L766" s="155"/>
      <c r="M766" s="167"/>
      <c r="N766" s="167"/>
      <c r="O766" s="155"/>
      <c r="P766" s="155"/>
      <c r="Q766" s="155"/>
      <c r="R766" s="155"/>
      <c r="S766" s="155"/>
      <c r="T766" s="155"/>
      <c r="U766" s="155"/>
      <c r="V766" s="161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220"/>
      <c r="L767" s="155"/>
      <c r="M767" s="167"/>
      <c r="N767" s="167"/>
      <c r="O767" s="155"/>
      <c r="P767" s="155"/>
      <c r="Q767" s="155"/>
      <c r="R767" s="155"/>
      <c r="S767" s="155"/>
      <c r="T767" s="155"/>
      <c r="U767" s="155"/>
      <c r="V767" s="161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220"/>
      <c r="L768" s="155"/>
      <c r="M768" s="167"/>
      <c r="N768" s="167"/>
      <c r="O768" s="155"/>
      <c r="P768" s="155"/>
      <c r="Q768" s="155"/>
      <c r="R768" s="155"/>
      <c r="S768" s="155"/>
      <c r="T768" s="155"/>
      <c r="U768" s="155"/>
      <c r="V768" s="161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220"/>
      <c r="L769" s="155"/>
      <c r="M769" s="167"/>
      <c r="N769" s="167"/>
      <c r="O769" s="155"/>
      <c r="P769" s="155"/>
      <c r="Q769" s="155"/>
      <c r="R769" s="155"/>
      <c r="S769" s="155"/>
      <c r="T769" s="155"/>
      <c r="U769" s="155"/>
      <c r="V769" s="161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220"/>
      <c r="L770" s="155"/>
      <c r="M770" s="167"/>
      <c r="N770" s="167"/>
      <c r="O770" s="155"/>
      <c r="P770" s="155"/>
      <c r="Q770" s="155"/>
      <c r="R770" s="155"/>
      <c r="S770" s="155"/>
      <c r="T770" s="155"/>
      <c r="U770" s="155"/>
      <c r="V770" s="161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220"/>
      <c r="L771" s="155"/>
      <c r="M771" s="167"/>
      <c r="N771" s="167"/>
      <c r="O771" s="155"/>
      <c r="P771" s="155"/>
      <c r="Q771" s="155"/>
      <c r="R771" s="155"/>
      <c r="S771" s="155"/>
      <c r="T771" s="155"/>
      <c r="U771" s="155"/>
      <c r="V771" s="161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220"/>
      <c r="L772" s="155"/>
      <c r="M772" s="167"/>
      <c r="N772" s="167"/>
      <c r="O772" s="155"/>
      <c r="P772" s="155"/>
      <c r="Q772" s="155"/>
      <c r="R772" s="155"/>
      <c r="S772" s="155"/>
      <c r="T772" s="155"/>
      <c r="U772" s="155"/>
      <c r="V772" s="161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220"/>
      <c r="L773" s="155"/>
      <c r="M773" s="167"/>
      <c r="N773" s="167"/>
      <c r="O773" s="155"/>
      <c r="P773" s="155"/>
      <c r="Q773" s="155"/>
      <c r="R773" s="155"/>
      <c r="S773" s="155"/>
      <c r="T773" s="155"/>
      <c r="U773" s="155"/>
      <c r="V773" s="161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220"/>
      <c r="L774" s="155"/>
      <c r="M774" s="167"/>
      <c r="N774" s="167"/>
      <c r="O774" s="155"/>
      <c r="P774" s="155"/>
      <c r="Q774" s="155"/>
      <c r="R774" s="155"/>
      <c r="S774" s="155"/>
      <c r="T774" s="155"/>
      <c r="U774" s="155"/>
      <c r="V774" s="161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220"/>
      <c r="L775" s="155"/>
      <c r="M775" s="167"/>
      <c r="N775" s="167"/>
      <c r="O775" s="155"/>
      <c r="P775" s="155"/>
      <c r="Q775" s="155"/>
      <c r="R775" s="155"/>
      <c r="S775" s="155"/>
      <c r="T775" s="155"/>
      <c r="U775" s="155"/>
      <c r="V775" s="161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220"/>
      <c r="L776" s="155"/>
      <c r="M776" s="167"/>
      <c r="N776" s="167"/>
      <c r="O776" s="155"/>
      <c r="P776" s="155"/>
      <c r="Q776" s="155"/>
      <c r="R776" s="155"/>
      <c r="S776" s="155"/>
      <c r="T776" s="155"/>
      <c r="U776" s="155"/>
      <c r="V776" s="161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220"/>
      <c r="L777" s="155"/>
      <c r="M777" s="167"/>
      <c r="N777" s="167"/>
      <c r="O777" s="155"/>
      <c r="P777" s="155"/>
      <c r="Q777" s="155"/>
      <c r="R777" s="155"/>
      <c r="S777" s="155"/>
      <c r="T777" s="155"/>
      <c r="U777" s="155"/>
      <c r="V777" s="161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220"/>
      <c r="L778" s="155"/>
      <c r="M778" s="167"/>
      <c r="N778" s="167"/>
      <c r="O778" s="155"/>
      <c r="P778" s="155"/>
      <c r="Q778" s="155"/>
      <c r="R778" s="155"/>
      <c r="S778" s="155"/>
      <c r="T778" s="155"/>
      <c r="U778" s="155"/>
      <c r="V778" s="161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220"/>
      <c r="L779" s="155"/>
      <c r="M779" s="167"/>
      <c r="N779" s="167"/>
      <c r="O779" s="155"/>
      <c r="P779" s="155"/>
      <c r="Q779" s="155"/>
      <c r="R779" s="155"/>
      <c r="S779" s="155"/>
      <c r="T779" s="155"/>
      <c r="U779" s="155"/>
      <c r="V779" s="161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220"/>
      <c r="L780" s="155"/>
      <c r="M780" s="167"/>
      <c r="N780" s="167"/>
      <c r="O780" s="155"/>
      <c r="P780" s="155"/>
      <c r="Q780" s="155"/>
      <c r="R780" s="155"/>
      <c r="S780" s="155"/>
      <c r="T780" s="155"/>
      <c r="U780" s="155"/>
      <c r="V780" s="161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220"/>
      <c r="L781" s="155"/>
      <c r="M781" s="167"/>
      <c r="N781" s="167"/>
      <c r="O781" s="155"/>
      <c r="P781" s="155"/>
      <c r="Q781" s="155"/>
      <c r="R781" s="155"/>
      <c r="S781" s="155"/>
      <c r="T781" s="155"/>
      <c r="U781" s="155"/>
      <c r="V781" s="161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220"/>
      <c r="L782" s="155"/>
      <c r="M782" s="167"/>
      <c r="N782" s="167"/>
      <c r="O782" s="155"/>
      <c r="P782" s="155"/>
      <c r="Q782" s="155"/>
      <c r="R782" s="155"/>
      <c r="S782" s="155"/>
      <c r="T782" s="155"/>
      <c r="U782" s="155"/>
      <c r="V782" s="161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220"/>
      <c r="L783" s="155"/>
      <c r="M783" s="167"/>
      <c r="N783" s="167"/>
      <c r="O783" s="155"/>
      <c r="P783" s="155"/>
      <c r="Q783" s="155"/>
      <c r="R783" s="155"/>
      <c r="S783" s="155"/>
      <c r="T783" s="155"/>
      <c r="U783" s="155"/>
      <c r="V783" s="161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220"/>
      <c r="L784" s="155"/>
      <c r="M784" s="167"/>
      <c r="N784" s="167"/>
      <c r="O784" s="155"/>
      <c r="P784" s="155"/>
      <c r="Q784" s="155"/>
      <c r="R784" s="155"/>
      <c r="S784" s="155"/>
      <c r="T784" s="155"/>
      <c r="U784" s="155"/>
      <c r="V784" s="161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220"/>
      <c r="L785" s="155"/>
      <c r="M785" s="167"/>
      <c r="N785" s="167"/>
      <c r="O785" s="155"/>
      <c r="P785" s="155"/>
      <c r="Q785" s="155"/>
      <c r="R785" s="155"/>
      <c r="S785" s="155"/>
      <c r="T785" s="155"/>
      <c r="U785" s="155"/>
      <c r="V785" s="161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220"/>
      <c r="L786" s="155"/>
      <c r="M786" s="167"/>
      <c r="N786" s="167"/>
      <c r="O786" s="155"/>
      <c r="P786" s="155"/>
      <c r="Q786" s="155"/>
      <c r="R786" s="155"/>
      <c r="S786" s="155"/>
      <c r="T786" s="155"/>
      <c r="U786" s="155"/>
      <c r="V786" s="161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220"/>
      <c r="L787" s="155"/>
      <c r="M787" s="167"/>
      <c r="N787" s="167"/>
      <c r="O787" s="155"/>
      <c r="P787" s="155"/>
      <c r="Q787" s="155"/>
      <c r="R787" s="155"/>
      <c r="S787" s="155"/>
      <c r="T787" s="155"/>
      <c r="U787" s="155"/>
      <c r="V787" s="161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220"/>
      <c r="L788" s="155"/>
      <c r="M788" s="167"/>
      <c r="N788" s="167"/>
      <c r="O788" s="155"/>
      <c r="P788" s="155"/>
      <c r="Q788" s="155"/>
      <c r="R788" s="155"/>
      <c r="S788" s="155"/>
      <c r="T788" s="155"/>
      <c r="U788" s="155"/>
      <c r="V788" s="161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220"/>
      <c r="L789" s="155"/>
      <c r="M789" s="167"/>
      <c r="N789" s="167"/>
      <c r="O789" s="155"/>
      <c r="P789" s="155"/>
      <c r="Q789" s="155"/>
      <c r="R789" s="155"/>
      <c r="S789" s="155"/>
      <c r="T789" s="155"/>
      <c r="U789" s="155"/>
      <c r="V789" s="161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220"/>
      <c r="L790" s="155"/>
      <c r="M790" s="167"/>
      <c r="N790" s="167"/>
      <c r="O790" s="155"/>
      <c r="P790" s="155"/>
      <c r="Q790" s="155"/>
      <c r="R790" s="155"/>
      <c r="S790" s="155"/>
      <c r="T790" s="155"/>
      <c r="U790" s="155"/>
      <c r="V790" s="161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220"/>
      <c r="L791" s="155"/>
      <c r="M791" s="167"/>
      <c r="N791" s="167"/>
      <c r="O791" s="155"/>
      <c r="P791" s="155"/>
      <c r="Q791" s="155"/>
      <c r="R791" s="155"/>
      <c r="S791" s="155"/>
      <c r="T791" s="155"/>
      <c r="U791" s="155"/>
      <c r="V791" s="161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220"/>
      <c r="L792" s="155"/>
      <c r="M792" s="167"/>
      <c r="N792" s="167"/>
      <c r="O792" s="155"/>
      <c r="P792" s="155"/>
      <c r="Q792" s="155"/>
      <c r="R792" s="155"/>
      <c r="S792" s="155"/>
      <c r="T792" s="155"/>
      <c r="U792" s="155"/>
      <c r="V792" s="161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220"/>
      <c r="L793" s="155"/>
      <c r="M793" s="167"/>
      <c r="N793" s="167"/>
      <c r="O793" s="155"/>
      <c r="P793" s="155"/>
      <c r="Q793" s="155"/>
      <c r="R793" s="155"/>
      <c r="S793" s="155"/>
      <c r="T793" s="155"/>
      <c r="U793" s="155"/>
      <c r="V793" s="161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220"/>
      <c r="L794" s="155"/>
      <c r="M794" s="167"/>
      <c r="N794" s="167"/>
      <c r="O794" s="155"/>
      <c r="P794" s="155"/>
      <c r="Q794" s="155"/>
      <c r="R794" s="155"/>
      <c r="S794" s="155"/>
      <c r="T794" s="155"/>
      <c r="U794" s="155"/>
      <c r="V794" s="161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220"/>
      <c r="L795" s="155"/>
      <c r="M795" s="167"/>
      <c r="N795" s="167"/>
      <c r="O795" s="155"/>
      <c r="P795" s="155"/>
      <c r="Q795" s="155"/>
      <c r="R795" s="155"/>
      <c r="S795" s="155"/>
      <c r="T795" s="155"/>
      <c r="U795" s="155"/>
      <c r="V795" s="161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220"/>
      <c r="L796" s="155"/>
      <c r="M796" s="167"/>
      <c r="N796" s="167"/>
      <c r="O796" s="155"/>
      <c r="P796" s="155"/>
      <c r="Q796" s="155"/>
      <c r="R796" s="155"/>
      <c r="S796" s="155"/>
      <c r="T796" s="155"/>
      <c r="U796" s="155"/>
      <c r="V796" s="161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220"/>
      <c r="L797" s="155"/>
      <c r="M797" s="167"/>
      <c r="N797" s="167"/>
      <c r="O797" s="155"/>
      <c r="P797" s="155"/>
      <c r="Q797" s="155"/>
      <c r="R797" s="155"/>
      <c r="S797" s="155"/>
      <c r="T797" s="155"/>
      <c r="U797" s="155"/>
      <c r="V797" s="161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220"/>
      <c r="L798" s="155"/>
      <c r="M798" s="167"/>
      <c r="N798" s="167"/>
      <c r="O798" s="155"/>
      <c r="P798" s="155"/>
      <c r="Q798" s="155"/>
      <c r="R798" s="155"/>
      <c r="S798" s="155"/>
      <c r="T798" s="155"/>
      <c r="U798" s="155"/>
      <c r="V798" s="161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220"/>
      <c r="L799" s="155"/>
      <c r="M799" s="167"/>
      <c r="N799" s="167"/>
      <c r="O799" s="155"/>
      <c r="P799" s="155"/>
      <c r="Q799" s="155"/>
      <c r="R799" s="155"/>
      <c r="S799" s="155"/>
      <c r="T799" s="155"/>
      <c r="U799" s="155"/>
      <c r="V799" s="161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220"/>
      <c r="L800" s="155"/>
      <c r="M800" s="167"/>
      <c r="N800" s="167"/>
      <c r="O800" s="155"/>
      <c r="P800" s="155"/>
      <c r="Q800" s="155"/>
      <c r="R800" s="155"/>
      <c r="S800" s="155"/>
      <c r="T800" s="155"/>
      <c r="U800" s="155"/>
      <c r="V800" s="161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220"/>
      <c r="L801" s="155"/>
      <c r="M801" s="167"/>
      <c r="N801" s="167"/>
      <c r="O801" s="155"/>
      <c r="P801" s="155"/>
      <c r="Q801" s="155"/>
      <c r="R801" s="155"/>
      <c r="S801" s="155"/>
      <c r="T801" s="155"/>
      <c r="U801" s="155"/>
      <c r="V801" s="161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220"/>
      <c r="L802" s="155"/>
      <c r="M802" s="167"/>
      <c r="N802" s="167"/>
      <c r="O802" s="155"/>
      <c r="P802" s="155"/>
      <c r="Q802" s="155"/>
      <c r="R802" s="155"/>
      <c r="S802" s="155"/>
      <c r="T802" s="155"/>
      <c r="U802" s="155"/>
      <c r="V802" s="161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220"/>
      <c r="L803" s="155"/>
      <c r="M803" s="167"/>
      <c r="N803" s="167"/>
      <c r="O803" s="155"/>
      <c r="P803" s="155"/>
      <c r="Q803" s="155"/>
      <c r="R803" s="155"/>
      <c r="S803" s="155"/>
      <c r="T803" s="155"/>
      <c r="U803" s="155"/>
      <c r="V803" s="161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220"/>
      <c r="L804" s="155"/>
      <c r="M804" s="167"/>
      <c r="N804" s="167"/>
      <c r="O804" s="155"/>
      <c r="P804" s="155"/>
      <c r="Q804" s="155"/>
      <c r="R804" s="155"/>
      <c r="S804" s="155"/>
      <c r="T804" s="155"/>
      <c r="U804" s="155"/>
      <c r="V804" s="161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220"/>
      <c r="L805" s="155"/>
      <c r="M805" s="167"/>
      <c r="N805" s="167"/>
      <c r="O805" s="155"/>
      <c r="P805" s="155"/>
      <c r="Q805" s="155"/>
      <c r="R805" s="155"/>
      <c r="S805" s="155"/>
      <c r="T805" s="155"/>
      <c r="U805" s="155"/>
      <c r="V805" s="161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220"/>
      <c r="L806" s="155"/>
      <c r="M806" s="167"/>
      <c r="N806" s="167"/>
      <c r="O806" s="155"/>
      <c r="P806" s="155"/>
      <c r="Q806" s="155"/>
      <c r="R806" s="155"/>
      <c r="S806" s="155"/>
      <c r="T806" s="155"/>
      <c r="U806" s="155"/>
      <c r="V806" s="161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220"/>
      <c r="L807" s="155"/>
      <c r="M807" s="167"/>
      <c r="N807" s="167"/>
      <c r="O807" s="155"/>
      <c r="P807" s="155"/>
      <c r="Q807" s="155"/>
      <c r="R807" s="155"/>
      <c r="S807" s="155"/>
      <c r="T807" s="155"/>
      <c r="U807" s="155"/>
      <c r="V807" s="161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220"/>
      <c r="L808" s="155"/>
      <c r="M808" s="167"/>
      <c r="N808" s="167"/>
      <c r="O808" s="155"/>
      <c r="P808" s="155"/>
      <c r="Q808" s="155"/>
      <c r="R808" s="155"/>
      <c r="S808" s="155"/>
      <c r="T808" s="155"/>
      <c r="U808" s="155"/>
      <c r="V808" s="161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</row>
    <row r="809" ht="15.7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220"/>
      <c r="L809" s="155"/>
      <c r="M809" s="167"/>
      <c r="N809" s="167"/>
      <c r="O809" s="155"/>
      <c r="P809" s="155"/>
      <c r="Q809" s="155"/>
      <c r="R809" s="155"/>
      <c r="S809" s="155"/>
      <c r="T809" s="155"/>
      <c r="U809" s="155"/>
      <c r="V809" s="161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</row>
    <row r="810" ht="15.7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220"/>
      <c r="L810" s="155"/>
      <c r="M810" s="167"/>
      <c r="N810" s="167"/>
      <c r="O810" s="155"/>
      <c r="P810" s="155"/>
      <c r="Q810" s="155"/>
      <c r="R810" s="155"/>
      <c r="S810" s="155"/>
      <c r="T810" s="155"/>
      <c r="U810" s="155"/>
      <c r="V810" s="161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</row>
    <row r="811" ht="15.7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220"/>
      <c r="L811" s="155"/>
      <c r="M811" s="167"/>
      <c r="N811" s="167"/>
      <c r="O811" s="155"/>
      <c r="P811" s="155"/>
      <c r="Q811" s="155"/>
      <c r="R811" s="155"/>
      <c r="S811" s="155"/>
      <c r="T811" s="155"/>
      <c r="U811" s="155"/>
      <c r="V811" s="161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</row>
    <row r="812" ht="15.7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220"/>
      <c r="L812" s="155"/>
      <c r="M812" s="167"/>
      <c r="N812" s="167"/>
      <c r="O812" s="155"/>
      <c r="P812" s="155"/>
      <c r="Q812" s="155"/>
      <c r="R812" s="155"/>
      <c r="S812" s="155"/>
      <c r="T812" s="155"/>
      <c r="U812" s="155"/>
      <c r="V812" s="161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</row>
    <row r="813" ht="15.7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220"/>
      <c r="L813" s="155"/>
      <c r="M813" s="167"/>
      <c r="N813" s="167"/>
      <c r="O813" s="155"/>
      <c r="P813" s="155"/>
      <c r="Q813" s="155"/>
      <c r="R813" s="155"/>
      <c r="S813" s="155"/>
      <c r="T813" s="155"/>
      <c r="U813" s="155"/>
      <c r="V813" s="161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</row>
    <row r="814" ht="15.7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220"/>
      <c r="L814" s="155"/>
      <c r="M814" s="167"/>
      <c r="N814" s="167"/>
      <c r="O814" s="155"/>
      <c r="P814" s="155"/>
      <c r="Q814" s="155"/>
      <c r="R814" s="155"/>
      <c r="S814" s="155"/>
      <c r="T814" s="155"/>
      <c r="U814" s="155"/>
      <c r="V814" s="161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</row>
    <row r="815" ht="15.7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220"/>
      <c r="L815" s="155"/>
      <c r="M815" s="167"/>
      <c r="N815" s="167"/>
      <c r="O815" s="155"/>
      <c r="P815" s="155"/>
      <c r="Q815" s="155"/>
      <c r="R815" s="155"/>
      <c r="S815" s="155"/>
      <c r="T815" s="155"/>
      <c r="U815" s="155"/>
      <c r="V815" s="161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</row>
    <row r="816" ht="15.7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220"/>
      <c r="L816" s="155"/>
      <c r="M816" s="167"/>
      <c r="N816" s="167"/>
      <c r="O816" s="155"/>
      <c r="P816" s="155"/>
      <c r="Q816" s="155"/>
      <c r="R816" s="155"/>
      <c r="S816" s="155"/>
      <c r="T816" s="155"/>
      <c r="U816" s="155"/>
      <c r="V816" s="161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</row>
    <row r="817" ht="15.7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220"/>
      <c r="L817" s="155"/>
      <c r="M817" s="167"/>
      <c r="N817" s="167"/>
      <c r="O817" s="155"/>
      <c r="P817" s="155"/>
      <c r="Q817" s="155"/>
      <c r="R817" s="155"/>
      <c r="S817" s="155"/>
      <c r="T817" s="155"/>
      <c r="U817" s="155"/>
      <c r="V817" s="161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</row>
    <row r="818" ht="15.7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220"/>
      <c r="L818" s="155"/>
      <c r="M818" s="167"/>
      <c r="N818" s="167"/>
      <c r="O818" s="155"/>
      <c r="P818" s="155"/>
      <c r="Q818" s="155"/>
      <c r="R818" s="155"/>
      <c r="S818" s="155"/>
      <c r="T818" s="155"/>
      <c r="U818" s="155"/>
      <c r="V818" s="161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</row>
    <row r="819" ht="15.7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220"/>
      <c r="L819" s="155"/>
      <c r="M819" s="167"/>
      <c r="N819" s="167"/>
      <c r="O819" s="155"/>
      <c r="P819" s="155"/>
      <c r="Q819" s="155"/>
      <c r="R819" s="155"/>
      <c r="S819" s="155"/>
      <c r="T819" s="155"/>
      <c r="U819" s="155"/>
      <c r="V819" s="161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</row>
    <row r="820" ht="15.7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220"/>
      <c r="L820" s="155"/>
      <c r="M820" s="167"/>
      <c r="N820" s="167"/>
      <c r="O820" s="155"/>
      <c r="P820" s="155"/>
      <c r="Q820" s="155"/>
      <c r="R820" s="155"/>
      <c r="S820" s="155"/>
      <c r="T820" s="155"/>
      <c r="U820" s="155"/>
      <c r="V820" s="161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</row>
    <row r="821" ht="15.7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220"/>
      <c r="L821" s="155"/>
      <c r="M821" s="167"/>
      <c r="N821" s="167"/>
      <c r="O821" s="155"/>
      <c r="P821" s="155"/>
      <c r="Q821" s="155"/>
      <c r="R821" s="155"/>
      <c r="S821" s="155"/>
      <c r="T821" s="155"/>
      <c r="U821" s="155"/>
      <c r="V821" s="161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</row>
    <row r="822" ht="15.7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220"/>
      <c r="L822" s="155"/>
      <c r="M822" s="167"/>
      <c r="N822" s="167"/>
      <c r="O822" s="155"/>
      <c r="P822" s="155"/>
      <c r="Q822" s="155"/>
      <c r="R822" s="155"/>
      <c r="S822" s="155"/>
      <c r="T822" s="155"/>
      <c r="U822" s="155"/>
      <c r="V822" s="161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</row>
    <row r="823" ht="15.7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220"/>
      <c r="L823" s="155"/>
      <c r="M823" s="167"/>
      <c r="N823" s="167"/>
      <c r="O823" s="155"/>
      <c r="P823" s="155"/>
      <c r="Q823" s="155"/>
      <c r="R823" s="155"/>
      <c r="S823" s="155"/>
      <c r="T823" s="155"/>
      <c r="U823" s="155"/>
      <c r="V823" s="161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</row>
    <row r="824" ht="15.7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220"/>
      <c r="L824" s="155"/>
      <c r="M824" s="167"/>
      <c r="N824" s="167"/>
      <c r="O824" s="155"/>
      <c r="P824" s="155"/>
      <c r="Q824" s="155"/>
      <c r="R824" s="155"/>
      <c r="S824" s="155"/>
      <c r="T824" s="155"/>
      <c r="U824" s="155"/>
      <c r="V824" s="161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</row>
    <row r="825" ht="15.7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220"/>
      <c r="L825" s="155"/>
      <c r="M825" s="167"/>
      <c r="N825" s="167"/>
      <c r="O825" s="155"/>
      <c r="P825" s="155"/>
      <c r="Q825" s="155"/>
      <c r="R825" s="155"/>
      <c r="S825" s="155"/>
      <c r="T825" s="155"/>
      <c r="U825" s="155"/>
      <c r="V825" s="161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</row>
    <row r="826" ht="15.7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220"/>
      <c r="L826" s="155"/>
      <c r="M826" s="167"/>
      <c r="N826" s="167"/>
      <c r="O826" s="155"/>
      <c r="P826" s="155"/>
      <c r="Q826" s="155"/>
      <c r="R826" s="155"/>
      <c r="S826" s="155"/>
      <c r="T826" s="155"/>
      <c r="U826" s="155"/>
      <c r="V826" s="161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</row>
    <row r="827" ht="15.7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220"/>
      <c r="L827" s="155"/>
      <c r="M827" s="167"/>
      <c r="N827" s="167"/>
      <c r="O827" s="155"/>
      <c r="P827" s="155"/>
      <c r="Q827" s="155"/>
      <c r="R827" s="155"/>
      <c r="S827" s="155"/>
      <c r="T827" s="155"/>
      <c r="U827" s="155"/>
      <c r="V827" s="161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</row>
    <row r="828" ht="15.7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220"/>
      <c r="L828" s="155"/>
      <c r="M828" s="167"/>
      <c r="N828" s="167"/>
      <c r="O828" s="155"/>
      <c r="P828" s="155"/>
      <c r="Q828" s="155"/>
      <c r="R828" s="155"/>
      <c r="S828" s="155"/>
      <c r="T828" s="155"/>
      <c r="U828" s="155"/>
      <c r="V828" s="161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</row>
    <row r="829" ht="15.7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220"/>
      <c r="L829" s="155"/>
      <c r="M829" s="167"/>
      <c r="N829" s="167"/>
      <c r="O829" s="155"/>
      <c r="P829" s="155"/>
      <c r="Q829" s="155"/>
      <c r="R829" s="155"/>
      <c r="S829" s="155"/>
      <c r="T829" s="155"/>
      <c r="U829" s="155"/>
      <c r="V829" s="161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</row>
    <row r="830" ht="15.7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220"/>
      <c r="L830" s="155"/>
      <c r="M830" s="167"/>
      <c r="N830" s="167"/>
      <c r="O830" s="155"/>
      <c r="P830" s="155"/>
      <c r="Q830" s="155"/>
      <c r="R830" s="155"/>
      <c r="S830" s="155"/>
      <c r="T830" s="155"/>
      <c r="U830" s="155"/>
      <c r="V830" s="161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</row>
    <row r="831" ht="15.7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220"/>
      <c r="L831" s="155"/>
      <c r="M831" s="167"/>
      <c r="N831" s="167"/>
      <c r="O831" s="155"/>
      <c r="P831" s="155"/>
      <c r="Q831" s="155"/>
      <c r="R831" s="155"/>
      <c r="S831" s="155"/>
      <c r="T831" s="155"/>
      <c r="U831" s="155"/>
      <c r="V831" s="161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</row>
    <row r="832" ht="15.7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220"/>
      <c r="L832" s="155"/>
      <c r="M832" s="167"/>
      <c r="N832" s="167"/>
      <c r="O832" s="155"/>
      <c r="P832" s="155"/>
      <c r="Q832" s="155"/>
      <c r="R832" s="155"/>
      <c r="S832" s="155"/>
      <c r="T832" s="155"/>
      <c r="U832" s="155"/>
      <c r="V832" s="161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</row>
    <row r="833" ht="15.7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220"/>
      <c r="L833" s="155"/>
      <c r="M833" s="167"/>
      <c r="N833" s="167"/>
      <c r="O833" s="155"/>
      <c r="P833" s="155"/>
      <c r="Q833" s="155"/>
      <c r="R833" s="155"/>
      <c r="S833" s="155"/>
      <c r="T833" s="155"/>
      <c r="U833" s="155"/>
      <c r="V833" s="161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</row>
    <row r="834" ht="15.7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220"/>
      <c r="L834" s="155"/>
      <c r="M834" s="167"/>
      <c r="N834" s="167"/>
      <c r="O834" s="155"/>
      <c r="P834" s="155"/>
      <c r="Q834" s="155"/>
      <c r="R834" s="155"/>
      <c r="S834" s="155"/>
      <c r="T834" s="155"/>
      <c r="U834" s="155"/>
      <c r="V834" s="161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</row>
    <row r="835" ht="15.7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220"/>
      <c r="L835" s="155"/>
      <c r="M835" s="167"/>
      <c r="N835" s="167"/>
      <c r="O835" s="155"/>
      <c r="P835" s="155"/>
      <c r="Q835" s="155"/>
      <c r="R835" s="155"/>
      <c r="S835" s="155"/>
      <c r="T835" s="155"/>
      <c r="U835" s="155"/>
      <c r="V835" s="161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</row>
    <row r="836" ht="15.7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220"/>
      <c r="L836" s="155"/>
      <c r="M836" s="167"/>
      <c r="N836" s="167"/>
      <c r="O836" s="155"/>
      <c r="P836" s="155"/>
      <c r="Q836" s="155"/>
      <c r="R836" s="155"/>
      <c r="S836" s="155"/>
      <c r="T836" s="155"/>
      <c r="U836" s="155"/>
      <c r="V836" s="161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</row>
    <row r="837" ht="15.7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220"/>
      <c r="L837" s="155"/>
      <c r="M837" s="167"/>
      <c r="N837" s="167"/>
      <c r="O837" s="155"/>
      <c r="P837" s="155"/>
      <c r="Q837" s="155"/>
      <c r="R837" s="155"/>
      <c r="S837" s="155"/>
      <c r="T837" s="155"/>
      <c r="U837" s="155"/>
      <c r="V837" s="161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</row>
    <row r="838" ht="15.7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220"/>
      <c r="L838" s="155"/>
      <c r="M838" s="167"/>
      <c r="N838" s="167"/>
      <c r="O838" s="155"/>
      <c r="P838" s="155"/>
      <c r="Q838" s="155"/>
      <c r="R838" s="155"/>
      <c r="S838" s="155"/>
      <c r="T838" s="155"/>
      <c r="U838" s="155"/>
      <c r="V838" s="161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</row>
    <row r="839" ht="15.7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220"/>
      <c r="L839" s="155"/>
      <c r="M839" s="167"/>
      <c r="N839" s="167"/>
      <c r="O839" s="155"/>
      <c r="P839" s="155"/>
      <c r="Q839" s="155"/>
      <c r="R839" s="155"/>
      <c r="S839" s="155"/>
      <c r="T839" s="155"/>
      <c r="U839" s="155"/>
      <c r="V839" s="161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</row>
    <row r="840" ht="15.7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220"/>
      <c r="L840" s="155"/>
      <c r="M840" s="167"/>
      <c r="N840" s="167"/>
      <c r="O840" s="155"/>
      <c r="P840" s="155"/>
      <c r="Q840" s="155"/>
      <c r="R840" s="155"/>
      <c r="S840" s="155"/>
      <c r="T840" s="155"/>
      <c r="U840" s="155"/>
      <c r="V840" s="161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</row>
    <row r="841" ht="15.7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220"/>
      <c r="L841" s="155"/>
      <c r="M841" s="167"/>
      <c r="N841" s="167"/>
      <c r="O841" s="155"/>
      <c r="P841" s="155"/>
      <c r="Q841" s="155"/>
      <c r="R841" s="155"/>
      <c r="S841" s="155"/>
      <c r="T841" s="155"/>
      <c r="U841" s="155"/>
      <c r="V841" s="161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</row>
    <row r="842" ht="15.7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220"/>
      <c r="L842" s="155"/>
      <c r="M842" s="167"/>
      <c r="N842" s="167"/>
      <c r="O842" s="155"/>
      <c r="P842" s="155"/>
      <c r="Q842" s="155"/>
      <c r="R842" s="155"/>
      <c r="S842" s="155"/>
      <c r="T842" s="155"/>
      <c r="U842" s="155"/>
      <c r="V842" s="161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</row>
    <row r="843" ht="15.7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220"/>
      <c r="L843" s="155"/>
      <c r="M843" s="167"/>
      <c r="N843" s="167"/>
      <c r="O843" s="155"/>
      <c r="P843" s="155"/>
      <c r="Q843" s="155"/>
      <c r="R843" s="155"/>
      <c r="S843" s="155"/>
      <c r="T843" s="155"/>
      <c r="U843" s="155"/>
      <c r="V843" s="161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</row>
    <row r="844" ht="15.7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220"/>
      <c r="L844" s="155"/>
      <c r="M844" s="167"/>
      <c r="N844" s="167"/>
      <c r="O844" s="155"/>
      <c r="P844" s="155"/>
      <c r="Q844" s="155"/>
      <c r="R844" s="155"/>
      <c r="S844" s="155"/>
      <c r="T844" s="155"/>
      <c r="U844" s="155"/>
      <c r="V844" s="161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</row>
    <row r="845" ht="15.7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220"/>
      <c r="L845" s="155"/>
      <c r="M845" s="167"/>
      <c r="N845" s="167"/>
      <c r="O845" s="155"/>
      <c r="P845" s="155"/>
      <c r="Q845" s="155"/>
      <c r="R845" s="155"/>
      <c r="S845" s="155"/>
      <c r="T845" s="155"/>
      <c r="U845" s="155"/>
      <c r="V845" s="161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</row>
    <row r="846" ht="15.7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220"/>
      <c r="L846" s="155"/>
      <c r="M846" s="167"/>
      <c r="N846" s="167"/>
      <c r="O846" s="155"/>
      <c r="P846" s="155"/>
      <c r="Q846" s="155"/>
      <c r="R846" s="155"/>
      <c r="S846" s="155"/>
      <c r="T846" s="155"/>
      <c r="U846" s="155"/>
      <c r="V846" s="161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</row>
    <row r="847" ht="15.7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220"/>
      <c r="L847" s="155"/>
      <c r="M847" s="167"/>
      <c r="N847" s="167"/>
      <c r="O847" s="155"/>
      <c r="P847" s="155"/>
      <c r="Q847" s="155"/>
      <c r="R847" s="155"/>
      <c r="S847" s="155"/>
      <c r="T847" s="155"/>
      <c r="U847" s="155"/>
      <c r="V847" s="161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</row>
    <row r="848" ht="15.7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220"/>
      <c r="L848" s="155"/>
      <c r="M848" s="167"/>
      <c r="N848" s="167"/>
      <c r="O848" s="155"/>
      <c r="P848" s="155"/>
      <c r="Q848" s="155"/>
      <c r="R848" s="155"/>
      <c r="S848" s="155"/>
      <c r="T848" s="155"/>
      <c r="U848" s="155"/>
      <c r="V848" s="161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</row>
    <row r="849" ht="15.7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220"/>
      <c r="L849" s="155"/>
      <c r="M849" s="167"/>
      <c r="N849" s="167"/>
      <c r="O849" s="155"/>
      <c r="P849" s="155"/>
      <c r="Q849" s="155"/>
      <c r="R849" s="155"/>
      <c r="S849" s="155"/>
      <c r="T849" s="155"/>
      <c r="U849" s="155"/>
      <c r="V849" s="161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</row>
    <row r="850" ht="15.7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220"/>
      <c r="L850" s="155"/>
      <c r="M850" s="167"/>
      <c r="N850" s="167"/>
      <c r="O850" s="155"/>
      <c r="P850" s="155"/>
      <c r="Q850" s="155"/>
      <c r="R850" s="155"/>
      <c r="S850" s="155"/>
      <c r="T850" s="155"/>
      <c r="U850" s="155"/>
      <c r="V850" s="161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</row>
    <row r="851" ht="15.7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220"/>
      <c r="L851" s="155"/>
      <c r="M851" s="167"/>
      <c r="N851" s="167"/>
      <c r="O851" s="155"/>
      <c r="P851" s="155"/>
      <c r="Q851" s="155"/>
      <c r="R851" s="155"/>
      <c r="S851" s="155"/>
      <c r="T851" s="155"/>
      <c r="U851" s="155"/>
      <c r="V851" s="161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</row>
    <row r="852" ht="15.7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220"/>
      <c r="L852" s="155"/>
      <c r="M852" s="167"/>
      <c r="N852" s="167"/>
      <c r="O852" s="155"/>
      <c r="P852" s="155"/>
      <c r="Q852" s="155"/>
      <c r="R852" s="155"/>
      <c r="S852" s="155"/>
      <c r="T852" s="155"/>
      <c r="U852" s="155"/>
      <c r="V852" s="161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</row>
    <row r="853" ht="15.7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220"/>
      <c r="L853" s="155"/>
      <c r="M853" s="167"/>
      <c r="N853" s="167"/>
      <c r="O853" s="155"/>
      <c r="P853" s="155"/>
      <c r="Q853" s="155"/>
      <c r="R853" s="155"/>
      <c r="S853" s="155"/>
      <c r="T853" s="155"/>
      <c r="U853" s="155"/>
      <c r="V853" s="161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</row>
    <row r="854" ht="15.7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220"/>
      <c r="L854" s="155"/>
      <c r="M854" s="167"/>
      <c r="N854" s="167"/>
      <c r="O854" s="155"/>
      <c r="P854" s="155"/>
      <c r="Q854" s="155"/>
      <c r="R854" s="155"/>
      <c r="S854" s="155"/>
      <c r="T854" s="155"/>
      <c r="U854" s="155"/>
      <c r="V854" s="161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</row>
    <row r="855" ht="15.7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220"/>
      <c r="L855" s="155"/>
      <c r="M855" s="167"/>
      <c r="N855" s="167"/>
      <c r="O855" s="155"/>
      <c r="P855" s="155"/>
      <c r="Q855" s="155"/>
      <c r="R855" s="155"/>
      <c r="S855" s="155"/>
      <c r="T855" s="155"/>
      <c r="U855" s="155"/>
      <c r="V855" s="161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</row>
    <row r="856" ht="15.7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220"/>
      <c r="L856" s="155"/>
      <c r="M856" s="167"/>
      <c r="N856" s="167"/>
      <c r="O856" s="155"/>
      <c r="P856" s="155"/>
      <c r="Q856" s="155"/>
      <c r="R856" s="155"/>
      <c r="S856" s="155"/>
      <c r="T856" s="155"/>
      <c r="U856" s="155"/>
      <c r="V856" s="161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</row>
    <row r="857" ht="15.7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220"/>
      <c r="L857" s="155"/>
      <c r="M857" s="167"/>
      <c r="N857" s="167"/>
      <c r="O857" s="155"/>
      <c r="P857" s="155"/>
      <c r="Q857" s="155"/>
      <c r="R857" s="155"/>
      <c r="S857" s="155"/>
      <c r="T857" s="155"/>
      <c r="U857" s="155"/>
      <c r="V857" s="161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</row>
    <row r="858" ht="15.7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220"/>
      <c r="L858" s="155"/>
      <c r="M858" s="167"/>
      <c r="N858" s="167"/>
      <c r="O858" s="155"/>
      <c r="P858" s="155"/>
      <c r="Q858" s="155"/>
      <c r="R858" s="155"/>
      <c r="S858" s="155"/>
      <c r="T858" s="155"/>
      <c r="U858" s="155"/>
      <c r="V858" s="161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</row>
    <row r="859" ht="15.7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220"/>
      <c r="L859" s="155"/>
      <c r="M859" s="167"/>
      <c r="N859" s="167"/>
      <c r="O859" s="155"/>
      <c r="P859" s="155"/>
      <c r="Q859" s="155"/>
      <c r="R859" s="155"/>
      <c r="S859" s="155"/>
      <c r="T859" s="155"/>
      <c r="U859" s="155"/>
      <c r="V859" s="161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</row>
    <row r="860" ht="15.7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220"/>
      <c r="L860" s="155"/>
      <c r="M860" s="167"/>
      <c r="N860" s="167"/>
      <c r="O860" s="155"/>
      <c r="P860" s="155"/>
      <c r="Q860" s="155"/>
      <c r="R860" s="155"/>
      <c r="S860" s="155"/>
      <c r="T860" s="155"/>
      <c r="U860" s="155"/>
      <c r="V860" s="161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</row>
    <row r="861" ht="15.7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220"/>
      <c r="L861" s="155"/>
      <c r="M861" s="167"/>
      <c r="N861" s="167"/>
      <c r="O861" s="155"/>
      <c r="P861" s="155"/>
      <c r="Q861" s="155"/>
      <c r="R861" s="155"/>
      <c r="S861" s="155"/>
      <c r="T861" s="155"/>
      <c r="U861" s="155"/>
      <c r="V861" s="161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</row>
    <row r="862" ht="15.7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220"/>
      <c r="L862" s="155"/>
      <c r="M862" s="167"/>
      <c r="N862" s="167"/>
      <c r="O862" s="155"/>
      <c r="P862" s="155"/>
      <c r="Q862" s="155"/>
      <c r="R862" s="155"/>
      <c r="S862" s="155"/>
      <c r="T862" s="155"/>
      <c r="U862" s="155"/>
      <c r="V862" s="161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</row>
    <row r="863" ht="15.7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220"/>
      <c r="L863" s="155"/>
      <c r="M863" s="167"/>
      <c r="N863" s="167"/>
      <c r="O863" s="155"/>
      <c r="P863" s="155"/>
      <c r="Q863" s="155"/>
      <c r="R863" s="155"/>
      <c r="S863" s="155"/>
      <c r="T863" s="155"/>
      <c r="U863" s="155"/>
      <c r="V863" s="161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</row>
    <row r="864" ht="15.7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220"/>
      <c r="L864" s="155"/>
      <c r="M864" s="167"/>
      <c r="N864" s="167"/>
      <c r="O864" s="155"/>
      <c r="P864" s="155"/>
      <c r="Q864" s="155"/>
      <c r="R864" s="155"/>
      <c r="S864" s="155"/>
      <c r="T864" s="155"/>
      <c r="U864" s="155"/>
      <c r="V864" s="161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</row>
    <row r="865" ht="15.7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220"/>
      <c r="L865" s="155"/>
      <c r="M865" s="167"/>
      <c r="N865" s="167"/>
      <c r="O865" s="155"/>
      <c r="P865" s="155"/>
      <c r="Q865" s="155"/>
      <c r="R865" s="155"/>
      <c r="S865" s="155"/>
      <c r="T865" s="155"/>
      <c r="U865" s="155"/>
      <c r="V865" s="161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</row>
    <row r="866" ht="15.7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220"/>
      <c r="L866" s="155"/>
      <c r="M866" s="167"/>
      <c r="N866" s="167"/>
      <c r="O866" s="155"/>
      <c r="P866" s="155"/>
      <c r="Q866" s="155"/>
      <c r="R866" s="155"/>
      <c r="S866" s="155"/>
      <c r="T866" s="155"/>
      <c r="U866" s="155"/>
      <c r="V866" s="161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</row>
    <row r="867" ht="15.7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220"/>
      <c r="L867" s="155"/>
      <c r="M867" s="167"/>
      <c r="N867" s="167"/>
      <c r="O867" s="155"/>
      <c r="P867" s="155"/>
      <c r="Q867" s="155"/>
      <c r="R867" s="155"/>
      <c r="S867" s="155"/>
      <c r="T867" s="155"/>
      <c r="U867" s="155"/>
      <c r="V867" s="161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</row>
    <row r="868" ht="15.7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220"/>
      <c r="L868" s="155"/>
      <c r="M868" s="167"/>
      <c r="N868" s="167"/>
      <c r="O868" s="155"/>
      <c r="P868" s="155"/>
      <c r="Q868" s="155"/>
      <c r="R868" s="155"/>
      <c r="S868" s="155"/>
      <c r="T868" s="155"/>
      <c r="U868" s="155"/>
      <c r="V868" s="161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</row>
    <row r="869" ht="15.7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220"/>
      <c r="L869" s="155"/>
      <c r="M869" s="167"/>
      <c r="N869" s="167"/>
      <c r="O869" s="155"/>
      <c r="P869" s="155"/>
      <c r="Q869" s="155"/>
      <c r="R869" s="155"/>
      <c r="S869" s="155"/>
      <c r="T869" s="155"/>
      <c r="U869" s="155"/>
      <c r="V869" s="161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</row>
    <row r="870" ht="15.7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220"/>
      <c r="L870" s="155"/>
      <c r="M870" s="167"/>
      <c r="N870" s="167"/>
      <c r="O870" s="155"/>
      <c r="P870" s="155"/>
      <c r="Q870" s="155"/>
      <c r="R870" s="155"/>
      <c r="S870" s="155"/>
      <c r="T870" s="155"/>
      <c r="U870" s="155"/>
      <c r="V870" s="161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</row>
    <row r="871" ht="15.7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220"/>
      <c r="L871" s="155"/>
      <c r="M871" s="167"/>
      <c r="N871" s="167"/>
      <c r="O871" s="155"/>
      <c r="P871" s="155"/>
      <c r="Q871" s="155"/>
      <c r="R871" s="155"/>
      <c r="S871" s="155"/>
      <c r="T871" s="155"/>
      <c r="U871" s="155"/>
      <c r="V871" s="161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</row>
    <row r="872" ht="15.7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220"/>
      <c r="L872" s="155"/>
      <c r="M872" s="167"/>
      <c r="N872" s="167"/>
      <c r="O872" s="155"/>
      <c r="P872" s="155"/>
      <c r="Q872" s="155"/>
      <c r="R872" s="155"/>
      <c r="S872" s="155"/>
      <c r="T872" s="155"/>
      <c r="U872" s="155"/>
      <c r="V872" s="161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</row>
    <row r="873" ht="15.7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220"/>
      <c r="L873" s="155"/>
      <c r="M873" s="167"/>
      <c r="N873" s="167"/>
      <c r="O873" s="155"/>
      <c r="P873" s="155"/>
      <c r="Q873" s="155"/>
      <c r="R873" s="155"/>
      <c r="S873" s="155"/>
      <c r="T873" s="155"/>
      <c r="U873" s="155"/>
      <c r="V873" s="161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</row>
    <row r="874" ht="15.7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220"/>
      <c r="L874" s="155"/>
      <c r="M874" s="167"/>
      <c r="N874" s="167"/>
      <c r="O874" s="155"/>
      <c r="P874" s="155"/>
      <c r="Q874" s="155"/>
      <c r="R874" s="155"/>
      <c r="S874" s="155"/>
      <c r="T874" s="155"/>
      <c r="U874" s="155"/>
      <c r="V874" s="161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</row>
    <row r="875" ht="15.7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220"/>
      <c r="L875" s="155"/>
      <c r="M875" s="167"/>
      <c r="N875" s="167"/>
      <c r="O875" s="155"/>
      <c r="P875" s="155"/>
      <c r="Q875" s="155"/>
      <c r="R875" s="155"/>
      <c r="S875" s="155"/>
      <c r="T875" s="155"/>
      <c r="U875" s="155"/>
      <c r="V875" s="161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</row>
    <row r="876" ht="15.7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220"/>
      <c r="L876" s="155"/>
      <c r="M876" s="167"/>
      <c r="N876" s="167"/>
      <c r="O876" s="155"/>
      <c r="P876" s="155"/>
      <c r="Q876" s="155"/>
      <c r="R876" s="155"/>
      <c r="S876" s="155"/>
      <c r="T876" s="155"/>
      <c r="U876" s="155"/>
      <c r="V876" s="161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</row>
    <row r="877" ht="15.7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220"/>
      <c r="L877" s="155"/>
      <c r="M877" s="167"/>
      <c r="N877" s="167"/>
      <c r="O877" s="155"/>
      <c r="P877" s="155"/>
      <c r="Q877" s="155"/>
      <c r="R877" s="155"/>
      <c r="S877" s="155"/>
      <c r="T877" s="155"/>
      <c r="U877" s="155"/>
      <c r="V877" s="161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</row>
    <row r="878" ht="15.7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220"/>
      <c r="L878" s="155"/>
      <c r="M878" s="167"/>
      <c r="N878" s="167"/>
      <c r="O878" s="155"/>
      <c r="P878" s="155"/>
      <c r="Q878" s="155"/>
      <c r="R878" s="155"/>
      <c r="S878" s="155"/>
      <c r="T878" s="155"/>
      <c r="U878" s="155"/>
      <c r="V878" s="161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</row>
    <row r="879" ht="15.7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220"/>
      <c r="L879" s="155"/>
      <c r="M879" s="167"/>
      <c r="N879" s="167"/>
      <c r="O879" s="155"/>
      <c r="P879" s="155"/>
      <c r="Q879" s="155"/>
      <c r="R879" s="155"/>
      <c r="S879" s="155"/>
      <c r="T879" s="155"/>
      <c r="U879" s="155"/>
      <c r="V879" s="161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</row>
    <row r="880" ht="15.7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220"/>
      <c r="L880" s="155"/>
      <c r="M880" s="167"/>
      <c r="N880" s="167"/>
      <c r="O880" s="155"/>
      <c r="P880" s="155"/>
      <c r="Q880" s="155"/>
      <c r="R880" s="155"/>
      <c r="S880" s="155"/>
      <c r="T880" s="155"/>
      <c r="U880" s="155"/>
      <c r="V880" s="161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</row>
    <row r="881" ht="15.7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220"/>
      <c r="L881" s="155"/>
      <c r="M881" s="167"/>
      <c r="N881" s="167"/>
      <c r="O881" s="155"/>
      <c r="P881" s="155"/>
      <c r="Q881" s="155"/>
      <c r="R881" s="155"/>
      <c r="S881" s="155"/>
      <c r="T881" s="155"/>
      <c r="U881" s="155"/>
      <c r="V881" s="161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</row>
    <row r="882" ht="15.7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220"/>
      <c r="L882" s="155"/>
      <c r="M882" s="167"/>
      <c r="N882" s="167"/>
      <c r="O882" s="155"/>
      <c r="P882" s="155"/>
      <c r="Q882" s="155"/>
      <c r="R882" s="155"/>
      <c r="S882" s="155"/>
      <c r="T882" s="155"/>
      <c r="U882" s="155"/>
      <c r="V882" s="161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</row>
    <row r="883" ht="15.7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220"/>
      <c r="L883" s="155"/>
      <c r="M883" s="167"/>
      <c r="N883" s="167"/>
      <c r="O883" s="155"/>
      <c r="P883" s="155"/>
      <c r="Q883" s="155"/>
      <c r="R883" s="155"/>
      <c r="S883" s="155"/>
      <c r="T883" s="155"/>
      <c r="U883" s="155"/>
      <c r="V883" s="161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</row>
    <row r="884" ht="15.7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220"/>
      <c r="L884" s="155"/>
      <c r="M884" s="167"/>
      <c r="N884" s="167"/>
      <c r="O884" s="155"/>
      <c r="P884" s="155"/>
      <c r="Q884" s="155"/>
      <c r="R884" s="155"/>
      <c r="S884" s="155"/>
      <c r="T884" s="155"/>
      <c r="U884" s="155"/>
      <c r="V884" s="161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</row>
    <row r="885" ht="15.7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220"/>
      <c r="L885" s="155"/>
      <c r="M885" s="167"/>
      <c r="N885" s="167"/>
      <c r="O885" s="155"/>
      <c r="P885" s="155"/>
      <c r="Q885" s="155"/>
      <c r="R885" s="155"/>
      <c r="S885" s="155"/>
      <c r="T885" s="155"/>
      <c r="U885" s="155"/>
      <c r="V885" s="161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</row>
    <row r="886" ht="15.7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220"/>
      <c r="L886" s="155"/>
      <c r="M886" s="167"/>
      <c r="N886" s="167"/>
      <c r="O886" s="155"/>
      <c r="P886" s="155"/>
      <c r="Q886" s="155"/>
      <c r="R886" s="155"/>
      <c r="S886" s="155"/>
      <c r="T886" s="155"/>
      <c r="U886" s="155"/>
      <c r="V886" s="161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</row>
    <row r="887" ht="15.7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220"/>
      <c r="L887" s="155"/>
      <c r="M887" s="167"/>
      <c r="N887" s="167"/>
      <c r="O887" s="155"/>
      <c r="P887" s="155"/>
      <c r="Q887" s="155"/>
      <c r="R887" s="155"/>
      <c r="S887" s="155"/>
      <c r="T887" s="155"/>
      <c r="U887" s="155"/>
      <c r="V887" s="161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</row>
    <row r="888" ht="15.7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220"/>
      <c r="L888" s="155"/>
      <c r="M888" s="167"/>
      <c r="N888" s="167"/>
      <c r="O888" s="155"/>
      <c r="P888" s="155"/>
      <c r="Q888" s="155"/>
      <c r="R888" s="155"/>
      <c r="S888" s="155"/>
      <c r="T888" s="155"/>
      <c r="U888" s="155"/>
      <c r="V888" s="161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</row>
    <row r="889" ht="15.7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220"/>
      <c r="L889" s="155"/>
      <c r="M889" s="167"/>
      <c r="N889" s="167"/>
      <c r="O889" s="155"/>
      <c r="P889" s="155"/>
      <c r="Q889" s="155"/>
      <c r="R889" s="155"/>
      <c r="S889" s="155"/>
      <c r="T889" s="155"/>
      <c r="U889" s="155"/>
      <c r="V889" s="161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</row>
    <row r="890" ht="15.7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220"/>
      <c r="L890" s="155"/>
      <c r="M890" s="167"/>
      <c r="N890" s="167"/>
      <c r="O890" s="155"/>
      <c r="P890" s="155"/>
      <c r="Q890" s="155"/>
      <c r="R890" s="155"/>
      <c r="S890" s="155"/>
      <c r="T890" s="155"/>
      <c r="U890" s="155"/>
      <c r="V890" s="161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</row>
    <row r="891" ht="15.7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220"/>
      <c r="L891" s="155"/>
      <c r="M891" s="167"/>
      <c r="N891" s="167"/>
      <c r="O891" s="155"/>
      <c r="P891" s="155"/>
      <c r="Q891" s="155"/>
      <c r="R891" s="155"/>
      <c r="S891" s="155"/>
      <c r="T891" s="155"/>
      <c r="U891" s="155"/>
      <c r="V891" s="161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</row>
    <row r="892" ht="15.7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220"/>
      <c r="L892" s="155"/>
      <c r="M892" s="167"/>
      <c r="N892" s="167"/>
      <c r="O892" s="155"/>
      <c r="P892" s="155"/>
      <c r="Q892" s="155"/>
      <c r="R892" s="155"/>
      <c r="S892" s="155"/>
      <c r="T892" s="155"/>
      <c r="U892" s="155"/>
      <c r="V892" s="161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</row>
    <row r="893" ht="15.7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220"/>
      <c r="L893" s="155"/>
      <c r="M893" s="167"/>
      <c r="N893" s="167"/>
      <c r="O893" s="155"/>
      <c r="P893" s="155"/>
      <c r="Q893" s="155"/>
      <c r="R893" s="155"/>
      <c r="S893" s="155"/>
      <c r="T893" s="155"/>
      <c r="U893" s="155"/>
      <c r="V893" s="161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</row>
    <row r="894" ht="15.7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220"/>
      <c r="L894" s="155"/>
      <c r="M894" s="167"/>
      <c r="N894" s="167"/>
      <c r="O894" s="155"/>
      <c r="P894" s="155"/>
      <c r="Q894" s="155"/>
      <c r="R894" s="155"/>
      <c r="S894" s="155"/>
      <c r="T894" s="155"/>
      <c r="U894" s="155"/>
      <c r="V894" s="161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</row>
    <row r="895" ht="15.7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220"/>
      <c r="L895" s="155"/>
      <c r="M895" s="167"/>
      <c r="N895" s="167"/>
      <c r="O895" s="155"/>
      <c r="P895" s="155"/>
      <c r="Q895" s="155"/>
      <c r="R895" s="155"/>
      <c r="S895" s="155"/>
      <c r="T895" s="155"/>
      <c r="U895" s="155"/>
      <c r="V895" s="161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</row>
    <row r="896" ht="15.7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220"/>
      <c r="L896" s="155"/>
      <c r="M896" s="167"/>
      <c r="N896" s="167"/>
      <c r="O896" s="155"/>
      <c r="P896" s="155"/>
      <c r="Q896" s="155"/>
      <c r="R896" s="155"/>
      <c r="S896" s="155"/>
      <c r="T896" s="155"/>
      <c r="U896" s="155"/>
      <c r="V896" s="161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</row>
    <row r="897" ht="15.7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220"/>
      <c r="L897" s="155"/>
      <c r="M897" s="167"/>
      <c r="N897" s="167"/>
      <c r="O897" s="155"/>
      <c r="P897" s="155"/>
      <c r="Q897" s="155"/>
      <c r="R897" s="155"/>
      <c r="S897" s="155"/>
      <c r="T897" s="155"/>
      <c r="U897" s="155"/>
      <c r="V897" s="161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</row>
    <row r="898" ht="15.7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220"/>
      <c r="L898" s="155"/>
      <c r="M898" s="167"/>
      <c r="N898" s="167"/>
      <c r="O898" s="155"/>
      <c r="P898" s="155"/>
      <c r="Q898" s="155"/>
      <c r="R898" s="155"/>
      <c r="S898" s="155"/>
      <c r="T898" s="155"/>
      <c r="U898" s="155"/>
      <c r="V898" s="161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</row>
    <row r="899" ht="15.7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220"/>
      <c r="L899" s="155"/>
      <c r="M899" s="167"/>
      <c r="N899" s="167"/>
      <c r="O899" s="155"/>
      <c r="P899" s="155"/>
      <c r="Q899" s="155"/>
      <c r="R899" s="155"/>
      <c r="S899" s="155"/>
      <c r="T899" s="155"/>
      <c r="U899" s="155"/>
      <c r="V899" s="161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</row>
    <row r="900" ht="15.7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220"/>
      <c r="L900" s="155"/>
      <c r="M900" s="167"/>
      <c r="N900" s="167"/>
      <c r="O900" s="155"/>
      <c r="P900" s="155"/>
      <c r="Q900" s="155"/>
      <c r="R900" s="155"/>
      <c r="S900" s="155"/>
      <c r="T900" s="155"/>
      <c r="U900" s="155"/>
      <c r="V900" s="161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</row>
    <row r="901" ht="15.7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220"/>
      <c r="L901" s="155"/>
      <c r="M901" s="167"/>
      <c r="N901" s="167"/>
      <c r="O901" s="155"/>
      <c r="P901" s="155"/>
      <c r="Q901" s="155"/>
      <c r="R901" s="155"/>
      <c r="S901" s="155"/>
      <c r="T901" s="155"/>
      <c r="U901" s="155"/>
      <c r="V901" s="161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</row>
    <row r="902" ht="15.7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220"/>
      <c r="L902" s="155"/>
      <c r="M902" s="167"/>
      <c r="N902" s="167"/>
      <c r="O902" s="155"/>
      <c r="P902" s="155"/>
      <c r="Q902" s="155"/>
      <c r="R902" s="155"/>
      <c r="S902" s="155"/>
      <c r="T902" s="155"/>
      <c r="U902" s="155"/>
      <c r="V902" s="161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</row>
    <row r="903" ht="15.7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220"/>
      <c r="L903" s="155"/>
      <c r="M903" s="167"/>
      <c r="N903" s="167"/>
      <c r="O903" s="155"/>
      <c r="P903" s="155"/>
      <c r="Q903" s="155"/>
      <c r="R903" s="155"/>
      <c r="S903" s="155"/>
      <c r="T903" s="155"/>
      <c r="U903" s="155"/>
      <c r="V903" s="161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</row>
    <row r="904" ht="15.7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220"/>
      <c r="L904" s="155"/>
      <c r="M904" s="167"/>
      <c r="N904" s="167"/>
      <c r="O904" s="155"/>
      <c r="P904" s="155"/>
      <c r="Q904" s="155"/>
      <c r="R904" s="155"/>
      <c r="S904" s="155"/>
      <c r="T904" s="155"/>
      <c r="U904" s="155"/>
      <c r="V904" s="161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</row>
    <row r="905" ht="15.7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220"/>
      <c r="L905" s="155"/>
      <c r="M905" s="167"/>
      <c r="N905" s="167"/>
      <c r="O905" s="155"/>
      <c r="P905" s="155"/>
      <c r="Q905" s="155"/>
      <c r="R905" s="155"/>
      <c r="S905" s="155"/>
      <c r="T905" s="155"/>
      <c r="U905" s="155"/>
      <c r="V905" s="161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</row>
    <row r="906" ht="15.7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220"/>
      <c r="L906" s="155"/>
      <c r="M906" s="167"/>
      <c r="N906" s="167"/>
      <c r="O906" s="155"/>
      <c r="P906" s="155"/>
      <c r="Q906" s="155"/>
      <c r="R906" s="155"/>
      <c r="S906" s="155"/>
      <c r="T906" s="155"/>
      <c r="U906" s="155"/>
      <c r="V906" s="161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</row>
    <row r="907" ht="15.7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220"/>
      <c r="L907" s="155"/>
      <c r="M907" s="167"/>
      <c r="N907" s="167"/>
      <c r="O907" s="155"/>
      <c r="P907" s="155"/>
      <c r="Q907" s="155"/>
      <c r="R907" s="155"/>
      <c r="S907" s="155"/>
      <c r="T907" s="155"/>
      <c r="U907" s="155"/>
      <c r="V907" s="161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</row>
    <row r="908" ht="15.7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220"/>
      <c r="L908" s="155"/>
      <c r="M908" s="167"/>
      <c r="N908" s="167"/>
      <c r="O908" s="155"/>
      <c r="P908" s="155"/>
      <c r="Q908" s="155"/>
      <c r="R908" s="155"/>
      <c r="S908" s="155"/>
      <c r="T908" s="155"/>
      <c r="U908" s="155"/>
      <c r="V908" s="161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</row>
    <row r="909" ht="15.7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220"/>
      <c r="L909" s="155"/>
      <c r="M909" s="167"/>
      <c r="N909" s="167"/>
      <c r="O909" s="155"/>
      <c r="P909" s="155"/>
      <c r="Q909" s="155"/>
      <c r="R909" s="155"/>
      <c r="S909" s="155"/>
      <c r="T909" s="155"/>
      <c r="U909" s="155"/>
      <c r="V909" s="161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</row>
    <row r="910" ht="15.7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220"/>
      <c r="L910" s="155"/>
      <c r="M910" s="167"/>
      <c r="N910" s="167"/>
      <c r="O910" s="155"/>
      <c r="P910" s="155"/>
      <c r="Q910" s="155"/>
      <c r="R910" s="155"/>
      <c r="S910" s="155"/>
      <c r="T910" s="155"/>
      <c r="U910" s="155"/>
      <c r="V910" s="161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</row>
    <row r="911" ht="15.7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220"/>
      <c r="L911" s="155"/>
      <c r="M911" s="167"/>
      <c r="N911" s="167"/>
      <c r="O911" s="155"/>
      <c r="P911" s="155"/>
      <c r="Q911" s="155"/>
      <c r="R911" s="155"/>
      <c r="S911" s="155"/>
      <c r="T911" s="155"/>
      <c r="U911" s="155"/>
      <c r="V911" s="161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</row>
    <row r="912" ht="15.7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220"/>
      <c r="L912" s="155"/>
      <c r="M912" s="167"/>
      <c r="N912" s="167"/>
      <c r="O912" s="155"/>
      <c r="P912" s="155"/>
      <c r="Q912" s="155"/>
      <c r="R912" s="155"/>
      <c r="S912" s="155"/>
      <c r="T912" s="155"/>
      <c r="U912" s="155"/>
      <c r="V912" s="161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</row>
    <row r="913" ht="15.7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220"/>
      <c r="L913" s="155"/>
      <c r="M913" s="167"/>
      <c r="N913" s="167"/>
      <c r="O913" s="155"/>
      <c r="P913" s="155"/>
      <c r="Q913" s="155"/>
      <c r="R913" s="155"/>
      <c r="S913" s="155"/>
      <c r="T913" s="155"/>
      <c r="U913" s="155"/>
      <c r="V913" s="161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</row>
    <row r="914" ht="15.7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220"/>
      <c r="L914" s="155"/>
      <c r="M914" s="167"/>
      <c r="N914" s="167"/>
      <c r="O914" s="155"/>
      <c r="P914" s="155"/>
      <c r="Q914" s="155"/>
      <c r="R914" s="155"/>
      <c r="S914" s="155"/>
      <c r="T914" s="155"/>
      <c r="U914" s="155"/>
      <c r="V914" s="161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</row>
    <row r="915" ht="15.75" customHeight="1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220"/>
      <c r="L915" s="155"/>
      <c r="M915" s="167"/>
      <c r="N915" s="167"/>
      <c r="O915" s="155"/>
      <c r="P915" s="155"/>
      <c r="Q915" s="155"/>
      <c r="R915" s="155"/>
      <c r="S915" s="155"/>
      <c r="T915" s="155"/>
      <c r="U915" s="155"/>
      <c r="V915" s="161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</row>
    <row r="916" ht="15.75" customHeight="1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220"/>
      <c r="L916" s="155"/>
      <c r="M916" s="167"/>
      <c r="N916" s="167"/>
      <c r="O916" s="155"/>
      <c r="P916" s="155"/>
      <c r="Q916" s="155"/>
      <c r="R916" s="155"/>
      <c r="S916" s="155"/>
      <c r="T916" s="155"/>
      <c r="U916" s="155"/>
      <c r="V916" s="161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</row>
    <row r="917" ht="15.75" customHeight="1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220"/>
      <c r="L917" s="155"/>
      <c r="M917" s="167"/>
      <c r="N917" s="167"/>
      <c r="O917" s="155"/>
      <c r="P917" s="155"/>
      <c r="Q917" s="155"/>
      <c r="R917" s="155"/>
      <c r="S917" s="155"/>
      <c r="T917" s="155"/>
      <c r="U917" s="155"/>
      <c r="V917" s="161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</row>
    <row r="918" ht="15.75" customHeight="1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220"/>
      <c r="L918" s="155"/>
      <c r="M918" s="167"/>
      <c r="N918" s="167"/>
      <c r="O918" s="155"/>
      <c r="P918" s="155"/>
      <c r="Q918" s="155"/>
      <c r="R918" s="155"/>
      <c r="S918" s="155"/>
      <c r="T918" s="155"/>
      <c r="U918" s="155"/>
      <c r="V918" s="161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</row>
    <row r="919" ht="15.75" customHeight="1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220"/>
      <c r="L919" s="155"/>
      <c r="M919" s="167"/>
      <c r="N919" s="167"/>
      <c r="O919" s="155"/>
      <c r="P919" s="155"/>
      <c r="Q919" s="155"/>
      <c r="R919" s="155"/>
      <c r="S919" s="155"/>
      <c r="T919" s="155"/>
      <c r="U919" s="155"/>
      <c r="V919" s="161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</row>
    <row r="920" ht="15.75" customHeight="1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220"/>
      <c r="L920" s="155"/>
      <c r="M920" s="167"/>
      <c r="N920" s="167"/>
      <c r="O920" s="155"/>
      <c r="P920" s="155"/>
      <c r="Q920" s="155"/>
      <c r="R920" s="155"/>
      <c r="S920" s="155"/>
      <c r="T920" s="155"/>
      <c r="U920" s="155"/>
      <c r="V920" s="161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</row>
    <row r="921" ht="15.75" customHeight="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220"/>
      <c r="L921" s="155"/>
      <c r="M921" s="167"/>
      <c r="N921" s="167"/>
      <c r="O921" s="155"/>
      <c r="P921" s="155"/>
      <c r="Q921" s="155"/>
      <c r="R921" s="155"/>
      <c r="S921" s="155"/>
      <c r="T921" s="155"/>
      <c r="U921" s="155"/>
      <c r="V921" s="161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</row>
    <row r="922" ht="15.75" customHeight="1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220"/>
      <c r="L922" s="155"/>
      <c r="M922" s="167"/>
      <c r="N922" s="167"/>
      <c r="O922" s="155"/>
      <c r="P922" s="155"/>
      <c r="Q922" s="155"/>
      <c r="R922" s="155"/>
      <c r="S922" s="155"/>
      <c r="T922" s="155"/>
      <c r="U922" s="155"/>
      <c r="V922" s="161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</row>
    <row r="923" ht="15.75" customHeight="1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220"/>
      <c r="L923" s="155"/>
      <c r="M923" s="167"/>
      <c r="N923" s="167"/>
      <c r="O923" s="155"/>
      <c r="P923" s="155"/>
      <c r="Q923" s="155"/>
      <c r="R923" s="155"/>
      <c r="S923" s="155"/>
      <c r="T923" s="155"/>
      <c r="U923" s="155"/>
      <c r="V923" s="161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</row>
    <row r="924" ht="15.75" customHeight="1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220"/>
      <c r="L924" s="155"/>
      <c r="M924" s="167"/>
      <c r="N924" s="167"/>
      <c r="O924" s="155"/>
      <c r="P924" s="155"/>
      <c r="Q924" s="155"/>
      <c r="R924" s="155"/>
      <c r="S924" s="155"/>
      <c r="T924" s="155"/>
      <c r="U924" s="155"/>
      <c r="V924" s="161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</row>
    <row r="925" ht="15.75" customHeight="1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220"/>
      <c r="L925" s="155"/>
      <c r="M925" s="167"/>
      <c r="N925" s="167"/>
      <c r="O925" s="155"/>
      <c r="P925" s="155"/>
      <c r="Q925" s="155"/>
      <c r="R925" s="155"/>
      <c r="S925" s="155"/>
      <c r="T925" s="155"/>
      <c r="U925" s="155"/>
      <c r="V925" s="161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</row>
    <row r="926" ht="15.75" customHeight="1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220"/>
      <c r="L926" s="155"/>
      <c r="M926" s="167"/>
      <c r="N926" s="167"/>
      <c r="O926" s="155"/>
      <c r="P926" s="155"/>
      <c r="Q926" s="155"/>
      <c r="R926" s="155"/>
      <c r="S926" s="155"/>
      <c r="T926" s="155"/>
      <c r="U926" s="155"/>
      <c r="V926" s="161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</row>
    <row r="927" ht="15.75" customHeight="1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220"/>
      <c r="L927" s="155"/>
      <c r="M927" s="167"/>
      <c r="N927" s="167"/>
      <c r="O927" s="155"/>
      <c r="P927" s="155"/>
      <c r="Q927" s="155"/>
      <c r="R927" s="155"/>
      <c r="S927" s="155"/>
      <c r="T927" s="155"/>
      <c r="U927" s="155"/>
      <c r="V927" s="161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</row>
    <row r="928" ht="15.75" customHeight="1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220"/>
      <c r="L928" s="155"/>
      <c r="M928" s="167"/>
      <c r="N928" s="167"/>
      <c r="O928" s="155"/>
      <c r="P928" s="155"/>
      <c r="Q928" s="155"/>
      <c r="R928" s="155"/>
      <c r="S928" s="155"/>
      <c r="T928" s="155"/>
      <c r="U928" s="155"/>
      <c r="V928" s="161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</row>
    <row r="929" ht="15.75" customHeight="1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220"/>
      <c r="L929" s="155"/>
      <c r="M929" s="167"/>
      <c r="N929" s="167"/>
      <c r="O929" s="155"/>
      <c r="P929" s="155"/>
      <c r="Q929" s="155"/>
      <c r="R929" s="155"/>
      <c r="S929" s="155"/>
      <c r="T929" s="155"/>
      <c r="U929" s="155"/>
      <c r="V929" s="161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</row>
    <row r="930" ht="15.75" customHeight="1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220"/>
      <c r="L930" s="155"/>
      <c r="M930" s="167"/>
      <c r="N930" s="167"/>
      <c r="O930" s="155"/>
      <c r="P930" s="155"/>
      <c r="Q930" s="155"/>
      <c r="R930" s="155"/>
      <c r="S930" s="155"/>
      <c r="T930" s="155"/>
      <c r="U930" s="155"/>
      <c r="V930" s="161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</row>
    <row r="931" ht="15.75" customHeight="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220"/>
      <c r="L931" s="155"/>
      <c r="M931" s="167"/>
      <c r="N931" s="167"/>
      <c r="O931" s="155"/>
      <c r="P931" s="155"/>
      <c r="Q931" s="155"/>
      <c r="R931" s="155"/>
      <c r="S931" s="155"/>
      <c r="T931" s="155"/>
      <c r="U931" s="155"/>
      <c r="V931" s="161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</row>
    <row r="932" ht="15.75" customHeight="1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220"/>
      <c r="L932" s="155"/>
      <c r="M932" s="167"/>
      <c r="N932" s="167"/>
      <c r="O932" s="155"/>
      <c r="P932" s="155"/>
      <c r="Q932" s="155"/>
      <c r="R932" s="155"/>
      <c r="S932" s="155"/>
      <c r="T932" s="155"/>
      <c r="U932" s="155"/>
      <c r="V932" s="161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</row>
    <row r="933" ht="15.75" customHeight="1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220"/>
      <c r="L933" s="155"/>
      <c r="M933" s="167"/>
      <c r="N933" s="167"/>
      <c r="O933" s="155"/>
      <c r="P933" s="155"/>
      <c r="Q933" s="155"/>
      <c r="R933" s="155"/>
      <c r="S933" s="155"/>
      <c r="T933" s="155"/>
      <c r="U933" s="155"/>
      <c r="V933" s="161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</row>
    <row r="934" ht="15.75" customHeight="1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220"/>
      <c r="L934" s="155"/>
      <c r="M934" s="167"/>
      <c r="N934" s="167"/>
      <c r="O934" s="155"/>
      <c r="P934" s="155"/>
      <c r="Q934" s="155"/>
      <c r="R934" s="155"/>
      <c r="S934" s="155"/>
      <c r="T934" s="155"/>
      <c r="U934" s="155"/>
      <c r="V934" s="161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</row>
    <row r="935" ht="15.75" customHeight="1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220"/>
      <c r="L935" s="155"/>
      <c r="M935" s="167"/>
      <c r="N935" s="167"/>
      <c r="O935" s="155"/>
      <c r="P935" s="155"/>
      <c r="Q935" s="155"/>
      <c r="R935" s="155"/>
      <c r="S935" s="155"/>
      <c r="T935" s="155"/>
      <c r="U935" s="155"/>
      <c r="V935" s="161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</row>
    <row r="936" ht="15.75" customHeight="1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220"/>
      <c r="L936" s="155"/>
      <c r="M936" s="167"/>
      <c r="N936" s="167"/>
      <c r="O936" s="155"/>
      <c r="P936" s="155"/>
      <c r="Q936" s="155"/>
      <c r="R936" s="155"/>
      <c r="S936" s="155"/>
      <c r="T936" s="155"/>
      <c r="U936" s="155"/>
      <c r="V936" s="161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</row>
    <row r="937" ht="15.75" customHeight="1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220"/>
      <c r="L937" s="155"/>
      <c r="M937" s="167"/>
      <c r="N937" s="167"/>
      <c r="O937" s="155"/>
      <c r="P937" s="155"/>
      <c r="Q937" s="155"/>
      <c r="R937" s="155"/>
      <c r="S937" s="155"/>
      <c r="T937" s="155"/>
      <c r="U937" s="155"/>
      <c r="V937" s="161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</row>
    <row r="938" ht="15.75" customHeight="1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220"/>
      <c r="L938" s="155"/>
      <c r="M938" s="167"/>
      <c r="N938" s="167"/>
      <c r="O938" s="155"/>
      <c r="P938" s="155"/>
      <c r="Q938" s="155"/>
      <c r="R938" s="155"/>
      <c r="S938" s="155"/>
      <c r="T938" s="155"/>
      <c r="U938" s="155"/>
      <c r="V938" s="161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</row>
    <row r="939" ht="15.75" customHeight="1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220"/>
      <c r="L939" s="155"/>
      <c r="M939" s="167"/>
      <c r="N939" s="167"/>
      <c r="O939" s="155"/>
      <c r="P939" s="155"/>
      <c r="Q939" s="155"/>
      <c r="R939" s="155"/>
      <c r="S939" s="155"/>
      <c r="T939" s="155"/>
      <c r="U939" s="155"/>
      <c r="V939" s="161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</row>
    <row r="940" ht="15.75" customHeight="1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220"/>
      <c r="L940" s="155"/>
      <c r="M940" s="167"/>
      <c r="N940" s="167"/>
      <c r="O940" s="155"/>
      <c r="P940" s="155"/>
      <c r="Q940" s="155"/>
      <c r="R940" s="155"/>
      <c r="S940" s="155"/>
      <c r="T940" s="155"/>
      <c r="U940" s="155"/>
      <c r="V940" s="161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</row>
    <row r="941" ht="15.75" customHeight="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220"/>
      <c r="L941" s="155"/>
      <c r="M941" s="167"/>
      <c r="N941" s="167"/>
      <c r="O941" s="155"/>
      <c r="P941" s="155"/>
      <c r="Q941" s="155"/>
      <c r="R941" s="155"/>
      <c r="S941" s="155"/>
      <c r="T941" s="155"/>
      <c r="U941" s="155"/>
      <c r="V941" s="161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</row>
    <row r="942" ht="15.75" customHeight="1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220"/>
      <c r="L942" s="155"/>
      <c r="M942" s="167"/>
      <c r="N942" s="167"/>
      <c r="O942" s="155"/>
      <c r="P942" s="155"/>
      <c r="Q942" s="155"/>
      <c r="R942" s="155"/>
      <c r="S942" s="155"/>
      <c r="T942" s="155"/>
      <c r="U942" s="155"/>
      <c r="V942" s="161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</row>
    <row r="943" ht="15.75" customHeight="1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220"/>
      <c r="L943" s="155"/>
      <c r="M943" s="167"/>
      <c r="N943" s="167"/>
      <c r="O943" s="155"/>
      <c r="P943" s="155"/>
      <c r="Q943" s="155"/>
      <c r="R943" s="155"/>
      <c r="S943" s="155"/>
      <c r="T943" s="155"/>
      <c r="U943" s="155"/>
      <c r="V943" s="161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</row>
    <row r="944" ht="15.75" customHeight="1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220"/>
      <c r="L944" s="155"/>
      <c r="M944" s="167"/>
      <c r="N944" s="167"/>
      <c r="O944" s="155"/>
      <c r="P944" s="155"/>
      <c r="Q944" s="155"/>
      <c r="R944" s="155"/>
      <c r="S944" s="155"/>
      <c r="T944" s="155"/>
      <c r="U944" s="155"/>
      <c r="V944" s="161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</row>
    <row r="945" ht="15.75" customHeight="1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220"/>
      <c r="L945" s="155"/>
      <c r="M945" s="167"/>
      <c r="N945" s="167"/>
      <c r="O945" s="155"/>
      <c r="P945" s="155"/>
      <c r="Q945" s="155"/>
      <c r="R945" s="155"/>
      <c r="S945" s="155"/>
      <c r="T945" s="155"/>
      <c r="U945" s="155"/>
      <c r="V945" s="161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</row>
    <row r="946" ht="15.75" customHeight="1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220"/>
      <c r="L946" s="155"/>
      <c r="M946" s="167"/>
      <c r="N946" s="167"/>
      <c r="O946" s="155"/>
      <c r="P946" s="155"/>
      <c r="Q946" s="155"/>
      <c r="R946" s="155"/>
      <c r="S946" s="155"/>
      <c r="T946" s="155"/>
      <c r="U946" s="155"/>
      <c r="V946" s="161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</row>
    <row r="947" ht="15.75" customHeight="1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220"/>
      <c r="L947" s="155"/>
      <c r="M947" s="167"/>
      <c r="N947" s="167"/>
      <c r="O947" s="155"/>
      <c r="P947" s="155"/>
      <c r="Q947" s="155"/>
      <c r="R947" s="155"/>
      <c r="S947" s="155"/>
      <c r="T947" s="155"/>
      <c r="U947" s="155"/>
      <c r="V947" s="161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</row>
    <row r="948" ht="15.75" customHeight="1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220"/>
      <c r="L948" s="155"/>
      <c r="M948" s="167"/>
      <c r="N948" s="167"/>
      <c r="O948" s="155"/>
      <c r="P948" s="155"/>
      <c r="Q948" s="155"/>
      <c r="R948" s="155"/>
      <c r="S948" s="155"/>
      <c r="T948" s="155"/>
      <c r="U948" s="155"/>
      <c r="V948" s="161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</row>
    <row r="949" ht="15.75" customHeight="1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220"/>
      <c r="L949" s="155"/>
      <c r="M949" s="167"/>
      <c r="N949" s="167"/>
      <c r="O949" s="155"/>
      <c r="P949" s="155"/>
      <c r="Q949" s="155"/>
      <c r="R949" s="155"/>
      <c r="S949" s="155"/>
      <c r="T949" s="155"/>
      <c r="U949" s="155"/>
      <c r="V949" s="161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</row>
    <row r="950" ht="15.75" customHeight="1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220"/>
      <c r="L950" s="155"/>
      <c r="M950" s="167"/>
      <c r="N950" s="167"/>
      <c r="O950" s="155"/>
      <c r="P950" s="155"/>
      <c r="Q950" s="155"/>
      <c r="R950" s="155"/>
      <c r="S950" s="155"/>
      <c r="T950" s="155"/>
      <c r="U950" s="155"/>
      <c r="V950" s="161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</row>
    <row r="951" ht="15.75" customHeight="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220"/>
      <c r="L951" s="155"/>
      <c r="M951" s="167"/>
      <c r="N951" s="167"/>
      <c r="O951" s="155"/>
      <c r="P951" s="155"/>
      <c r="Q951" s="155"/>
      <c r="R951" s="155"/>
      <c r="S951" s="155"/>
      <c r="T951" s="155"/>
      <c r="U951" s="155"/>
      <c r="V951" s="161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</row>
    <row r="952" ht="15.75" customHeight="1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220"/>
      <c r="L952" s="155"/>
      <c r="M952" s="167"/>
      <c r="N952" s="167"/>
      <c r="O952" s="155"/>
      <c r="P952" s="155"/>
      <c r="Q952" s="155"/>
      <c r="R952" s="155"/>
      <c r="S952" s="155"/>
      <c r="T952" s="155"/>
      <c r="U952" s="155"/>
      <c r="V952" s="161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</row>
    <row r="953" ht="15.75" customHeight="1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220"/>
      <c r="L953" s="155"/>
      <c r="M953" s="167"/>
      <c r="N953" s="167"/>
      <c r="O953" s="155"/>
      <c r="P953" s="155"/>
      <c r="Q953" s="155"/>
      <c r="R953" s="155"/>
      <c r="S953" s="155"/>
      <c r="T953" s="155"/>
      <c r="U953" s="155"/>
      <c r="V953" s="161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</row>
    <row r="954" ht="15.75" customHeight="1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220"/>
      <c r="L954" s="155"/>
      <c r="M954" s="167"/>
      <c r="N954" s="167"/>
      <c r="O954" s="155"/>
      <c r="P954" s="155"/>
      <c r="Q954" s="155"/>
      <c r="R954" s="155"/>
      <c r="S954" s="155"/>
      <c r="T954" s="155"/>
      <c r="U954" s="155"/>
      <c r="V954" s="161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</row>
    <row r="955" ht="15.75" customHeight="1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220"/>
      <c r="L955" s="155"/>
      <c r="M955" s="167"/>
      <c r="N955" s="167"/>
      <c r="O955" s="155"/>
      <c r="P955" s="155"/>
      <c r="Q955" s="155"/>
      <c r="R955" s="155"/>
      <c r="S955" s="155"/>
      <c r="T955" s="155"/>
      <c r="U955" s="155"/>
      <c r="V955" s="161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</row>
    <row r="956" ht="15.75" customHeight="1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220"/>
      <c r="L956" s="155"/>
      <c r="M956" s="167"/>
      <c r="N956" s="167"/>
      <c r="O956" s="155"/>
      <c r="P956" s="155"/>
      <c r="Q956" s="155"/>
      <c r="R956" s="155"/>
      <c r="S956" s="155"/>
      <c r="T956" s="155"/>
      <c r="U956" s="155"/>
      <c r="V956" s="161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</row>
    <row r="957" ht="15.75" customHeight="1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220"/>
      <c r="L957" s="155"/>
      <c r="M957" s="167"/>
      <c r="N957" s="167"/>
      <c r="O957" s="155"/>
      <c r="P957" s="155"/>
      <c r="Q957" s="155"/>
      <c r="R957" s="155"/>
      <c r="S957" s="155"/>
      <c r="T957" s="155"/>
      <c r="U957" s="155"/>
      <c r="V957" s="161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</row>
    <row r="958" ht="15.75" customHeight="1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220"/>
      <c r="L958" s="155"/>
      <c r="M958" s="167"/>
      <c r="N958" s="167"/>
      <c r="O958" s="155"/>
      <c r="P958" s="155"/>
      <c r="Q958" s="155"/>
      <c r="R958" s="155"/>
      <c r="S958" s="155"/>
      <c r="T958" s="155"/>
      <c r="U958" s="155"/>
      <c r="V958" s="161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</row>
    <row r="959" ht="15.75" customHeight="1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220"/>
      <c r="L959" s="155"/>
      <c r="M959" s="167"/>
      <c r="N959" s="167"/>
      <c r="O959" s="155"/>
      <c r="P959" s="155"/>
      <c r="Q959" s="155"/>
      <c r="R959" s="155"/>
      <c r="S959" s="155"/>
      <c r="T959" s="155"/>
      <c r="U959" s="155"/>
      <c r="V959" s="161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</row>
    <row r="960" ht="15.75" customHeight="1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220"/>
      <c r="L960" s="155"/>
      <c r="M960" s="167"/>
      <c r="N960" s="167"/>
      <c r="O960" s="155"/>
      <c r="P960" s="155"/>
      <c r="Q960" s="155"/>
      <c r="R960" s="155"/>
      <c r="S960" s="155"/>
      <c r="T960" s="155"/>
      <c r="U960" s="155"/>
      <c r="V960" s="161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</row>
    <row r="961" ht="15.75" customHeight="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220"/>
      <c r="L961" s="155"/>
      <c r="M961" s="167"/>
      <c r="N961" s="167"/>
      <c r="O961" s="155"/>
      <c r="P961" s="155"/>
      <c r="Q961" s="155"/>
      <c r="R961" s="155"/>
      <c r="S961" s="155"/>
      <c r="T961" s="155"/>
      <c r="U961" s="155"/>
      <c r="V961" s="161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</row>
    <row r="962" ht="15.75" customHeight="1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220"/>
      <c r="L962" s="155"/>
      <c r="M962" s="167"/>
      <c r="N962" s="167"/>
      <c r="O962" s="155"/>
      <c r="P962" s="155"/>
      <c r="Q962" s="155"/>
      <c r="R962" s="155"/>
      <c r="S962" s="155"/>
      <c r="T962" s="155"/>
      <c r="U962" s="155"/>
      <c r="V962" s="161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</row>
    <row r="963" ht="15.75" customHeight="1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220"/>
      <c r="L963" s="155"/>
      <c r="M963" s="167"/>
      <c r="N963" s="167"/>
      <c r="O963" s="155"/>
      <c r="P963" s="155"/>
      <c r="Q963" s="155"/>
      <c r="R963" s="155"/>
      <c r="S963" s="155"/>
      <c r="T963" s="155"/>
      <c r="U963" s="155"/>
      <c r="V963" s="161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</row>
    <row r="964" ht="15.75" customHeight="1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220"/>
      <c r="L964" s="155"/>
      <c r="M964" s="167"/>
      <c r="N964" s="167"/>
      <c r="O964" s="155"/>
      <c r="P964" s="155"/>
      <c r="Q964" s="155"/>
      <c r="R964" s="155"/>
      <c r="S964" s="155"/>
      <c r="T964" s="155"/>
      <c r="U964" s="155"/>
      <c r="V964" s="161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</row>
    <row r="965" ht="15.75" customHeight="1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220"/>
      <c r="L965" s="155"/>
      <c r="M965" s="167"/>
      <c r="N965" s="167"/>
      <c r="O965" s="155"/>
      <c r="P965" s="155"/>
      <c r="Q965" s="155"/>
      <c r="R965" s="155"/>
      <c r="S965" s="155"/>
      <c r="T965" s="155"/>
      <c r="U965" s="155"/>
      <c r="V965" s="161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</row>
    <row r="966" ht="15.75" customHeight="1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220"/>
      <c r="L966" s="155"/>
      <c r="M966" s="167"/>
      <c r="N966" s="167"/>
      <c r="O966" s="155"/>
      <c r="P966" s="155"/>
      <c r="Q966" s="155"/>
      <c r="R966" s="155"/>
      <c r="S966" s="155"/>
      <c r="T966" s="155"/>
      <c r="U966" s="155"/>
      <c r="V966" s="161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</row>
    <row r="967" ht="15.75" customHeight="1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220"/>
      <c r="L967" s="155"/>
      <c r="M967" s="167"/>
      <c r="N967" s="167"/>
      <c r="O967" s="155"/>
      <c r="P967" s="155"/>
      <c r="Q967" s="155"/>
      <c r="R967" s="155"/>
      <c r="S967" s="155"/>
      <c r="T967" s="155"/>
      <c r="U967" s="155"/>
      <c r="V967" s="161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</row>
    <row r="968" ht="15.75" customHeight="1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220"/>
      <c r="L968" s="155"/>
      <c r="M968" s="167"/>
      <c r="N968" s="167"/>
      <c r="O968" s="155"/>
      <c r="P968" s="155"/>
      <c r="Q968" s="155"/>
      <c r="R968" s="155"/>
      <c r="S968" s="155"/>
      <c r="T968" s="155"/>
      <c r="U968" s="155"/>
      <c r="V968" s="161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</row>
    <row r="969" ht="15.75" customHeight="1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220"/>
      <c r="L969" s="155"/>
      <c r="M969" s="167"/>
      <c r="N969" s="167"/>
      <c r="O969" s="155"/>
      <c r="P969" s="155"/>
      <c r="Q969" s="155"/>
      <c r="R969" s="155"/>
      <c r="S969" s="155"/>
      <c r="T969" s="155"/>
      <c r="U969" s="155"/>
      <c r="V969" s="161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</row>
    <row r="970" ht="15.75" customHeight="1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220"/>
      <c r="L970" s="155"/>
      <c r="M970" s="167"/>
      <c r="N970" s="167"/>
      <c r="O970" s="155"/>
      <c r="P970" s="155"/>
      <c r="Q970" s="155"/>
      <c r="R970" s="155"/>
      <c r="S970" s="155"/>
      <c r="T970" s="155"/>
      <c r="U970" s="155"/>
      <c r="V970" s="161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</row>
    <row r="971" ht="15.75" customHeight="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220"/>
      <c r="L971" s="155"/>
      <c r="M971" s="167"/>
      <c r="N971" s="167"/>
      <c r="O971" s="155"/>
      <c r="P971" s="155"/>
      <c r="Q971" s="155"/>
      <c r="R971" s="155"/>
      <c r="S971" s="155"/>
      <c r="T971" s="155"/>
      <c r="U971" s="155"/>
      <c r="V971" s="161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</row>
    <row r="972" ht="15.75" customHeight="1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220"/>
      <c r="L972" s="155"/>
      <c r="M972" s="167"/>
      <c r="N972" s="167"/>
      <c r="O972" s="155"/>
      <c r="P972" s="155"/>
      <c r="Q972" s="155"/>
      <c r="R972" s="155"/>
      <c r="S972" s="155"/>
      <c r="T972" s="155"/>
      <c r="U972" s="155"/>
      <c r="V972" s="161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</row>
    <row r="973" ht="15.75" customHeight="1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220"/>
      <c r="L973" s="155"/>
      <c r="M973" s="167"/>
      <c r="N973" s="167"/>
      <c r="O973" s="155"/>
      <c r="P973" s="155"/>
      <c r="Q973" s="155"/>
      <c r="R973" s="155"/>
      <c r="S973" s="155"/>
      <c r="T973" s="155"/>
      <c r="U973" s="155"/>
      <c r="V973" s="161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</row>
    <row r="974" ht="15.75" customHeight="1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220"/>
      <c r="L974" s="155"/>
      <c r="M974" s="167"/>
      <c r="N974" s="167"/>
      <c r="O974" s="155"/>
      <c r="P974" s="155"/>
      <c r="Q974" s="155"/>
      <c r="R974" s="155"/>
      <c r="S974" s="155"/>
      <c r="T974" s="155"/>
      <c r="U974" s="155"/>
      <c r="V974" s="161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</row>
    <row r="975" ht="15.75" customHeight="1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220"/>
      <c r="L975" s="155"/>
      <c r="M975" s="167"/>
      <c r="N975" s="167"/>
      <c r="O975" s="155"/>
      <c r="P975" s="155"/>
      <c r="Q975" s="155"/>
      <c r="R975" s="155"/>
      <c r="S975" s="155"/>
      <c r="T975" s="155"/>
      <c r="U975" s="155"/>
      <c r="V975" s="161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</row>
    <row r="976" ht="15.75" customHeight="1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220"/>
      <c r="L976" s="155"/>
      <c r="M976" s="167"/>
      <c r="N976" s="167"/>
      <c r="O976" s="155"/>
      <c r="P976" s="155"/>
      <c r="Q976" s="155"/>
      <c r="R976" s="155"/>
      <c r="S976" s="155"/>
      <c r="T976" s="155"/>
      <c r="U976" s="155"/>
      <c r="V976" s="161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</row>
    <row r="977" ht="15.75" customHeight="1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220"/>
      <c r="L977" s="155"/>
      <c r="M977" s="167"/>
      <c r="N977" s="167"/>
      <c r="O977" s="155"/>
      <c r="P977" s="155"/>
      <c r="Q977" s="155"/>
      <c r="R977" s="155"/>
      <c r="S977" s="155"/>
      <c r="T977" s="155"/>
      <c r="U977" s="155"/>
      <c r="V977" s="161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</row>
    <row r="978" ht="15.75" customHeight="1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220"/>
      <c r="L978" s="155"/>
      <c r="M978" s="167"/>
      <c r="N978" s="167"/>
      <c r="O978" s="155"/>
      <c r="P978" s="155"/>
      <c r="Q978" s="155"/>
      <c r="R978" s="155"/>
      <c r="S978" s="155"/>
      <c r="T978" s="155"/>
      <c r="U978" s="155"/>
      <c r="V978" s="161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</row>
    <row r="979" ht="15.75" customHeight="1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220"/>
      <c r="L979" s="155"/>
      <c r="M979" s="167"/>
      <c r="N979" s="167"/>
      <c r="O979" s="155"/>
      <c r="P979" s="155"/>
      <c r="Q979" s="155"/>
      <c r="R979" s="155"/>
      <c r="S979" s="155"/>
      <c r="T979" s="155"/>
      <c r="U979" s="155"/>
      <c r="V979" s="161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</row>
    <row r="980" ht="15.75" customHeight="1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220"/>
      <c r="L980" s="155"/>
      <c r="M980" s="167"/>
      <c r="N980" s="167"/>
      <c r="O980" s="155"/>
      <c r="P980" s="155"/>
      <c r="Q980" s="155"/>
      <c r="R980" s="155"/>
      <c r="S980" s="155"/>
      <c r="T980" s="155"/>
      <c r="U980" s="155"/>
      <c r="V980" s="161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</row>
    <row r="981" ht="15.75" customHeight="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220"/>
      <c r="L981" s="155"/>
      <c r="M981" s="167"/>
      <c r="N981" s="167"/>
      <c r="O981" s="155"/>
      <c r="P981" s="155"/>
      <c r="Q981" s="155"/>
      <c r="R981" s="155"/>
      <c r="S981" s="155"/>
      <c r="T981" s="155"/>
      <c r="U981" s="155"/>
      <c r="V981" s="161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</row>
    <row r="982" ht="15.75" customHeight="1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220"/>
      <c r="L982" s="155"/>
      <c r="M982" s="167"/>
      <c r="N982" s="167"/>
      <c r="O982" s="155"/>
      <c r="P982" s="155"/>
      <c r="Q982" s="155"/>
      <c r="R982" s="155"/>
      <c r="S982" s="155"/>
      <c r="T982" s="155"/>
      <c r="U982" s="155"/>
      <c r="V982" s="161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</row>
    <row r="983" ht="15.75" customHeight="1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220"/>
      <c r="L983" s="155"/>
      <c r="M983" s="167"/>
      <c r="N983" s="167"/>
      <c r="O983" s="155"/>
      <c r="P983" s="155"/>
      <c r="Q983" s="155"/>
      <c r="R983" s="155"/>
      <c r="S983" s="155"/>
      <c r="T983" s="155"/>
      <c r="U983" s="155"/>
      <c r="V983" s="161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</row>
    <row r="984" ht="15.75" customHeight="1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220"/>
      <c r="L984" s="155"/>
      <c r="M984" s="167"/>
      <c r="N984" s="167"/>
      <c r="O984" s="155"/>
      <c r="P984" s="155"/>
      <c r="Q984" s="155"/>
      <c r="R984" s="155"/>
      <c r="S984" s="155"/>
      <c r="T984" s="155"/>
      <c r="U984" s="155"/>
      <c r="V984" s="161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</row>
    <row r="985" ht="15.75" customHeight="1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220"/>
      <c r="L985" s="155"/>
      <c r="M985" s="167"/>
      <c r="N985" s="167"/>
      <c r="O985" s="155"/>
      <c r="P985" s="155"/>
      <c r="Q985" s="155"/>
      <c r="R985" s="155"/>
      <c r="S985" s="155"/>
      <c r="T985" s="155"/>
      <c r="U985" s="155"/>
      <c r="V985" s="161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</row>
    <row r="986" ht="15.75" customHeight="1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220"/>
      <c r="L986" s="155"/>
      <c r="M986" s="167"/>
      <c r="N986" s="167"/>
      <c r="O986" s="155"/>
      <c r="P986" s="155"/>
      <c r="Q986" s="155"/>
      <c r="R986" s="155"/>
      <c r="S986" s="155"/>
      <c r="T986" s="155"/>
      <c r="U986" s="155"/>
      <c r="V986" s="161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</row>
    <row r="987" ht="15.75" customHeight="1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220"/>
      <c r="L987" s="155"/>
      <c r="M987" s="167"/>
      <c r="N987" s="167"/>
      <c r="O987" s="155"/>
      <c r="P987" s="155"/>
      <c r="Q987" s="155"/>
      <c r="R987" s="155"/>
      <c r="S987" s="155"/>
      <c r="T987" s="155"/>
      <c r="U987" s="155"/>
      <c r="V987" s="161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</row>
    <row r="988" ht="15.75" customHeight="1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220"/>
      <c r="L988" s="155"/>
      <c r="M988" s="167"/>
      <c r="N988" s="167"/>
      <c r="O988" s="155"/>
      <c r="P988" s="155"/>
      <c r="Q988" s="155"/>
      <c r="R988" s="155"/>
      <c r="S988" s="155"/>
      <c r="T988" s="155"/>
      <c r="U988" s="155"/>
      <c r="V988" s="161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</row>
    <row r="989" ht="15.75" customHeight="1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220"/>
      <c r="L989" s="155"/>
      <c r="M989" s="167"/>
      <c r="N989" s="167"/>
      <c r="O989" s="155"/>
      <c r="P989" s="155"/>
      <c r="Q989" s="155"/>
      <c r="R989" s="155"/>
      <c r="S989" s="155"/>
      <c r="T989" s="155"/>
      <c r="U989" s="155"/>
      <c r="V989" s="161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</row>
    <row r="990" ht="15.75" customHeight="1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220"/>
      <c r="L990" s="155"/>
      <c r="M990" s="167"/>
      <c r="N990" s="167"/>
      <c r="O990" s="155"/>
      <c r="P990" s="155"/>
      <c r="Q990" s="155"/>
      <c r="R990" s="155"/>
      <c r="S990" s="155"/>
      <c r="T990" s="155"/>
      <c r="U990" s="155"/>
      <c r="V990" s="161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</row>
    <row r="991" ht="15.75" customHeight="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220"/>
      <c r="L991" s="155"/>
      <c r="M991" s="167"/>
      <c r="N991" s="167"/>
      <c r="O991" s="155"/>
      <c r="P991" s="155"/>
      <c r="Q991" s="155"/>
      <c r="R991" s="155"/>
      <c r="S991" s="155"/>
      <c r="T991" s="155"/>
      <c r="U991" s="155"/>
      <c r="V991" s="161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</row>
    <row r="992" ht="15.75" customHeight="1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220"/>
      <c r="L992" s="155"/>
      <c r="M992" s="167"/>
      <c r="N992" s="167"/>
      <c r="O992" s="155"/>
      <c r="P992" s="155"/>
      <c r="Q992" s="155"/>
      <c r="R992" s="155"/>
      <c r="S992" s="155"/>
      <c r="T992" s="155"/>
      <c r="U992" s="155"/>
      <c r="V992" s="161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</row>
    <row r="993" ht="15.75" customHeight="1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220"/>
      <c r="L993" s="155"/>
      <c r="M993" s="167"/>
      <c r="N993" s="167"/>
      <c r="O993" s="155"/>
      <c r="P993" s="155"/>
      <c r="Q993" s="155"/>
      <c r="R993" s="155"/>
      <c r="S993" s="155"/>
      <c r="T993" s="155"/>
      <c r="U993" s="155"/>
      <c r="V993" s="161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</row>
    <row r="994" ht="15.75" customHeight="1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220"/>
      <c r="L994" s="155"/>
      <c r="M994" s="167"/>
      <c r="N994" s="167"/>
      <c r="O994" s="155"/>
      <c r="P994" s="155"/>
      <c r="Q994" s="155"/>
      <c r="R994" s="155"/>
      <c r="S994" s="155"/>
      <c r="T994" s="155"/>
      <c r="U994" s="155"/>
      <c r="V994" s="161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</row>
    <row r="995" ht="15.75" customHeight="1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220"/>
      <c r="L995" s="155"/>
      <c r="M995" s="167"/>
      <c r="N995" s="167"/>
      <c r="O995" s="155"/>
      <c r="P995" s="155"/>
      <c r="Q995" s="155"/>
      <c r="R995" s="155"/>
      <c r="S995" s="155"/>
      <c r="T995" s="155"/>
      <c r="U995" s="155"/>
      <c r="V995" s="161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</row>
    <row r="996" ht="15.75" customHeight="1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220"/>
      <c r="L996" s="155"/>
      <c r="M996" s="167"/>
      <c r="N996" s="167"/>
      <c r="O996" s="155"/>
      <c r="P996" s="155"/>
      <c r="Q996" s="155"/>
      <c r="R996" s="155"/>
      <c r="S996" s="155"/>
      <c r="T996" s="155"/>
      <c r="U996" s="155"/>
      <c r="V996" s="161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</row>
    <row r="997" ht="15.75" customHeight="1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220"/>
      <c r="L997" s="155"/>
      <c r="M997" s="167"/>
      <c r="N997" s="167"/>
      <c r="O997" s="155"/>
      <c r="P997" s="155"/>
      <c r="Q997" s="155"/>
      <c r="R997" s="155"/>
      <c r="S997" s="155"/>
      <c r="T997" s="155"/>
      <c r="U997" s="155"/>
      <c r="V997" s="161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</row>
    <row r="998" ht="15.75" customHeight="1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220"/>
      <c r="L998" s="155"/>
      <c r="M998" s="167"/>
      <c r="N998" s="167"/>
      <c r="O998" s="155"/>
      <c r="P998" s="155"/>
      <c r="Q998" s="155"/>
      <c r="R998" s="155"/>
      <c r="S998" s="155"/>
      <c r="T998" s="155"/>
      <c r="U998" s="155"/>
      <c r="V998" s="161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</row>
    <row r="999" ht="15.75" customHeight="1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220"/>
      <c r="L999" s="155"/>
      <c r="M999" s="167"/>
      <c r="N999" s="167"/>
      <c r="O999" s="155"/>
      <c r="P999" s="155"/>
      <c r="Q999" s="155"/>
      <c r="R999" s="155"/>
      <c r="S999" s="155"/>
      <c r="T999" s="155"/>
      <c r="U999" s="155"/>
      <c r="V999" s="161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</row>
    <row r="1000" ht="15.75" customHeight="1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220"/>
      <c r="L1000" s="155"/>
      <c r="M1000" s="167"/>
      <c r="N1000" s="167"/>
      <c r="O1000" s="155"/>
      <c r="P1000" s="155"/>
      <c r="Q1000" s="155"/>
      <c r="R1000" s="155"/>
      <c r="S1000" s="155"/>
      <c r="T1000" s="155"/>
      <c r="U1000" s="155"/>
      <c r="V1000" s="161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</row>
    <row r="1001" ht="15.75" customHeight="1">
      <c r="A1001" s="155"/>
      <c r="B1001" s="155"/>
      <c r="C1001" s="155"/>
      <c r="D1001" s="155"/>
      <c r="E1001" s="155"/>
      <c r="F1001" s="155"/>
      <c r="G1001" s="155"/>
      <c r="H1001" s="155"/>
      <c r="I1001" s="155"/>
      <c r="J1001" s="155"/>
      <c r="K1001" s="220"/>
      <c r="L1001" s="155"/>
      <c r="M1001" s="167"/>
      <c r="N1001" s="167"/>
      <c r="O1001" s="155"/>
      <c r="P1001" s="155"/>
      <c r="Q1001" s="155"/>
      <c r="R1001" s="155"/>
      <c r="S1001" s="155"/>
      <c r="T1001" s="155"/>
      <c r="U1001" s="155"/>
      <c r="V1001" s="161"/>
      <c r="W1001" s="155"/>
      <c r="X1001" s="155"/>
      <c r="Y1001" s="155"/>
      <c r="Z1001" s="155"/>
      <c r="AA1001" s="155"/>
      <c r="AB1001" s="155"/>
      <c r="AC1001" s="155"/>
      <c r="AD1001" s="155"/>
      <c r="AE1001" s="155"/>
      <c r="AF1001" s="155"/>
      <c r="AG1001" s="155"/>
      <c r="AH1001" s="155"/>
    </row>
    <row r="1002" ht="15.75" customHeight="1">
      <c r="A1002" s="155"/>
      <c r="B1002" s="155"/>
      <c r="C1002" s="155"/>
      <c r="D1002" s="155"/>
      <c r="E1002" s="155"/>
      <c r="F1002" s="155"/>
      <c r="G1002" s="155"/>
      <c r="H1002" s="155"/>
      <c r="I1002" s="155"/>
      <c r="J1002" s="155"/>
      <c r="K1002" s="220"/>
      <c r="L1002" s="155"/>
      <c r="M1002" s="167"/>
      <c r="N1002" s="167"/>
      <c r="O1002" s="155"/>
      <c r="P1002" s="155"/>
      <c r="Q1002" s="155"/>
      <c r="R1002" s="155"/>
      <c r="S1002" s="155"/>
      <c r="T1002" s="155"/>
      <c r="U1002" s="155"/>
      <c r="V1002" s="161"/>
      <c r="W1002" s="155"/>
      <c r="X1002" s="155"/>
      <c r="Y1002" s="155"/>
      <c r="Z1002" s="155"/>
      <c r="AA1002" s="155"/>
      <c r="AB1002" s="155"/>
      <c r="AC1002" s="155"/>
      <c r="AD1002" s="155"/>
      <c r="AE1002" s="155"/>
      <c r="AF1002" s="155"/>
      <c r="AG1002" s="155"/>
      <c r="AH1002" s="155"/>
    </row>
    <row r="1003" ht="15.75" customHeight="1">
      <c r="A1003" s="155"/>
      <c r="B1003" s="155"/>
      <c r="C1003" s="155"/>
      <c r="D1003" s="155"/>
      <c r="E1003" s="155"/>
      <c r="F1003" s="155"/>
      <c r="G1003" s="155"/>
      <c r="H1003" s="155"/>
      <c r="I1003" s="155"/>
      <c r="J1003" s="155"/>
      <c r="K1003" s="220"/>
      <c r="L1003" s="155"/>
      <c r="M1003" s="167"/>
      <c r="N1003" s="167"/>
      <c r="O1003" s="155"/>
      <c r="P1003" s="155"/>
      <c r="Q1003" s="155"/>
      <c r="R1003" s="155"/>
      <c r="S1003" s="155"/>
      <c r="T1003" s="155"/>
      <c r="U1003" s="155"/>
      <c r="V1003" s="161"/>
      <c r="W1003" s="155"/>
      <c r="X1003" s="155"/>
      <c r="Y1003" s="155"/>
      <c r="Z1003" s="155"/>
      <c r="AA1003" s="155"/>
      <c r="AB1003" s="155"/>
      <c r="AC1003" s="155"/>
      <c r="AD1003" s="155"/>
      <c r="AE1003" s="155"/>
      <c r="AF1003" s="155"/>
      <c r="AG1003" s="155"/>
      <c r="AH1003" s="155"/>
    </row>
    <row r="1004" ht="15.75" customHeight="1">
      <c r="A1004" s="155"/>
      <c r="B1004" s="155"/>
      <c r="C1004" s="155"/>
      <c r="D1004" s="155"/>
      <c r="E1004" s="155"/>
      <c r="F1004" s="155"/>
      <c r="G1004" s="155"/>
      <c r="H1004" s="155"/>
      <c r="I1004" s="155"/>
      <c r="J1004" s="155"/>
      <c r="K1004" s="220"/>
      <c r="L1004" s="155"/>
      <c r="M1004" s="167"/>
      <c r="N1004" s="167"/>
      <c r="O1004" s="155"/>
      <c r="P1004" s="155"/>
      <c r="Q1004" s="155"/>
      <c r="R1004" s="155"/>
      <c r="S1004" s="155"/>
      <c r="T1004" s="155"/>
      <c r="U1004" s="155"/>
      <c r="V1004" s="161"/>
      <c r="W1004" s="155"/>
      <c r="X1004" s="155"/>
      <c r="Y1004" s="155"/>
      <c r="Z1004" s="155"/>
      <c r="AA1004" s="155"/>
      <c r="AB1004" s="155"/>
      <c r="AC1004" s="155"/>
      <c r="AD1004" s="155"/>
      <c r="AE1004" s="155"/>
      <c r="AF1004" s="155"/>
      <c r="AG1004" s="155"/>
      <c r="AH1004" s="155"/>
    </row>
    <row r="1005" ht="15.75" customHeight="1">
      <c r="A1005" s="155"/>
      <c r="B1005" s="155"/>
      <c r="C1005" s="155"/>
      <c r="D1005" s="155"/>
      <c r="E1005" s="155"/>
      <c r="F1005" s="155"/>
      <c r="G1005" s="155"/>
      <c r="H1005" s="155"/>
      <c r="I1005" s="155"/>
      <c r="J1005" s="155"/>
      <c r="K1005" s="220"/>
      <c r="L1005" s="155"/>
      <c r="M1005" s="167"/>
      <c r="N1005" s="167"/>
      <c r="O1005" s="155"/>
      <c r="P1005" s="155"/>
      <c r="Q1005" s="155"/>
      <c r="R1005" s="155"/>
      <c r="S1005" s="155"/>
      <c r="T1005" s="155"/>
      <c r="U1005" s="155"/>
      <c r="V1005" s="161"/>
      <c r="W1005" s="155"/>
      <c r="X1005" s="155"/>
      <c r="Y1005" s="155"/>
      <c r="Z1005" s="155"/>
      <c r="AA1005" s="155"/>
      <c r="AB1005" s="155"/>
      <c r="AC1005" s="155"/>
      <c r="AD1005" s="155"/>
      <c r="AE1005" s="155"/>
      <c r="AF1005" s="155"/>
      <c r="AG1005" s="155"/>
      <c r="AH1005" s="155"/>
    </row>
    <row r="1006" ht="15.75" customHeight="1">
      <c r="A1006" s="155"/>
      <c r="B1006" s="155"/>
      <c r="C1006" s="155"/>
      <c r="D1006" s="155"/>
      <c r="E1006" s="155"/>
      <c r="F1006" s="155"/>
      <c r="G1006" s="155"/>
      <c r="H1006" s="155"/>
      <c r="I1006" s="155"/>
      <c r="J1006" s="155"/>
      <c r="K1006" s="220"/>
      <c r="L1006" s="155"/>
      <c r="M1006" s="167"/>
      <c r="N1006" s="167"/>
      <c r="O1006" s="155"/>
      <c r="P1006" s="155"/>
      <c r="Q1006" s="155"/>
      <c r="R1006" s="155"/>
      <c r="S1006" s="155"/>
      <c r="T1006" s="155"/>
      <c r="U1006" s="155"/>
      <c r="V1006" s="161"/>
      <c r="W1006" s="155"/>
      <c r="X1006" s="155"/>
      <c r="Y1006" s="155"/>
      <c r="Z1006" s="155"/>
      <c r="AA1006" s="155"/>
      <c r="AB1006" s="155"/>
      <c r="AC1006" s="155"/>
      <c r="AD1006" s="155"/>
      <c r="AE1006" s="155"/>
      <c r="AF1006" s="155"/>
      <c r="AG1006" s="155"/>
      <c r="AH1006" s="155"/>
    </row>
    <row r="1007" ht="15.75" customHeight="1">
      <c r="A1007" s="155"/>
      <c r="B1007" s="155"/>
      <c r="C1007" s="155"/>
      <c r="D1007" s="155"/>
      <c r="E1007" s="155"/>
      <c r="F1007" s="155"/>
      <c r="G1007" s="155"/>
      <c r="H1007" s="155"/>
      <c r="I1007" s="155"/>
      <c r="J1007" s="155"/>
      <c r="K1007" s="220"/>
      <c r="L1007" s="155"/>
      <c r="M1007" s="167"/>
      <c r="N1007" s="167"/>
      <c r="O1007" s="155"/>
      <c r="P1007" s="155"/>
      <c r="Q1007" s="155"/>
      <c r="R1007" s="155"/>
      <c r="S1007" s="155"/>
      <c r="T1007" s="155"/>
      <c r="U1007" s="155"/>
      <c r="V1007" s="161"/>
      <c r="W1007" s="155"/>
      <c r="X1007" s="155"/>
      <c r="Y1007" s="155"/>
      <c r="Z1007" s="155"/>
      <c r="AA1007" s="155"/>
      <c r="AB1007" s="155"/>
      <c r="AC1007" s="155"/>
      <c r="AD1007" s="155"/>
      <c r="AE1007" s="155"/>
      <c r="AF1007" s="155"/>
      <c r="AG1007" s="155"/>
      <c r="AH1007" s="155"/>
    </row>
    <row r="1008" ht="15.75" customHeight="1">
      <c r="A1008" s="155"/>
      <c r="B1008" s="155"/>
      <c r="C1008" s="155"/>
      <c r="D1008" s="155"/>
      <c r="E1008" s="155"/>
      <c r="F1008" s="155"/>
      <c r="G1008" s="155"/>
      <c r="H1008" s="155"/>
      <c r="I1008" s="155"/>
      <c r="J1008" s="155"/>
      <c r="K1008" s="220"/>
      <c r="L1008" s="155"/>
      <c r="M1008" s="167"/>
      <c r="N1008" s="167"/>
      <c r="O1008" s="155"/>
      <c r="P1008" s="155"/>
      <c r="Q1008" s="155"/>
      <c r="R1008" s="155"/>
      <c r="S1008" s="155"/>
      <c r="T1008" s="155"/>
      <c r="U1008" s="155"/>
      <c r="V1008" s="161"/>
      <c r="W1008" s="155"/>
      <c r="X1008" s="155"/>
      <c r="Y1008" s="155"/>
      <c r="Z1008" s="155"/>
      <c r="AA1008" s="155"/>
      <c r="AB1008" s="155"/>
      <c r="AC1008" s="155"/>
      <c r="AD1008" s="155"/>
      <c r="AE1008" s="155"/>
      <c r="AF1008" s="155"/>
      <c r="AG1008" s="155"/>
      <c r="AH1008" s="155"/>
    </row>
  </sheetData>
  <mergeCells count="5">
    <mergeCell ref="F8:K8"/>
    <mergeCell ref="U8:W8"/>
    <mergeCell ref="F9:K9"/>
    <mergeCell ref="F94:K94"/>
    <mergeCell ref="F129:K129"/>
  </mergeCells>
  <dataValidations>
    <dataValidation type="list" allowBlank="1" showErrorMessage="1" sqref="A3:B3 D2:D68 D70:D136">
      <formula1>"Subido con Éxito,En Proceso,Faltan Imagenes,PENDIENTE"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5.86"/>
    <col customWidth="1" min="3" max="3" width="1.71"/>
    <col customWidth="1" min="4" max="4" width="16.14"/>
    <col customWidth="1" min="5" max="5" width="95.0"/>
    <col customWidth="1" min="6" max="6" width="17.86"/>
    <col customWidth="1" min="7" max="7" width="11.14"/>
    <col customWidth="1" min="8" max="8" width="10.71"/>
    <col customWidth="1" min="9" max="9" width="12.29"/>
    <col customWidth="1" min="10" max="12" width="21.14"/>
    <col customWidth="1" min="13" max="13" width="17.43"/>
    <col customWidth="1" min="14" max="14" width="20.43"/>
    <col customWidth="1" min="15" max="15" width="10.71"/>
    <col customWidth="1" min="16" max="16" width="51.86"/>
    <col customWidth="1" min="17" max="40" width="10.71"/>
  </cols>
  <sheetData>
    <row r="1">
      <c r="A1" s="314" t="s">
        <v>433</v>
      </c>
      <c r="B1" s="314" t="s">
        <v>434</v>
      </c>
      <c r="C1" s="314" t="s">
        <v>291</v>
      </c>
      <c r="D1" s="315" t="s">
        <v>435</v>
      </c>
      <c r="E1" s="316" t="s">
        <v>283</v>
      </c>
      <c r="F1" s="317" t="s">
        <v>436</v>
      </c>
      <c r="G1" s="317" t="s">
        <v>285</v>
      </c>
      <c r="H1" s="317" t="s">
        <v>286</v>
      </c>
      <c r="I1" s="317" t="s">
        <v>287</v>
      </c>
      <c r="J1" s="318" t="s">
        <v>288</v>
      </c>
      <c r="K1" s="319" t="s">
        <v>437</v>
      </c>
      <c r="L1" s="320" t="s">
        <v>438</v>
      </c>
      <c r="M1" s="314"/>
      <c r="N1" s="314"/>
      <c r="O1" s="314"/>
      <c r="P1" s="314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</row>
    <row r="2" ht="29.25" customHeight="1">
      <c r="A2" s="322"/>
      <c r="B2" s="322"/>
      <c r="C2" s="322"/>
      <c r="D2" s="323"/>
      <c r="E2" s="324" t="s">
        <v>439</v>
      </c>
      <c r="F2" s="178"/>
      <c r="G2" s="178"/>
      <c r="H2" s="178"/>
      <c r="I2" s="178"/>
      <c r="J2" s="179"/>
      <c r="K2" s="325"/>
      <c r="L2" s="326"/>
      <c r="M2" s="322"/>
      <c r="N2" s="322"/>
      <c r="O2" s="322"/>
      <c r="P2" s="322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</row>
    <row r="3">
      <c r="A3" s="322"/>
      <c r="B3" s="322"/>
      <c r="C3" s="322"/>
      <c r="D3" s="328"/>
      <c r="E3" s="329" t="s">
        <v>283</v>
      </c>
      <c r="F3" s="330" t="s">
        <v>436</v>
      </c>
      <c r="G3" s="330" t="s">
        <v>285</v>
      </c>
      <c r="H3" s="330" t="s">
        <v>286</v>
      </c>
      <c r="I3" s="330" t="s">
        <v>287</v>
      </c>
      <c r="J3" s="331" t="s">
        <v>440</v>
      </c>
      <c r="K3" s="332"/>
      <c r="L3" s="333"/>
      <c r="M3" s="322"/>
      <c r="N3" s="322"/>
      <c r="O3" s="322"/>
      <c r="P3" s="334" t="s">
        <v>441</v>
      </c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</row>
    <row r="4">
      <c r="A4" s="162" t="s">
        <v>307</v>
      </c>
      <c r="B4" s="322"/>
      <c r="C4" s="322"/>
      <c r="D4" s="335" t="s">
        <v>442</v>
      </c>
      <c r="E4" s="336" t="s">
        <v>443</v>
      </c>
      <c r="F4" s="337">
        <v>33.42</v>
      </c>
      <c r="G4" s="338">
        <f>H4/F4</f>
        <v>0.146</v>
      </c>
      <c r="H4" s="338">
        <f>I4-F4</f>
        <v>4.87932</v>
      </c>
      <c r="I4" s="339">
        <f>F4*1.146</f>
        <v>38.29932</v>
      </c>
      <c r="J4" s="340">
        <f>I4*1.22</f>
        <v>46.7251704</v>
      </c>
      <c r="K4" s="341">
        <f>F4*1.4</f>
        <v>46.788</v>
      </c>
      <c r="L4" s="342">
        <f>K4*1.22</f>
        <v>57.08136</v>
      </c>
      <c r="M4" s="314"/>
      <c r="N4" s="322"/>
      <c r="O4" s="322"/>
      <c r="P4" s="322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7"/>
      <c r="AD4" s="327"/>
      <c r="AE4" s="327"/>
      <c r="AF4" s="327"/>
      <c r="AG4" s="327"/>
      <c r="AH4" s="327"/>
      <c r="AI4" s="327"/>
      <c r="AJ4" s="327"/>
      <c r="AK4" s="327"/>
      <c r="AL4" s="327"/>
      <c r="AM4" s="327"/>
      <c r="AN4" s="327"/>
    </row>
    <row r="5" ht="14.25" customHeight="1">
      <c r="A5" s="314"/>
      <c r="B5" s="314"/>
      <c r="C5" s="314"/>
      <c r="D5" s="314"/>
      <c r="E5" s="314"/>
      <c r="F5" s="343" t="s">
        <v>444</v>
      </c>
      <c r="G5" s="344" t="s">
        <v>445</v>
      </c>
      <c r="I5" s="339">
        <v>39.84</v>
      </c>
      <c r="J5" s="314"/>
      <c r="K5" s="314"/>
      <c r="L5" s="314"/>
      <c r="M5" s="314"/>
      <c r="N5" s="314"/>
      <c r="O5" s="314"/>
      <c r="P5" s="314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321"/>
      <c r="AJ5" s="321"/>
      <c r="AK5" s="321"/>
      <c r="AL5" s="321"/>
      <c r="AM5" s="321"/>
      <c r="AN5" s="321"/>
    </row>
    <row r="6">
      <c r="A6" s="162" t="s">
        <v>307</v>
      </c>
      <c r="B6" s="314"/>
      <c r="C6" s="314"/>
      <c r="D6" s="345" t="s">
        <v>446</v>
      </c>
      <c r="E6" s="346" t="s">
        <v>447</v>
      </c>
      <c r="F6" s="323">
        <v>98.59</v>
      </c>
      <c r="G6" s="323">
        <f t="shared" ref="G6:G12" si="1">H6/F6</f>
        <v>0.15</v>
      </c>
      <c r="H6" s="346">
        <f t="shared" ref="H6:H12" si="2">I6-F6</f>
        <v>14.7885</v>
      </c>
      <c r="I6" s="323">
        <f t="shared" ref="I6:I12" si="3">F6*1.15</f>
        <v>113.3785</v>
      </c>
      <c r="J6" s="347">
        <f t="shared" ref="J6:J12" si="4">I6*1.22</f>
        <v>138.32177</v>
      </c>
      <c r="K6" s="341">
        <f t="shared" ref="K6:K12" si="5">F6*1.4</f>
        <v>138.026</v>
      </c>
      <c r="L6" s="342">
        <f t="shared" ref="L6:L12" si="6">K6*1.22</f>
        <v>168.39172</v>
      </c>
      <c r="M6" s="314">
        <v>140.0</v>
      </c>
      <c r="N6" s="314">
        <f t="shared" ref="N6:N12" si="7">($J$4-M6)*-1</f>
        <v>93.2748296</v>
      </c>
      <c r="O6" s="314"/>
      <c r="P6" s="314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321"/>
      <c r="AJ6" s="321"/>
      <c r="AK6" s="321"/>
      <c r="AL6" s="321"/>
      <c r="AM6" s="321"/>
      <c r="AN6" s="321"/>
    </row>
    <row r="7">
      <c r="A7" s="162" t="s">
        <v>307</v>
      </c>
      <c r="B7" s="314"/>
      <c r="C7" s="314"/>
      <c r="D7" s="345" t="s">
        <v>448</v>
      </c>
      <c r="E7" s="346" t="s">
        <v>449</v>
      </c>
      <c r="F7" s="323">
        <v>132.01</v>
      </c>
      <c r="G7" s="323">
        <f t="shared" si="1"/>
        <v>0.15</v>
      </c>
      <c r="H7" s="346">
        <f t="shared" si="2"/>
        <v>19.8015</v>
      </c>
      <c r="I7" s="323">
        <f t="shared" si="3"/>
        <v>151.8115</v>
      </c>
      <c r="J7" s="347">
        <f t="shared" si="4"/>
        <v>185.21003</v>
      </c>
      <c r="K7" s="341">
        <f t="shared" si="5"/>
        <v>184.814</v>
      </c>
      <c r="L7" s="342">
        <f t="shared" si="6"/>
        <v>225.47308</v>
      </c>
      <c r="M7" s="314">
        <v>185.0</v>
      </c>
      <c r="N7" s="314">
        <f t="shared" si="7"/>
        <v>138.2748296</v>
      </c>
      <c r="O7" s="314"/>
      <c r="P7" s="314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1"/>
      <c r="AL7" s="321"/>
      <c r="AM7" s="321"/>
      <c r="AN7" s="321"/>
    </row>
    <row r="8">
      <c r="A8" s="162" t="s">
        <v>307</v>
      </c>
      <c r="B8" s="314"/>
      <c r="C8" s="314"/>
      <c r="D8" s="345" t="s">
        <v>450</v>
      </c>
      <c r="E8" s="346" t="s">
        <v>451</v>
      </c>
      <c r="F8" s="323">
        <v>165.43</v>
      </c>
      <c r="G8" s="323">
        <f t="shared" si="1"/>
        <v>0.15</v>
      </c>
      <c r="H8" s="346">
        <f t="shared" si="2"/>
        <v>24.8145</v>
      </c>
      <c r="I8" s="323">
        <f t="shared" si="3"/>
        <v>190.2445</v>
      </c>
      <c r="J8" s="347">
        <f t="shared" si="4"/>
        <v>232.09829</v>
      </c>
      <c r="K8" s="341">
        <f t="shared" si="5"/>
        <v>231.602</v>
      </c>
      <c r="L8" s="342">
        <f t="shared" si="6"/>
        <v>282.55444</v>
      </c>
      <c r="M8" s="314">
        <v>235.0</v>
      </c>
      <c r="N8" s="314">
        <f t="shared" si="7"/>
        <v>188.2748296</v>
      </c>
      <c r="O8" s="314"/>
      <c r="P8" s="314"/>
      <c r="Q8" s="321"/>
      <c r="R8" s="321"/>
      <c r="S8" s="321"/>
      <c r="T8" s="321"/>
      <c r="U8" s="321"/>
      <c r="V8" s="321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321"/>
      <c r="AJ8" s="321"/>
      <c r="AK8" s="321"/>
      <c r="AL8" s="321"/>
      <c r="AM8" s="321"/>
      <c r="AN8" s="321"/>
    </row>
    <row r="9">
      <c r="A9" s="162" t="s">
        <v>307</v>
      </c>
      <c r="B9" s="314"/>
      <c r="C9" s="314"/>
      <c r="D9" s="345" t="s">
        <v>452</v>
      </c>
      <c r="E9" s="346" t="s">
        <v>453</v>
      </c>
      <c r="F9" s="323">
        <v>198.85</v>
      </c>
      <c r="G9" s="323">
        <f t="shared" si="1"/>
        <v>0.15</v>
      </c>
      <c r="H9" s="346">
        <f t="shared" si="2"/>
        <v>29.8275</v>
      </c>
      <c r="I9" s="323">
        <f t="shared" si="3"/>
        <v>228.6775</v>
      </c>
      <c r="J9" s="347">
        <f t="shared" si="4"/>
        <v>278.98655</v>
      </c>
      <c r="K9" s="341">
        <f t="shared" si="5"/>
        <v>278.39</v>
      </c>
      <c r="L9" s="342">
        <f t="shared" si="6"/>
        <v>339.6358</v>
      </c>
      <c r="M9" s="314">
        <v>280.0</v>
      </c>
      <c r="N9" s="314">
        <f t="shared" si="7"/>
        <v>233.2748296</v>
      </c>
      <c r="O9" s="314"/>
      <c r="P9" s="314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  <c r="AJ9" s="321"/>
      <c r="AK9" s="321"/>
      <c r="AL9" s="321"/>
      <c r="AM9" s="321"/>
      <c r="AN9" s="321"/>
    </row>
    <row r="10">
      <c r="A10" s="162" t="s">
        <v>307</v>
      </c>
      <c r="B10" s="314"/>
      <c r="C10" s="314"/>
      <c r="D10" s="345" t="s">
        <v>454</v>
      </c>
      <c r="E10" s="346" t="s">
        <v>455</v>
      </c>
      <c r="F10" s="323">
        <v>232.27</v>
      </c>
      <c r="G10" s="323">
        <f t="shared" si="1"/>
        <v>0.15</v>
      </c>
      <c r="H10" s="346">
        <f t="shared" si="2"/>
        <v>34.8405</v>
      </c>
      <c r="I10" s="323">
        <f t="shared" si="3"/>
        <v>267.1105</v>
      </c>
      <c r="J10" s="347">
        <f t="shared" si="4"/>
        <v>325.87481</v>
      </c>
      <c r="K10" s="341">
        <f t="shared" si="5"/>
        <v>325.178</v>
      </c>
      <c r="L10" s="342">
        <f t="shared" si="6"/>
        <v>396.71716</v>
      </c>
      <c r="M10" s="314">
        <v>325.0</v>
      </c>
      <c r="N10" s="314">
        <f t="shared" si="7"/>
        <v>278.2748296</v>
      </c>
      <c r="O10" s="314"/>
      <c r="P10" s="314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  <c r="AH10" s="321"/>
      <c r="AI10" s="321"/>
      <c r="AJ10" s="321"/>
      <c r="AK10" s="321"/>
      <c r="AL10" s="321"/>
      <c r="AM10" s="321"/>
      <c r="AN10" s="321"/>
    </row>
    <row r="11">
      <c r="A11" s="162" t="s">
        <v>307</v>
      </c>
      <c r="B11" s="314"/>
      <c r="C11" s="314"/>
      <c r="D11" s="345" t="s">
        <v>456</v>
      </c>
      <c r="E11" s="346" t="s">
        <v>457</v>
      </c>
      <c r="F11" s="323">
        <v>265.69</v>
      </c>
      <c r="G11" s="323">
        <f t="shared" si="1"/>
        <v>0.15</v>
      </c>
      <c r="H11" s="346">
        <f t="shared" si="2"/>
        <v>39.8535</v>
      </c>
      <c r="I11" s="323">
        <f t="shared" si="3"/>
        <v>305.5435</v>
      </c>
      <c r="J11" s="347">
        <f t="shared" si="4"/>
        <v>372.76307</v>
      </c>
      <c r="K11" s="341">
        <f t="shared" si="5"/>
        <v>371.966</v>
      </c>
      <c r="L11" s="342">
        <f t="shared" si="6"/>
        <v>453.79852</v>
      </c>
      <c r="M11" s="314">
        <v>375.0</v>
      </c>
      <c r="N11" s="314">
        <f t="shared" si="7"/>
        <v>328.2748296</v>
      </c>
      <c r="O11" s="314"/>
      <c r="P11" s="314"/>
      <c r="Q11" s="321"/>
      <c r="R11" s="321"/>
      <c r="S11" s="321"/>
      <c r="T11" s="321"/>
      <c r="U11" s="321"/>
      <c r="V11" s="321"/>
      <c r="W11" s="321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  <c r="AI11" s="321"/>
      <c r="AJ11" s="321"/>
      <c r="AK11" s="321"/>
      <c r="AL11" s="321"/>
      <c r="AM11" s="321"/>
      <c r="AN11" s="321"/>
    </row>
    <row r="12">
      <c r="A12" s="162" t="s">
        <v>307</v>
      </c>
      <c r="B12" s="314"/>
      <c r="C12" s="314"/>
      <c r="D12" s="348" t="s">
        <v>458</v>
      </c>
      <c r="E12" s="346" t="s">
        <v>459</v>
      </c>
      <c r="F12" s="349">
        <v>397.7</v>
      </c>
      <c r="G12" s="349">
        <f t="shared" si="1"/>
        <v>0.15</v>
      </c>
      <c r="H12" s="350">
        <f t="shared" si="2"/>
        <v>59.655</v>
      </c>
      <c r="I12" s="349">
        <f t="shared" si="3"/>
        <v>457.355</v>
      </c>
      <c r="J12" s="351">
        <f t="shared" si="4"/>
        <v>557.9731</v>
      </c>
      <c r="K12" s="341">
        <f t="shared" si="5"/>
        <v>556.78</v>
      </c>
      <c r="L12" s="342">
        <f t="shared" si="6"/>
        <v>679.2716</v>
      </c>
      <c r="M12" s="314">
        <v>458.0</v>
      </c>
      <c r="N12" s="314">
        <f t="shared" si="7"/>
        <v>411.2748296</v>
      </c>
      <c r="O12" s="314"/>
      <c r="P12" s="314"/>
      <c r="Q12" s="321"/>
      <c r="R12" s="321"/>
      <c r="S12" s="321"/>
      <c r="T12" s="321"/>
      <c r="U12" s="321"/>
      <c r="V12" s="321"/>
      <c r="W12" s="321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  <c r="AH12" s="321"/>
      <c r="AI12" s="321"/>
      <c r="AJ12" s="321"/>
      <c r="AK12" s="321"/>
      <c r="AL12" s="321"/>
      <c r="AM12" s="321"/>
      <c r="AN12" s="321"/>
    </row>
    <row r="13">
      <c r="A13" s="314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21"/>
      <c r="R13" s="321"/>
      <c r="S13" s="321"/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  <c r="AJ13" s="321"/>
      <c r="AK13" s="321"/>
      <c r="AL13" s="321"/>
      <c r="AM13" s="321"/>
      <c r="AN13" s="321"/>
    </row>
    <row r="14">
      <c r="A14" s="162" t="s">
        <v>307</v>
      </c>
      <c r="B14" s="352"/>
      <c r="C14" s="352"/>
      <c r="D14" s="353" t="s">
        <v>460</v>
      </c>
      <c r="E14" s="354" t="s">
        <v>461</v>
      </c>
      <c r="F14" s="338">
        <f t="shared" ref="F14:F17" si="8">I14/1.05/1.05</f>
        <v>12.57142857</v>
      </c>
      <c r="G14" s="338">
        <f t="shared" ref="G14:G17" si="9">H14/F14</f>
        <v>0.1025</v>
      </c>
      <c r="H14" s="355">
        <f t="shared" ref="H14:H17" si="10">I14-F14</f>
        <v>1.288571429</v>
      </c>
      <c r="I14" s="338">
        <v>13.86</v>
      </c>
      <c r="J14" s="356">
        <f t="shared" ref="J14:J17" si="11">I14*1.22</f>
        <v>16.9092</v>
      </c>
      <c r="K14" s="341">
        <f t="shared" ref="K14:K20" si="12">F14*1.4</f>
        <v>17.6</v>
      </c>
      <c r="L14" s="342">
        <f t="shared" ref="L14:L20" si="13">K14*1.22</f>
        <v>21.472</v>
      </c>
      <c r="M14" s="352"/>
      <c r="N14" s="352"/>
      <c r="O14" s="352"/>
      <c r="P14" s="352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7"/>
      <c r="AN14" s="357"/>
    </row>
    <row r="15">
      <c r="A15" s="162" t="s">
        <v>307</v>
      </c>
      <c r="B15" s="358"/>
      <c r="C15" s="358"/>
      <c r="D15" s="359" t="s">
        <v>462</v>
      </c>
      <c r="E15" s="360" t="s">
        <v>463</v>
      </c>
      <c r="F15" s="323">
        <f t="shared" si="8"/>
        <v>18.22222222</v>
      </c>
      <c r="G15" s="323">
        <f t="shared" si="9"/>
        <v>0.1025</v>
      </c>
      <c r="H15" s="346">
        <f t="shared" si="10"/>
        <v>1.867777778</v>
      </c>
      <c r="I15" s="323">
        <v>20.09</v>
      </c>
      <c r="J15" s="361">
        <f t="shared" si="11"/>
        <v>24.5098</v>
      </c>
      <c r="K15" s="341">
        <f t="shared" si="12"/>
        <v>25.51111111</v>
      </c>
      <c r="L15" s="342">
        <f t="shared" si="13"/>
        <v>31.12355556</v>
      </c>
      <c r="M15" s="314"/>
      <c r="N15" s="358"/>
      <c r="O15" s="358"/>
      <c r="P15" s="358"/>
      <c r="Q15" s="362"/>
      <c r="R15" s="362"/>
      <c r="S15" s="362"/>
      <c r="T15" s="362"/>
      <c r="U15" s="362"/>
      <c r="V15" s="362"/>
      <c r="W15" s="362"/>
      <c r="X15" s="362"/>
      <c r="Y15" s="362"/>
      <c r="Z15" s="362"/>
      <c r="AA15" s="362"/>
      <c r="AB15" s="362"/>
      <c r="AC15" s="362"/>
      <c r="AD15" s="362"/>
      <c r="AE15" s="362"/>
      <c r="AF15" s="362"/>
      <c r="AG15" s="362"/>
      <c r="AH15" s="362"/>
      <c r="AI15" s="362"/>
      <c r="AJ15" s="362"/>
      <c r="AK15" s="362"/>
      <c r="AL15" s="362"/>
      <c r="AM15" s="362"/>
      <c r="AN15" s="362"/>
    </row>
    <row r="16">
      <c r="A16" s="162" t="s">
        <v>307</v>
      </c>
      <c r="B16" s="363"/>
      <c r="C16" s="363"/>
      <c r="D16" s="359" t="s">
        <v>464</v>
      </c>
      <c r="E16" s="360" t="s">
        <v>465</v>
      </c>
      <c r="F16" s="323">
        <f t="shared" si="8"/>
        <v>18.22222222</v>
      </c>
      <c r="G16" s="323">
        <f t="shared" si="9"/>
        <v>0.1025</v>
      </c>
      <c r="H16" s="346">
        <f t="shared" si="10"/>
        <v>1.867777778</v>
      </c>
      <c r="I16" s="323">
        <v>20.09</v>
      </c>
      <c r="J16" s="361">
        <f t="shared" si="11"/>
        <v>24.5098</v>
      </c>
      <c r="K16" s="341">
        <f t="shared" si="12"/>
        <v>25.51111111</v>
      </c>
      <c r="L16" s="342">
        <f t="shared" si="13"/>
        <v>31.12355556</v>
      </c>
      <c r="M16" s="314"/>
      <c r="N16" s="363"/>
      <c r="O16" s="363"/>
      <c r="P16" s="363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4"/>
      <c r="AJ16" s="364"/>
      <c r="AK16" s="364"/>
      <c r="AL16" s="364"/>
      <c r="AM16" s="364"/>
      <c r="AN16" s="364"/>
    </row>
    <row r="17">
      <c r="A17" s="162" t="s">
        <v>307</v>
      </c>
      <c r="B17" s="365"/>
      <c r="C17" s="365"/>
      <c r="D17" s="359" t="s">
        <v>466</v>
      </c>
      <c r="E17" s="360" t="s">
        <v>467</v>
      </c>
      <c r="F17" s="323">
        <f t="shared" si="8"/>
        <v>13.37868481</v>
      </c>
      <c r="G17" s="323">
        <f t="shared" si="9"/>
        <v>0.1025</v>
      </c>
      <c r="H17" s="346">
        <f t="shared" si="10"/>
        <v>1.371315193</v>
      </c>
      <c r="I17" s="323">
        <v>14.75</v>
      </c>
      <c r="J17" s="361">
        <f t="shared" si="11"/>
        <v>17.995</v>
      </c>
      <c r="K17" s="341">
        <f t="shared" si="12"/>
        <v>18.73015873</v>
      </c>
      <c r="L17" s="342">
        <f t="shared" si="13"/>
        <v>22.85079365</v>
      </c>
      <c r="M17" s="352"/>
      <c r="N17" s="365"/>
      <c r="O17" s="365"/>
      <c r="P17" s="365"/>
      <c r="Q17" s="366"/>
      <c r="R17" s="366"/>
      <c r="S17" s="366"/>
      <c r="T17" s="366"/>
      <c r="U17" s="366"/>
      <c r="V17" s="366"/>
      <c r="W17" s="366"/>
      <c r="X17" s="366"/>
      <c r="Y17" s="366"/>
      <c r="Z17" s="366"/>
      <c r="AA17" s="366"/>
      <c r="AB17" s="366"/>
      <c r="AC17" s="366"/>
      <c r="AD17" s="366"/>
      <c r="AE17" s="366"/>
      <c r="AF17" s="366"/>
      <c r="AG17" s="366"/>
      <c r="AH17" s="366"/>
      <c r="AI17" s="366"/>
      <c r="AJ17" s="366"/>
      <c r="AK17" s="366"/>
      <c r="AL17" s="366"/>
      <c r="AM17" s="366"/>
      <c r="AN17" s="366"/>
    </row>
    <row r="18">
      <c r="A18" s="365"/>
      <c r="B18" s="365"/>
      <c r="C18" s="365"/>
      <c r="D18" s="367"/>
      <c r="E18" s="368"/>
      <c r="F18" s="323"/>
      <c r="G18" s="323"/>
      <c r="H18" s="346"/>
      <c r="I18" s="323"/>
      <c r="J18" s="369"/>
      <c r="K18" s="341">
        <f t="shared" si="12"/>
        <v>0</v>
      </c>
      <c r="L18" s="342">
        <f t="shared" si="13"/>
        <v>0</v>
      </c>
      <c r="M18" s="352"/>
      <c r="N18" s="365"/>
      <c r="O18" s="365"/>
      <c r="P18" s="365"/>
      <c r="Q18" s="366"/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6"/>
      <c r="AF18" s="366"/>
      <c r="AG18" s="366"/>
      <c r="AH18" s="366"/>
      <c r="AI18" s="366"/>
      <c r="AJ18" s="366"/>
      <c r="AK18" s="366"/>
      <c r="AL18" s="366"/>
      <c r="AM18" s="366"/>
      <c r="AN18" s="366"/>
    </row>
    <row r="19">
      <c r="A19" s="162" t="s">
        <v>282</v>
      </c>
      <c r="B19" s="365"/>
      <c r="C19" s="365"/>
      <c r="D19" s="367"/>
      <c r="E19" s="370" t="s">
        <v>468</v>
      </c>
      <c r="F19" s="371"/>
      <c r="G19" s="323"/>
      <c r="H19" s="368"/>
      <c r="I19" s="371"/>
      <c r="J19" s="369"/>
      <c r="K19" s="341">
        <f t="shared" si="12"/>
        <v>0</v>
      </c>
      <c r="L19" s="342">
        <f t="shared" si="13"/>
        <v>0</v>
      </c>
      <c r="M19" s="352"/>
      <c r="N19" s="365"/>
      <c r="O19" s="365"/>
      <c r="P19" s="365"/>
      <c r="Q19" s="366"/>
      <c r="R19" s="366"/>
      <c r="S19" s="366"/>
      <c r="T19" s="366"/>
      <c r="U19" s="366"/>
      <c r="V19" s="366"/>
      <c r="W19" s="366"/>
      <c r="X19" s="366"/>
      <c r="Y19" s="366"/>
      <c r="Z19" s="366"/>
      <c r="AA19" s="366"/>
      <c r="AB19" s="366"/>
      <c r="AC19" s="366"/>
      <c r="AD19" s="366"/>
      <c r="AE19" s="366"/>
      <c r="AF19" s="366"/>
      <c r="AG19" s="366"/>
      <c r="AH19" s="366"/>
      <c r="AI19" s="366"/>
      <c r="AJ19" s="366"/>
      <c r="AK19" s="366"/>
      <c r="AL19" s="366"/>
      <c r="AM19" s="366"/>
      <c r="AN19" s="366"/>
    </row>
    <row r="20">
      <c r="A20" s="162" t="s">
        <v>282</v>
      </c>
      <c r="B20" s="322"/>
      <c r="C20" s="322"/>
      <c r="D20" s="348" t="s">
        <v>469</v>
      </c>
      <c r="E20" s="350" t="s">
        <v>470</v>
      </c>
      <c r="F20" s="349">
        <f>I20/1.05/1.05</f>
        <v>0.8072562358</v>
      </c>
      <c r="G20" s="349">
        <f>H20/F20</f>
        <v>0.1025</v>
      </c>
      <c r="H20" s="350">
        <f>I20-F20</f>
        <v>0.08274376417</v>
      </c>
      <c r="I20" s="349">
        <v>0.89</v>
      </c>
      <c r="J20" s="372">
        <f>I20*1.22</f>
        <v>1.0858</v>
      </c>
      <c r="K20" s="341">
        <f t="shared" si="12"/>
        <v>1.13015873</v>
      </c>
      <c r="L20" s="342">
        <f t="shared" si="13"/>
        <v>1.378793651</v>
      </c>
      <c r="M20" s="322"/>
      <c r="N20" s="373"/>
      <c r="O20" s="322"/>
      <c r="P20" s="322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</row>
    <row r="21">
      <c r="A21" s="322"/>
      <c r="B21" s="322"/>
      <c r="C21" s="322" t="s">
        <v>471</v>
      </c>
      <c r="D21" s="327"/>
      <c r="E21" s="374"/>
      <c r="F21" s="374"/>
      <c r="G21" s="374"/>
      <c r="H21" s="374"/>
      <c r="I21" s="374"/>
      <c r="J21" s="374"/>
      <c r="K21" s="374"/>
      <c r="L21" s="374"/>
      <c r="M21" s="322"/>
      <c r="N21" s="373"/>
      <c r="O21" s="322"/>
      <c r="P21" s="322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7"/>
      <c r="AC21" s="327"/>
      <c r="AD21" s="327"/>
      <c r="AE21" s="327"/>
      <c r="AF21" s="327"/>
      <c r="AG21" s="327"/>
      <c r="AH21" s="327"/>
      <c r="AI21" s="327"/>
      <c r="AJ21" s="327"/>
      <c r="AK21" s="327"/>
      <c r="AL21" s="327"/>
      <c r="AM21" s="327"/>
      <c r="AN21" s="327"/>
    </row>
    <row r="22">
      <c r="A22" s="322"/>
      <c r="B22" s="322"/>
      <c r="C22" s="322"/>
      <c r="D22" s="327"/>
      <c r="E22" s="374"/>
      <c r="F22" s="374"/>
      <c r="G22" s="374"/>
      <c r="H22" s="374"/>
      <c r="I22" s="374"/>
      <c r="J22" s="374"/>
      <c r="K22" s="374"/>
      <c r="L22" s="374"/>
      <c r="M22" s="322"/>
      <c r="N22" s="373"/>
      <c r="O22" s="322"/>
      <c r="P22" s="322"/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</row>
    <row r="23" ht="35.25" customHeight="1">
      <c r="A23" s="322"/>
      <c r="B23" s="322"/>
      <c r="C23" s="322"/>
      <c r="D23" s="327"/>
      <c r="E23" s="375" t="s">
        <v>472</v>
      </c>
      <c r="F23" s="178"/>
      <c r="G23" s="178"/>
      <c r="H23" s="178"/>
      <c r="I23" s="178"/>
      <c r="J23" s="179"/>
      <c r="K23" s="376"/>
      <c r="L23" s="376"/>
      <c r="M23" s="322"/>
      <c r="N23" s="377" t="s">
        <v>473</v>
      </c>
      <c r="O23" s="322"/>
      <c r="P23" s="322"/>
      <c r="Q23" s="327"/>
      <c r="R23" s="378" t="s">
        <v>474</v>
      </c>
      <c r="S23" s="327"/>
      <c r="T23" s="327"/>
      <c r="U23" s="327"/>
      <c r="V23" s="327"/>
      <c r="W23" s="327"/>
      <c r="X23" s="327"/>
      <c r="Y23" s="327"/>
      <c r="Z23" s="327"/>
      <c r="AA23" s="327"/>
      <c r="AB23" s="327"/>
      <c r="AC23" s="327"/>
      <c r="AD23" s="327"/>
      <c r="AE23" s="327"/>
      <c r="AF23" s="327"/>
      <c r="AG23" s="327"/>
      <c r="AH23" s="327"/>
      <c r="AI23" s="327"/>
      <c r="AJ23" s="327"/>
      <c r="AK23" s="327"/>
      <c r="AL23" s="327"/>
      <c r="AM23" s="327"/>
      <c r="AN23" s="327"/>
    </row>
    <row r="24">
      <c r="A24" s="314"/>
      <c r="B24" s="379" t="s">
        <v>475</v>
      </c>
      <c r="C24" s="314"/>
      <c r="D24" s="380" t="s">
        <v>471</v>
      </c>
      <c r="E24" s="316" t="s">
        <v>283</v>
      </c>
      <c r="F24" s="317" t="s">
        <v>476</v>
      </c>
      <c r="G24" s="317" t="s">
        <v>285</v>
      </c>
      <c r="H24" s="317" t="s">
        <v>286</v>
      </c>
      <c r="I24" s="317" t="s">
        <v>477</v>
      </c>
      <c r="J24" s="318" t="s">
        <v>288</v>
      </c>
      <c r="K24" s="381"/>
      <c r="L24" s="381"/>
      <c r="M24" s="314"/>
      <c r="N24" s="314"/>
      <c r="O24" s="314"/>
      <c r="P24" s="382" t="s">
        <v>478</v>
      </c>
      <c r="Q24" s="383" t="s">
        <v>479</v>
      </c>
      <c r="R24" s="384">
        <v>1.0</v>
      </c>
      <c r="S24" s="383">
        <v>1.5</v>
      </c>
      <c r="T24" s="383">
        <v>2.0</v>
      </c>
      <c r="U24" s="383">
        <v>2.5</v>
      </c>
      <c r="V24" s="383">
        <v>3.0</v>
      </c>
      <c r="W24" s="383">
        <v>3.5</v>
      </c>
      <c r="X24" s="383">
        <v>4.0</v>
      </c>
      <c r="Y24" s="383">
        <v>4.5</v>
      </c>
      <c r="Z24" s="383">
        <v>5.0</v>
      </c>
      <c r="AA24" s="383">
        <v>5.5</v>
      </c>
      <c r="AB24" s="383">
        <v>6.0</v>
      </c>
      <c r="AC24" s="383">
        <v>6.5</v>
      </c>
      <c r="AD24" s="383">
        <v>7.0</v>
      </c>
      <c r="AE24" s="383">
        <v>7.5</v>
      </c>
      <c r="AF24" s="383">
        <v>8.0</v>
      </c>
      <c r="AG24" s="383">
        <v>8.5</v>
      </c>
      <c r="AH24" s="383">
        <v>9.0</v>
      </c>
      <c r="AI24" s="383">
        <v>9.5</v>
      </c>
      <c r="AJ24" s="383">
        <v>10.0</v>
      </c>
      <c r="AK24" s="383">
        <v>10.5</v>
      </c>
      <c r="AL24" s="383">
        <v>11.0</v>
      </c>
      <c r="AM24" s="383">
        <v>11.5</v>
      </c>
      <c r="AN24" s="383">
        <v>12.0</v>
      </c>
    </row>
    <row r="25">
      <c r="A25" s="162" t="s">
        <v>307</v>
      </c>
      <c r="B25" s="379" t="s">
        <v>480</v>
      </c>
      <c r="C25" s="314"/>
      <c r="D25" s="385" t="s">
        <v>481</v>
      </c>
      <c r="E25" s="386" t="s">
        <v>482</v>
      </c>
      <c r="F25" s="323">
        <f t="shared" ref="F25:F32" si="14">I25/1.05/1.05</f>
        <v>4.154195011</v>
      </c>
      <c r="G25" s="323" t="s">
        <v>483</v>
      </c>
      <c r="H25" s="323">
        <f t="shared" ref="H25:H55" si="15">I25-F25</f>
        <v>0.4258049887</v>
      </c>
      <c r="I25" s="387">
        <v>4.58</v>
      </c>
      <c r="J25" s="388">
        <f t="shared" ref="J25:J55" si="16">I25*1.22</f>
        <v>5.5876</v>
      </c>
      <c r="K25" s="341">
        <f t="shared" ref="K25:K276" si="17">F25*1.4</f>
        <v>5.815873016</v>
      </c>
      <c r="L25" s="342">
        <f t="shared" ref="L25:L276" si="18">K25*1.22</f>
        <v>7.095365079</v>
      </c>
      <c r="M25" s="314"/>
      <c r="N25" s="389"/>
      <c r="O25" s="314"/>
      <c r="P25" s="390" t="str">
        <f t="shared" ref="P25:P42" si="19">E25</f>
        <v>Chapas Aluzinc Cal. 33 - BC18 - BC30 - BC35 / Esp. 0.23 mm</v>
      </c>
      <c r="Q25" s="391">
        <f t="shared" ref="Q25:Q42" si="20">R25/2</f>
        <v>2.7938</v>
      </c>
      <c r="R25" s="384">
        <f t="shared" ref="R25:R42" si="21">J25</f>
        <v>5.5876</v>
      </c>
      <c r="S25" s="391">
        <f t="shared" ref="S25:S42" si="22">R25*1.5</f>
        <v>8.3814</v>
      </c>
      <c r="T25" s="391">
        <f t="shared" ref="T25:T42" si="23">R25*2</f>
        <v>11.1752</v>
      </c>
      <c r="U25" s="391">
        <f t="shared" ref="U25:U42" si="24">R25*2.5</f>
        <v>13.969</v>
      </c>
      <c r="V25" s="391">
        <f t="shared" ref="V25:V42" si="25">R25*3</f>
        <v>16.7628</v>
      </c>
      <c r="W25" s="391">
        <f t="shared" ref="W25:W42" si="26">R25*3.5</f>
        <v>19.5566</v>
      </c>
      <c r="X25" s="391">
        <f t="shared" ref="X25:X42" si="27">R25*4</f>
        <v>22.3504</v>
      </c>
      <c r="Y25" s="391">
        <f t="shared" ref="Y25:Y42" si="28">R25*4.5</f>
        <v>25.1442</v>
      </c>
      <c r="Z25" s="391">
        <f t="shared" ref="Z25:Z42" si="29">R25*5</f>
        <v>27.938</v>
      </c>
      <c r="AA25" s="391">
        <f t="shared" ref="AA25:AA42" si="30">R25*5.5</f>
        <v>30.7318</v>
      </c>
      <c r="AB25" s="391">
        <f t="shared" ref="AB25:AB42" si="31">R25*6</f>
        <v>33.5256</v>
      </c>
      <c r="AC25" s="391">
        <f t="shared" ref="AC25:AC42" si="32">R25*6.5</f>
        <v>36.3194</v>
      </c>
      <c r="AD25" s="391">
        <f t="shared" ref="AD25:AD42" si="33">R25*7</f>
        <v>39.1132</v>
      </c>
      <c r="AE25" s="391">
        <f t="shared" ref="AE25:AE42" si="34">R25*7.5</f>
        <v>41.907</v>
      </c>
      <c r="AF25" s="391">
        <f t="shared" ref="AF25:AF42" si="35">R25*8</f>
        <v>44.7008</v>
      </c>
      <c r="AG25" s="391">
        <f t="shared" ref="AG25:AG42" si="36">R25*8.5</f>
        <v>47.4946</v>
      </c>
      <c r="AH25" s="391">
        <f t="shared" ref="AH25:AH42" si="37">R25*9</f>
        <v>50.2884</v>
      </c>
      <c r="AI25" s="391">
        <f t="shared" ref="AI25:AI42" si="38">R25*9.5</f>
        <v>53.0822</v>
      </c>
      <c r="AJ25" s="391">
        <f t="shared" ref="AJ25:AJ42" si="39">R25*10</f>
        <v>55.876</v>
      </c>
      <c r="AK25" s="391">
        <f t="shared" ref="AK25:AK42" si="40">R25*10.5</f>
        <v>58.6698</v>
      </c>
      <c r="AL25" s="391">
        <f t="shared" ref="AL25:AL42" si="41">R25*11</f>
        <v>61.4636</v>
      </c>
      <c r="AM25" s="391">
        <f t="shared" ref="AM25:AM42" si="42">R25*11.5</f>
        <v>64.2574</v>
      </c>
      <c r="AN25" s="391">
        <f t="shared" ref="AN25:AN42" si="43">R25*12</f>
        <v>67.0512</v>
      </c>
    </row>
    <row r="26">
      <c r="A26" s="162" t="s">
        <v>307</v>
      </c>
      <c r="B26" s="379" t="s">
        <v>480</v>
      </c>
      <c r="C26" s="314"/>
      <c r="D26" s="392" t="s">
        <v>484</v>
      </c>
      <c r="E26" s="386" t="s">
        <v>485</v>
      </c>
      <c r="F26" s="323">
        <f t="shared" si="14"/>
        <v>6.829931973</v>
      </c>
      <c r="G26" s="323" t="s">
        <v>483</v>
      </c>
      <c r="H26" s="323">
        <f t="shared" si="15"/>
        <v>0.7000680272</v>
      </c>
      <c r="I26" s="393">
        <v>7.53</v>
      </c>
      <c r="J26" s="388">
        <f t="shared" si="16"/>
        <v>9.1866</v>
      </c>
      <c r="K26" s="341">
        <f t="shared" si="17"/>
        <v>9.561904762</v>
      </c>
      <c r="L26" s="342">
        <f t="shared" si="18"/>
        <v>11.66552381</v>
      </c>
      <c r="M26" s="314"/>
      <c r="N26" s="314">
        <f t="shared" ref="N26:N29" si="44">($J$25-J26)*-1</f>
        <v>3.599</v>
      </c>
      <c r="O26" s="314"/>
      <c r="P26" s="390" t="str">
        <f t="shared" si="19"/>
        <v>Chapas Aluzinc Cal. 31 - BC18 - BC30 - BC35 / Esp. 0.31 mm</v>
      </c>
      <c r="Q26" s="391">
        <f t="shared" si="20"/>
        <v>4.5933</v>
      </c>
      <c r="R26" s="394">
        <f t="shared" si="21"/>
        <v>9.1866</v>
      </c>
      <c r="S26" s="391">
        <f t="shared" si="22"/>
        <v>13.7799</v>
      </c>
      <c r="T26" s="391">
        <f t="shared" si="23"/>
        <v>18.3732</v>
      </c>
      <c r="U26" s="391">
        <f t="shared" si="24"/>
        <v>22.9665</v>
      </c>
      <c r="V26" s="391">
        <f t="shared" si="25"/>
        <v>27.5598</v>
      </c>
      <c r="W26" s="391">
        <f t="shared" si="26"/>
        <v>32.1531</v>
      </c>
      <c r="X26" s="391">
        <f t="shared" si="27"/>
        <v>36.7464</v>
      </c>
      <c r="Y26" s="391">
        <f t="shared" si="28"/>
        <v>41.3397</v>
      </c>
      <c r="Z26" s="391">
        <f t="shared" si="29"/>
        <v>45.933</v>
      </c>
      <c r="AA26" s="391">
        <f t="shared" si="30"/>
        <v>50.5263</v>
      </c>
      <c r="AB26" s="391">
        <f t="shared" si="31"/>
        <v>55.1196</v>
      </c>
      <c r="AC26" s="391">
        <f t="shared" si="32"/>
        <v>59.7129</v>
      </c>
      <c r="AD26" s="391">
        <f t="shared" si="33"/>
        <v>64.3062</v>
      </c>
      <c r="AE26" s="391">
        <f t="shared" si="34"/>
        <v>68.8995</v>
      </c>
      <c r="AF26" s="391">
        <f t="shared" si="35"/>
        <v>73.4928</v>
      </c>
      <c r="AG26" s="391">
        <f t="shared" si="36"/>
        <v>78.0861</v>
      </c>
      <c r="AH26" s="391">
        <f t="shared" si="37"/>
        <v>82.6794</v>
      </c>
      <c r="AI26" s="391">
        <f t="shared" si="38"/>
        <v>87.2727</v>
      </c>
      <c r="AJ26" s="391">
        <f t="shared" si="39"/>
        <v>91.866</v>
      </c>
      <c r="AK26" s="391">
        <f t="shared" si="40"/>
        <v>96.4593</v>
      </c>
      <c r="AL26" s="391">
        <f t="shared" si="41"/>
        <v>101.0526</v>
      </c>
      <c r="AM26" s="391">
        <f t="shared" si="42"/>
        <v>105.6459</v>
      </c>
      <c r="AN26" s="391">
        <f t="shared" si="43"/>
        <v>110.2392</v>
      </c>
    </row>
    <row r="27">
      <c r="A27" s="162" t="s">
        <v>307</v>
      </c>
      <c r="B27" s="379" t="s">
        <v>480</v>
      </c>
      <c r="C27" s="314"/>
      <c r="D27" s="392" t="s">
        <v>486</v>
      </c>
      <c r="E27" s="386" t="s">
        <v>487</v>
      </c>
      <c r="F27" s="323">
        <f t="shared" si="14"/>
        <v>8.571428571</v>
      </c>
      <c r="G27" s="323" t="s">
        <v>483</v>
      </c>
      <c r="H27" s="323">
        <f t="shared" si="15"/>
        <v>0.8785714286</v>
      </c>
      <c r="I27" s="393">
        <v>9.45</v>
      </c>
      <c r="J27" s="395">
        <f t="shared" si="16"/>
        <v>11.529</v>
      </c>
      <c r="K27" s="341">
        <f t="shared" si="17"/>
        <v>12</v>
      </c>
      <c r="L27" s="342">
        <f t="shared" si="18"/>
        <v>14.64</v>
      </c>
      <c r="M27" s="314">
        <f t="shared" ref="M27:M28" si="45">J27*3.5</f>
        <v>40.3515</v>
      </c>
      <c r="N27" s="314">
        <f t="shared" si="44"/>
        <v>5.9414</v>
      </c>
      <c r="O27" s="314"/>
      <c r="P27" s="390" t="str">
        <f t="shared" si="19"/>
        <v>Chapas Aluzinc Cal. 26 - BC18 - BC30 - BC35 / Esp. 0.41 mm</v>
      </c>
      <c r="Q27" s="396">
        <f t="shared" si="20"/>
        <v>5.7645</v>
      </c>
      <c r="R27" s="397">
        <f t="shared" si="21"/>
        <v>11.529</v>
      </c>
      <c r="S27" s="398">
        <f t="shared" si="22"/>
        <v>17.2935</v>
      </c>
      <c r="T27" s="391">
        <f t="shared" si="23"/>
        <v>23.058</v>
      </c>
      <c r="U27" s="391">
        <f t="shared" si="24"/>
        <v>28.8225</v>
      </c>
      <c r="V27" s="391">
        <f t="shared" si="25"/>
        <v>34.587</v>
      </c>
      <c r="W27" s="391">
        <f t="shared" si="26"/>
        <v>40.3515</v>
      </c>
      <c r="X27" s="391">
        <f t="shared" si="27"/>
        <v>46.116</v>
      </c>
      <c r="Y27" s="391">
        <f t="shared" si="28"/>
        <v>51.8805</v>
      </c>
      <c r="Z27" s="391">
        <f t="shared" si="29"/>
        <v>57.645</v>
      </c>
      <c r="AA27" s="391">
        <f t="shared" si="30"/>
        <v>63.4095</v>
      </c>
      <c r="AB27" s="391">
        <f t="shared" si="31"/>
        <v>69.174</v>
      </c>
      <c r="AC27" s="391">
        <f t="shared" si="32"/>
        <v>74.9385</v>
      </c>
      <c r="AD27" s="391">
        <f t="shared" si="33"/>
        <v>80.703</v>
      </c>
      <c r="AE27" s="391">
        <f t="shared" si="34"/>
        <v>86.4675</v>
      </c>
      <c r="AF27" s="391">
        <f t="shared" si="35"/>
        <v>92.232</v>
      </c>
      <c r="AG27" s="391">
        <f t="shared" si="36"/>
        <v>97.9965</v>
      </c>
      <c r="AH27" s="391">
        <f t="shared" si="37"/>
        <v>103.761</v>
      </c>
      <c r="AI27" s="391">
        <f t="shared" si="38"/>
        <v>109.5255</v>
      </c>
      <c r="AJ27" s="391">
        <f t="shared" si="39"/>
        <v>115.29</v>
      </c>
      <c r="AK27" s="391">
        <f t="shared" si="40"/>
        <v>121.0545</v>
      </c>
      <c r="AL27" s="391">
        <f t="shared" si="41"/>
        <v>126.819</v>
      </c>
      <c r="AM27" s="391">
        <f t="shared" si="42"/>
        <v>132.5835</v>
      </c>
      <c r="AN27" s="391">
        <f t="shared" si="43"/>
        <v>138.348</v>
      </c>
    </row>
    <row r="28">
      <c r="A28" s="162" t="s">
        <v>307</v>
      </c>
      <c r="B28" s="379" t="s">
        <v>480</v>
      </c>
      <c r="C28" s="314"/>
      <c r="D28" s="392" t="s">
        <v>488</v>
      </c>
      <c r="E28" s="386" t="s">
        <v>489</v>
      </c>
      <c r="F28" s="323">
        <f t="shared" si="14"/>
        <v>10.50340136</v>
      </c>
      <c r="G28" s="323" t="s">
        <v>483</v>
      </c>
      <c r="H28" s="323">
        <f t="shared" si="15"/>
        <v>1.076598639</v>
      </c>
      <c r="I28" s="393">
        <v>11.58</v>
      </c>
      <c r="J28" s="388">
        <f t="shared" si="16"/>
        <v>14.1276</v>
      </c>
      <c r="K28" s="341">
        <f t="shared" si="17"/>
        <v>14.7047619</v>
      </c>
      <c r="L28" s="342">
        <f t="shared" si="18"/>
        <v>17.93980952</v>
      </c>
      <c r="M28" s="314">
        <f t="shared" si="45"/>
        <v>49.4466</v>
      </c>
      <c r="N28" s="314">
        <f t="shared" si="44"/>
        <v>8.54</v>
      </c>
      <c r="O28" s="314"/>
      <c r="P28" s="390" t="str">
        <f t="shared" si="19"/>
        <v>Chapas Aluzinc Cal. 24 - BC18 - BC30 - BC35 / Esp. 0.50 mm</v>
      </c>
      <c r="Q28" s="391">
        <f t="shared" si="20"/>
        <v>7.0638</v>
      </c>
      <c r="R28" s="399">
        <f t="shared" si="21"/>
        <v>14.1276</v>
      </c>
      <c r="S28" s="391">
        <f t="shared" si="22"/>
        <v>21.1914</v>
      </c>
      <c r="T28" s="391">
        <f t="shared" si="23"/>
        <v>28.2552</v>
      </c>
      <c r="U28" s="391">
        <f t="shared" si="24"/>
        <v>35.319</v>
      </c>
      <c r="V28" s="391">
        <f t="shared" si="25"/>
        <v>42.3828</v>
      </c>
      <c r="W28" s="391">
        <f t="shared" si="26"/>
        <v>49.4466</v>
      </c>
      <c r="X28" s="391">
        <f t="shared" si="27"/>
        <v>56.5104</v>
      </c>
      <c r="Y28" s="391">
        <f t="shared" si="28"/>
        <v>63.5742</v>
      </c>
      <c r="Z28" s="391">
        <f t="shared" si="29"/>
        <v>70.638</v>
      </c>
      <c r="AA28" s="391">
        <f t="shared" si="30"/>
        <v>77.7018</v>
      </c>
      <c r="AB28" s="391">
        <f t="shared" si="31"/>
        <v>84.7656</v>
      </c>
      <c r="AC28" s="391">
        <f t="shared" si="32"/>
        <v>91.8294</v>
      </c>
      <c r="AD28" s="391">
        <f t="shared" si="33"/>
        <v>98.8932</v>
      </c>
      <c r="AE28" s="391">
        <f t="shared" si="34"/>
        <v>105.957</v>
      </c>
      <c r="AF28" s="391">
        <f t="shared" si="35"/>
        <v>113.0208</v>
      </c>
      <c r="AG28" s="391">
        <f t="shared" si="36"/>
        <v>120.0846</v>
      </c>
      <c r="AH28" s="391">
        <f t="shared" si="37"/>
        <v>127.1484</v>
      </c>
      <c r="AI28" s="391">
        <f t="shared" si="38"/>
        <v>134.2122</v>
      </c>
      <c r="AJ28" s="391">
        <f t="shared" si="39"/>
        <v>141.276</v>
      </c>
      <c r="AK28" s="391">
        <f t="shared" si="40"/>
        <v>148.3398</v>
      </c>
      <c r="AL28" s="391">
        <f t="shared" si="41"/>
        <v>155.4036</v>
      </c>
      <c r="AM28" s="391">
        <f t="shared" si="42"/>
        <v>162.4674</v>
      </c>
      <c r="AN28" s="391">
        <f t="shared" si="43"/>
        <v>169.5312</v>
      </c>
    </row>
    <row r="29">
      <c r="A29" s="162" t="s">
        <v>307</v>
      </c>
      <c r="B29" s="379" t="s">
        <v>480</v>
      </c>
      <c r="C29" s="314"/>
      <c r="D29" s="400" t="s">
        <v>490</v>
      </c>
      <c r="E29" s="401" t="s">
        <v>491</v>
      </c>
      <c r="F29" s="349">
        <f t="shared" si="14"/>
        <v>16.84353741</v>
      </c>
      <c r="G29" s="349" t="s">
        <v>483</v>
      </c>
      <c r="H29" s="349">
        <f t="shared" si="15"/>
        <v>1.726462585</v>
      </c>
      <c r="I29" s="402">
        <v>18.57</v>
      </c>
      <c r="J29" s="372">
        <f t="shared" si="16"/>
        <v>22.6554</v>
      </c>
      <c r="K29" s="341">
        <f t="shared" si="17"/>
        <v>23.58095238</v>
      </c>
      <c r="L29" s="342">
        <f t="shared" si="18"/>
        <v>28.7687619</v>
      </c>
      <c r="M29" s="314" t="s">
        <v>291</v>
      </c>
      <c r="N29" s="314">
        <f t="shared" si="44"/>
        <v>17.0678</v>
      </c>
      <c r="O29" s="314"/>
      <c r="P29" s="390" t="str">
        <f t="shared" si="19"/>
        <v>Chapas Aluzinc Cal. 22 - BC18 - BC30 - BC35 / Esp. 0.70 mm</v>
      </c>
      <c r="Q29" s="391">
        <f t="shared" si="20"/>
        <v>11.3277</v>
      </c>
      <c r="R29" s="394">
        <f t="shared" si="21"/>
        <v>22.6554</v>
      </c>
      <c r="S29" s="391">
        <f t="shared" si="22"/>
        <v>33.9831</v>
      </c>
      <c r="T29" s="391">
        <f t="shared" si="23"/>
        <v>45.3108</v>
      </c>
      <c r="U29" s="391">
        <f t="shared" si="24"/>
        <v>56.6385</v>
      </c>
      <c r="V29" s="391">
        <f t="shared" si="25"/>
        <v>67.9662</v>
      </c>
      <c r="W29" s="391">
        <f t="shared" si="26"/>
        <v>79.2939</v>
      </c>
      <c r="X29" s="391">
        <f t="shared" si="27"/>
        <v>90.6216</v>
      </c>
      <c r="Y29" s="391">
        <f t="shared" si="28"/>
        <v>101.9493</v>
      </c>
      <c r="Z29" s="391">
        <f t="shared" si="29"/>
        <v>113.277</v>
      </c>
      <c r="AA29" s="391">
        <f t="shared" si="30"/>
        <v>124.6047</v>
      </c>
      <c r="AB29" s="391">
        <f t="shared" si="31"/>
        <v>135.9324</v>
      </c>
      <c r="AC29" s="391">
        <f t="shared" si="32"/>
        <v>147.2601</v>
      </c>
      <c r="AD29" s="391">
        <f t="shared" si="33"/>
        <v>158.5878</v>
      </c>
      <c r="AE29" s="391">
        <f t="shared" si="34"/>
        <v>169.9155</v>
      </c>
      <c r="AF29" s="391">
        <f t="shared" si="35"/>
        <v>181.2432</v>
      </c>
      <c r="AG29" s="391">
        <f t="shared" si="36"/>
        <v>192.5709</v>
      </c>
      <c r="AH29" s="391">
        <f t="shared" si="37"/>
        <v>203.8986</v>
      </c>
      <c r="AI29" s="391">
        <f t="shared" si="38"/>
        <v>215.2263</v>
      </c>
      <c r="AJ29" s="391">
        <f t="shared" si="39"/>
        <v>226.554</v>
      </c>
      <c r="AK29" s="391">
        <f t="shared" si="40"/>
        <v>237.8817</v>
      </c>
      <c r="AL29" s="391">
        <f t="shared" si="41"/>
        <v>249.2094</v>
      </c>
      <c r="AM29" s="391">
        <f t="shared" si="42"/>
        <v>260.5371</v>
      </c>
      <c r="AN29" s="391">
        <f t="shared" si="43"/>
        <v>271.8648</v>
      </c>
    </row>
    <row r="30">
      <c r="A30" s="162" t="s">
        <v>307</v>
      </c>
      <c r="B30" s="379" t="s">
        <v>480</v>
      </c>
      <c r="C30" s="314"/>
      <c r="D30" s="385" t="s">
        <v>492</v>
      </c>
      <c r="E30" s="386" t="s">
        <v>493</v>
      </c>
      <c r="F30" s="403">
        <f t="shared" si="14"/>
        <v>11.09297052</v>
      </c>
      <c r="G30" s="403" t="s">
        <v>483</v>
      </c>
      <c r="H30" s="403">
        <f t="shared" si="15"/>
        <v>1.137029478</v>
      </c>
      <c r="I30" s="387">
        <v>12.23</v>
      </c>
      <c r="J30" s="372">
        <f t="shared" si="16"/>
        <v>14.9206</v>
      </c>
      <c r="K30" s="341">
        <f t="shared" si="17"/>
        <v>15.53015873</v>
      </c>
      <c r="L30" s="342">
        <f t="shared" si="18"/>
        <v>18.94679365</v>
      </c>
      <c r="M30" s="314">
        <f t="shared" ref="M30:M32" si="46">J30*3.5</f>
        <v>52.2221</v>
      </c>
      <c r="N30" s="314">
        <f>J31-J30</f>
        <v>4.5018</v>
      </c>
      <c r="O30" s="314"/>
      <c r="P30" s="404" t="str">
        <f t="shared" si="19"/>
        <v>Chapas Prepintada Cal. 26 - BC18 - BC30 - BC35 / Esp. 0.41 mm / Azul / Gris Piz. / Terracota / Verde</v>
      </c>
      <c r="Q30" s="405">
        <f t="shared" si="20"/>
        <v>7.4603</v>
      </c>
      <c r="R30" s="397">
        <f t="shared" si="21"/>
        <v>14.9206</v>
      </c>
      <c r="S30" s="406">
        <f t="shared" si="22"/>
        <v>22.3809</v>
      </c>
      <c r="T30" s="407">
        <f t="shared" si="23"/>
        <v>29.8412</v>
      </c>
      <c r="U30" s="407">
        <f t="shared" si="24"/>
        <v>37.3015</v>
      </c>
      <c r="V30" s="407">
        <f t="shared" si="25"/>
        <v>44.7618</v>
      </c>
      <c r="W30" s="407">
        <f t="shared" si="26"/>
        <v>52.2221</v>
      </c>
      <c r="X30" s="407">
        <f t="shared" si="27"/>
        <v>59.6824</v>
      </c>
      <c r="Y30" s="407">
        <f t="shared" si="28"/>
        <v>67.1427</v>
      </c>
      <c r="Z30" s="407">
        <f t="shared" si="29"/>
        <v>74.603</v>
      </c>
      <c r="AA30" s="407">
        <f t="shared" si="30"/>
        <v>82.0633</v>
      </c>
      <c r="AB30" s="407">
        <f t="shared" si="31"/>
        <v>89.5236</v>
      </c>
      <c r="AC30" s="407">
        <f t="shared" si="32"/>
        <v>96.9839</v>
      </c>
      <c r="AD30" s="407">
        <f t="shared" si="33"/>
        <v>104.4442</v>
      </c>
      <c r="AE30" s="407">
        <f t="shared" si="34"/>
        <v>111.9045</v>
      </c>
      <c r="AF30" s="407">
        <f t="shared" si="35"/>
        <v>119.3648</v>
      </c>
      <c r="AG30" s="407">
        <f t="shared" si="36"/>
        <v>126.8251</v>
      </c>
      <c r="AH30" s="407">
        <f t="shared" si="37"/>
        <v>134.2854</v>
      </c>
      <c r="AI30" s="407">
        <f t="shared" si="38"/>
        <v>141.7457</v>
      </c>
      <c r="AJ30" s="407">
        <f t="shared" si="39"/>
        <v>149.206</v>
      </c>
      <c r="AK30" s="407">
        <f t="shared" si="40"/>
        <v>156.6663</v>
      </c>
      <c r="AL30" s="407">
        <f t="shared" si="41"/>
        <v>164.1266</v>
      </c>
      <c r="AM30" s="407">
        <f t="shared" si="42"/>
        <v>171.5869</v>
      </c>
      <c r="AN30" s="407">
        <f t="shared" si="43"/>
        <v>179.0472</v>
      </c>
    </row>
    <row r="31">
      <c r="A31" s="162" t="s">
        <v>307</v>
      </c>
      <c r="B31" s="379" t="s">
        <v>480</v>
      </c>
      <c r="C31" s="314"/>
      <c r="D31" s="408" t="s">
        <v>494</v>
      </c>
      <c r="E31" s="401" t="s">
        <v>495</v>
      </c>
      <c r="F31" s="349">
        <f t="shared" si="14"/>
        <v>14.4399093</v>
      </c>
      <c r="G31" s="349" t="s">
        <v>483</v>
      </c>
      <c r="H31" s="349">
        <f t="shared" si="15"/>
        <v>1.480090703</v>
      </c>
      <c r="I31" s="402">
        <v>15.92</v>
      </c>
      <c r="J31" s="372">
        <f t="shared" si="16"/>
        <v>19.4224</v>
      </c>
      <c r="K31" s="341">
        <f t="shared" si="17"/>
        <v>20.21587302</v>
      </c>
      <c r="L31" s="342">
        <f t="shared" si="18"/>
        <v>24.66336508</v>
      </c>
      <c r="M31" s="314">
        <f t="shared" si="46"/>
        <v>67.9784</v>
      </c>
      <c r="N31" s="314"/>
      <c r="O31" s="314"/>
      <c r="P31" s="404" t="str">
        <f t="shared" si="19"/>
        <v>Chapas Prepintada Cal. 24 - BC18 - BC30 - BC35 / Esp. 0.50 mm / Blanco / Gris Piz. / Terracota / Negro</v>
      </c>
      <c r="Q31" s="407">
        <f t="shared" si="20"/>
        <v>9.7112</v>
      </c>
      <c r="R31" s="399">
        <f t="shared" si="21"/>
        <v>19.4224</v>
      </c>
      <c r="S31" s="407">
        <f t="shared" si="22"/>
        <v>29.1336</v>
      </c>
      <c r="T31" s="407">
        <f t="shared" si="23"/>
        <v>38.8448</v>
      </c>
      <c r="U31" s="407">
        <f t="shared" si="24"/>
        <v>48.556</v>
      </c>
      <c r="V31" s="407">
        <f t="shared" si="25"/>
        <v>58.2672</v>
      </c>
      <c r="W31" s="407">
        <f t="shared" si="26"/>
        <v>67.9784</v>
      </c>
      <c r="X31" s="407">
        <f t="shared" si="27"/>
        <v>77.6896</v>
      </c>
      <c r="Y31" s="407">
        <f t="shared" si="28"/>
        <v>87.4008</v>
      </c>
      <c r="Z31" s="407">
        <f t="shared" si="29"/>
        <v>97.112</v>
      </c>
      <c r="AA31" s="407">
        <f t="shared" si="30"/>
        <v>106.8232</v>
      </c>
      <c r="AB31" s="407">
        <f t="shared" si="31"/>
        <v>116.5344</v>
      </c>
      <c r="AC31" s="407">
        <f t="shared" si="32"/>
        <v>126.2456</v>
      </c>
      <c r="AD31" s="407">
        <f t="shared" si="33"/>
        <v>135.9568</v>
      </c>
      <c r="AE31" s="407">
        <f t="shared" si="34"/>
        <v>145.668</v>
      </c>
      <c r="AF31" s="407">
        <f t="shared" si="35"/>
        <v>155.3792</v>
      </c>
      <c r="AG31" s="407">
        <f t="shared" si="36"/>
        <v>165.0904</v>
      </c>
      <c r="AH31" s="407">
        <f t="shared" si="37"/>
        <v>174.8016</v>
      </c>
      <c r="AI31" s="407">
        <f t="shared" si="38"/>
        <v>184.5128</v>
      </c>
      <c r="AJ31" s="407">
        <f t="shared" si="39"/>
        <v>194.224</v>
      </c>
      <c r="AK31" s="407">
        <f t="shared" si="40"/>
        <v>203.9352</v>
      </c>
      <c r="AL31" s="407">
        <f t="shared" si="41"/>
        <v>213.6464</v>
      </c>
      <c r="AM31" s="407">
        <f t="shared" si="42"/>
        <v>223.3576</v>
      </c>
      <c r="AN31" s="407">
        <f t="shared" si="43"/>
        <v>233.0688</v>
      </c>
    </row>
    <row r="32">
      <c r="A32" s="162" t="s">
        <v>282</v>
      </c>
      <c r="B32" s="314"/>
      <c r="C32" s="314"/>
      <c r="D32" s="392" t="s">
        <v>496</v>
      </c>
      <c r="E32" s="386" t="s">
        <v>497</v>
      </c>
      <c r="F32" s="403">
        <f t="shared" si="14"/>
        <v>11.09297052</v>
      </c>
      <c r="G32" s="403" t="s">
        <v>483</v>
      </c>
      <c r="H32" s="403">
        <f t="shared" si="15"/>
        <v>1.137029478</v>
      </c>
      <c r="I32" s="387">
        <v>12.23</v>
      </c>
      <c r="J32" s="388">
        <f t="shared" si="16"/>
        <v>14.9206</v>
      </c>
      <c r="K32" s="341">
        <f t="shared" si="17"/>
        <v>15.53015873</v>
      </c>
      <c r="L32" s="342">
        <f t="shared" si="18"/>
        <v>18.94679365</v>
      </c>
      <c r="M32" s="314">
        <f t="shared" si="46"/>
        <v>52.2221</v>
      </c>
      <c r="N32" s="314"/>
      <c r="O32" s="314"/>
      <c r="P32" s="409" t="str">
        <f t="shared" si="19"/>
        <v>Chapateja Prepintada Cal. 26  / Esp. 0.41 mm</v>
      </c>
      <c r="Q32" s="410">
        <f t="shared" si="20"/>
        <v>7.4603</v>
      </c>
      <c r="R32" s="384">
        <f t="shared" si="21"/>
        <v>14.9206</v>
      </c>
      <c r="S32" s="410">
        <f t="shared" si="22"/>
        <v>22.3809</v>
      </c>
      <c r="T32" s="410">
        <f t="shared" si="23"/>
        <v>29.8412</v>
      </c>
      <c r="U32" s="410">
        <f t="shared" si="24"/>
        <v>37.3015</v>
      </c>
      <c r="V32" s="410">
        <f t="shared" si="25"/>
        <v>44.7618</v>
      </c>
      <c r="W32" s="410">
        <f t="shared" si="26"/>
        <v>52.2221</v>
      </c>
      <c r="X32" s="410">
        <f t="shared" si="27"/>
        <v>59.6824</v>
      </c>
      <c r="Y32" s="410">
        <f t="shared" si="28"/>
        <v>67.1427</v>
      </c>
      <c r="Z32" s="410">
        <f t="shared" si="29"/>
        <v>74.603</v>
      </c>
      <c r="AA32" s="410">
        <f t="shared" si="30"/>
        <v>82.0633</v>
      </c>
      <c r="AB32" s="410">
        <f t="shared" si="31"/>
        <v>89.5236</v>
      </c>
      <c r="AC32" s="410">
        <f t="shared" si="32"/>
        <v>96.9839</v>
      </c>
      <c r="AD32" s="410">
        <f t="shared" si="33"/>
        <v>104.4442</v>
      </c>
      <c r="AE32" s="410">
        <f t="shared" si="34"/>
        <v>111.9045</v>
      </c>
      <c r="AF32" s="410">
        <f t="shared" si="35"/>
        <v>119.3648</v>
      </c>
      <c r="AG32" s="410">
        <f t="shared" si="36"/>
        <v>126.8251</v>
      </c>
      <c r="AH32" s="410">
        <f t="shared" si="37"/>
        <v>134.2854</v>
      </c>
      <c r="AI32" s="410">
        <f t="shared" si="38"/>
        <v>141.7457</v>
      </c>
      <c r="AJ32" s="410">
        <f t="shared" si="39"/>
        <v>149.206</v>
      </c>
      <c r="AK32" s="410">
        <f t="shared" si="40"/>
        <v>156.6663</v>
      </c>
      <c r="AL32" s="410">
        <f t="shared" si="41"/>
        <v>164.1266</v>
      </c>
      <c r="AM32" s="410">
        <f t="shared" si="42"/>
        <v>171.5869</v>
      </c>
      <c r="AN32" s="410">
        <f t="shared" si="43"/>
        <v>179.0472</v>
      </c>
    </row>
    <row r="33" ht="15.75" hidden="1" customHeight="1">
      <c r="A33" s="162" t="s">
        <v>282</v>
      </c>
      <c r="B33" s="314"/>
      <c r="C33" s="314"/>
      <c r="D33" s="392" t="s">
        <v>498</v>
      </c>
      <c r="E33" s="386" t="s">
        <v>499</v>
      </c>
      <c r="F33" s="403">
        <v>10.1</v>
      </c>
      <c r="G33" s="403" t="s">
        <v>483</v>
      </c>
      <c r="H33" s="403">
        <f t="shared" si="15"/>
        <v>2.23</v>
      </c>
      <c r="I33" s="387">
        <v>12.33</v>
      </c>
      <c r="J33" s="388">
        <f t="shared" si="16"/>
        <v>15.0426</v>
      </c>
      <c r="K33" s="341">
        <f t="shared" si="17"/>
        <v>14.14</v>
      </c>
      <c r="L33" s="342">
        <f t="shared" si="18"/>
        <v>17.2508</v>
      </c>
      <c r="M33" s="314"/>
      <c r="N33" s="314"/>
      <c r="O33" s="314"/>
      <c r="P33" s="409" t="str">
        <f t="shared" si="19"/>
        <v>Chapateja Prepintada Cal. 27  / Esp. 0.41 mm</v>
      </c>
      <c r="Q33" s="410">
        <f t="shared" si="20"/>
        <v>7.5213</v>
      </c>
      <c r="R33" s="384">
        <f t="shared" si="21"/>
        <v>15.0426</v>
      </c>
      <c r="S33" s="410">
        <f t="shared" si="22"/>
        <v>22.5639</v>
      </c>
      <c r="T33" s="410">
        <f t="shared" si="23"/>
        <v>30.0852</v>
      </c>
      <c r="U33" s="410">
        <f t="shared" si="24"/>
        <v>37.6065</v>
      </c>
      <c r="V33" s="410">
        <f t="shared" si="25"/>
        <v>45.1278</v>
      </c>
      <c r="W33" s="410">
        <f t="shared" si="26"/>
        <v>52.6491</v>
      </c>
      <c r="X33" s="410">
        <f t="shared" si="27"/>
        <v>60.1704</v>
      </c>
      <c r="Y33" s="410">
        <f t="shared" si="28"/>
        <v>67.6917</v>
      </c>
      <c r="Z33" s="410">
        <f t="shared" si="29"/>
        <v>75.213</v>
      </c>
      <c r="AA33" s="410">
        <f t="shared" si="30"/>
        <v>82.7343</v>
      </c>
      <c r="AB33" s="410">
        <f t="shared" si="31"/>
        <v>90.2556</v>
      </c>
      <c r="AC33" s="410">
        <f t="shared" si="32"/>
        <v>97.7769</v>
      </c>
      <c r="AD33" s="410">
        <f t="shared" si="33"/>
        <v>105.2982</v>
      </c>
      <c r="AE33" s="410">
        <f t="shared" si="34"/>
        <v>112.8195</v>
      </c>
      <c r="AF33" s="410">
        <f t="shared" si="35"/>
        <v>120.3408</v>
      </c>
      <c r="AG33" s="410">
        <f t="shared" si="36"/>
        <v>127.8621</v>
      </c>
      <c r="AH33" s="410">
        <f t="shared" si="37"/>
        <v>135.3834</v>
      </c>
      <c r="AI33" s="410">
        <f t="shared" si="38"/>
        <v>142.9047</v>
      </c>
      <c r="AJ33" s="410">
        <f t="shared" si="39"/>
        <v>150.426</v>
      </c>
      <c r="AK33" s="410">
        <f t="shared" si="40"/>
        <v>157.9473</v>
      </c>
      <c r="AL33" s="410">
        <f t="shared" si="41"/>
        <v>165.4686</v>
      </c>
      <c r="AM33" s="410">
        <f t="shared" si="42"/>
        <v>172.9899</v>
      </c>
      <c r="AN33" s="410">
        <f t="shared" si="43"/>
        <v>180.5112</v>
      </c>
    </row>
    <row r="34" ht="15.75" customHeight="1">
      <c r="A34" s="162" t="s">
        <v>282</v>
      </c>
      <c r="B34" s="314"/>
      <c r="C34" s="314"/>
      <c r="D34" s="400" t="s">
        <v>500</v>
      </c>
      <c r="E34" s="401" t="s">
        <v>501</v>
      </c>
      <c r="F34" s="349">
        <f t="shared" ref="F34:F55" si="47">I34/1.05/1.05</f>
        <v>14.4399093</v>
      </c>
      <c r="G34" s="349" t="s">
        <v>483</v>
      </c>
      <c r="H34" s="349">
        <f t="shared" si="15"/>
        <v>1.480090703</v>
      </c>
      <c r="I34" s="402">
        <v>15.92</v>
      </c>
      <c r="J34" s="372">
        <f t="shared" si="16"/>
        <v>19.4224</v>
      </c>
      <c r="K34" s="341">
        <f t="shared" si="17"/>
        <v>20.21587302</v>
      </c>
      <c r="L34" s="342">
        <f t="shared" si="18"/>
        <v>24.66336508</v>
      </c>
      <c r="M34" s="314">
        <f t="shared" ref="M34:M55" si="48">J34*3.5</f>
        <v>67.9784</v>
      </c>
      <c r="N34" s="314"/>
      <c r="O34" s="314"/>
      <c r="P34" s="409" t="str">
        <f t="shared" si="19"/>
        <v>Chapateja Prepintada Cal. 24 / Esp. 0.50 mm</v>
      </c>
      <c r="Q34" s="410">
        <f t="shared" si="20"/>
        <v>9.7112</v>
      </c>
      <c r="R34" s="384">
        <f t="shared" si="21"/>
        <v>19.4224</v>
      </c>
      <c r="S34" s="410">
        <f t="shared" si="22"/>
        <v>29.1336</v>
      </c>
      <c r="T34" s="410">
        <f t="shared" si="23"/>
        <v>38.8448</v>
      </c>
      <c r="U34" s="410">
        <f t="shared" si="24"/>
        <v>48.556</v>
      </c>
      <c r="V34" s="410">
        <f t="shared" si="25"/>
        <v>58.2672</v>
      </c>
      <c r="W34" s="410">
        <f t="shared" si="26"/>
        <v>67.9784</v>
      </c>
      <c r="X34" s="410">
        <f t="shared" si="27"/>
        <v>77.6896</v>
      </c>
      <c r="Y34" s="410">
        <f t="shared" si="28"/>
        <v>87.4008</v>
      </c>
      <c r="Z34" s="410">
        <f t="shared" si="29"/>
        <v>97.112</v>
      </c>
      <c r="AA34" s="410">
        <f t="shared" si="30"/>
        <v>106.8232</v>
      </c>
      <c r="AB34" s="410">
        <f t="shared" si="31"/>
        <v>116.5344</v>
      </c>
      <c r="AC34" s="410">
        <f t="shared" si="32"/>
        <v>126.2456</v>
      </c>
      <c r="AD34" s="410">
        <f t="shared" si="33"/>
        <v>135.9568</v>
      </c>
      <c r="AE34" s="410">
        <f t="shared" si="34"/>
        <v>145.668</v>
      </c>
      <c r="AF34" s="410">
        <f t="shared" si="35"/>
        <v>155.3792</v>
      </c>
      <c r="AG34" s="410">
        <f t="shared" si="36"/>
        <v>165.0904</v>
      </c>
      <c r="AH34" s="410">
        <f t="shared" si="37"/>
        <v>174.8016</v>
      </c>
      <c r="AI34" s="410">
        <f t="shared" si="38"/>
        <v>184.5128</v>
      </c>
      <c r="AJ34" s="410">
        <f t="shared" si="39"/>
        <v>194.224</v>
      </c>
      <c r="AK34" s="410">
        <f t="shared" si="40"/>
        <v>203.9352</v>
      </c>
      <c r="AL34" s="410">
        <f t="shared" si="41"/>
        <v>213.6464</v>
      </c>
      <c r="AM34" s="410">
        <f t="shared" si="42"/>
        <v>223.3576</v>
      </c>
      <c r="AN34" s="410">
        <f t="shared" si="43"/>
        <v>233.0688</v>
      </c>
    </row>
    <row r="35" ht="15.75" customHeight="1">
      <c r="A35" s="162" t="s">
        <v>282</v>
      </c>
      <c r="B35" s="314"/>
      <c r="C35" s="314"/>
      <c r="D35" s="385" t="s">
        <v>502</v>
      </c>
      <c r="E35" s="386" t="s">
        <v>503</v>
      </c>
      <c r="F35" s="403">
        <f t="shared" si="47"/>
        <v>8.571428571</v>
      </c>
      <c r="G35" s="403" t="s">
        <v>483</v>
      </c>
      <c r="H35" s="403">
        <f t="shared" si="15"/>
        <v>0.8785714286</v>
      </c>
      <c r="I35" s="387">
        <v>9.45</v>
      </c>
      <c r="J35" s="388">
        <f t="shared" si="16"/>
        <v>11.529</v>
      </c>
      <c r="K35" s="341">
        <f t="shared" si="17"/>
        <v>12</v>
      </c>
      <c r="L35" s="342">
        <f t="shared" si="18"/>
        <v>14.64</v>
      </c>
      <c r="M35" s="314">
        <f t="shared" si="48"/>
        <v>40.3515</v>
      </c>
      <c r="N35" s="314"/>
      <c r="O35" s="314"/>
      <c r="P35" s="409" t="str">
        <f t="shared" si="19"/>
        <v>Autoportante Aluzinc BC-120 Cal. 26  / Esp. 0.41 mm</v>
      </c>
      <c r="Q35" s="410">
        <f t="shared" si="20"/>
        <v>5.7645</v>
      </c>
      <c r="R35" s="384">
        <f t="shared" si="21"/>
        <v>11.529</v>
      </c>
      <c r="S35" s="410">
        <f t="shared" si="22"/>
        <v>17.2935</v>
      </c>
      <c r="T35" s="410">
        <f t="shared" si="23"/>
        <v>23.058</v>
      </c>
      <c r="U35" s="410">
        <f t="shared" si="24"/>
        <v>28.8225</v>
      </c>
      <c r="V35" s="410">
        <f t="shared" si="25"/>
        <v>34.587</v>
      </c>
      <c r="W35" s="410">
        <f t="shared" si="26"/>
        <v>40.3515</v>
      </c>
      <c r="X35" s="410">
        <f t="shared" si="27"/>
        <v>46.116</v>
      </c>
      <c r="Y35" s="410">
        <f t="shared" si="28"/>
        <v>51.8805</v>
      </c>
      <c r="Z35" s="410">
        <f t="shared" si="29"/>
        <v>57.645</v>
      </c>
      <c r="AA35" s="410">
        <f t="shared" si="30"/>
        <v>63.4095</v>
      </c>
      <c r="AB35" s="410">
        <f t="shared" si="31"/>
        <v>69.174</v>
      </c>
      <c r="AC35" s="410">
        <f t="shared" si="32"/>
        <v>74.9385</v>
      </c>
      <c r="AD35" s="410">
        <f t="shared" si="33"/>
        <v>80.703</v>
      </c>
      <c r="AE35" s="410">
        <f t="shared" si="34"/>
        <v>86.4675</v>
      </c>
      <c r="AF35" s="410">
        <f t="shared" si="35"/>
        <v>92.232</v>
      </c>
      <c r="AG35" s="410">
        <f t="shared" si="36"/>
        <v>97.9965</v>
      </c>
      <c r="AH35" s="410">
        <f t="shared" si="37"/>
        <v>103.761</v>
      </c>
      <c r="AI35" s="410">
        <f t="shared" si="38"/>
        <v>109.5255</v>
      </c>
      <c r="AJ35" s="410">
        <f t="shared" si="39"/>
        <v>115.29</v>
      </c>
      <c r="AK35" s="410">
        <f t="shared" si="40"/>
        <v>121.0545</v>
      </c>
      <c r="AL35" s="410">
        <f t="shared" si="41"/>
        <v>126.819</v>
      </c>
      <c r="AM35" s="410">
        <f t="shared" si="42"/>
        <v>132.5835</v>
      </c>
      <c r="AN35" s="410">
        <f t="shared" si="43"/>
        <v>138.348</v>
      </c>
    </row>
    <row r="36" ht="15.75" customHeight="1">
      <c r="A36" s="162" t="s">
        <v>282</v>
      </c>
      <c r="B36" s="314"/>
      <c r="C36" s="314"/>
      <c r="D36" s="392" t="s">
        <v>504</v>
      </c>
      <c r="E36" s="386" t="s">
        <v>505</v>
      </c>
      <c r="F36" s="323">
        <f t="shared" si="47"/>
        <v>10.50340136</v>
      </c>
      <c r="G36" s="323" t="s">
        <v>483</v>
      </c>
      <c r="H36" s="323">
        <f t="shared" si="15"/>
        <v>1.076598639</v>
      </c>
      <c r="I36" s="393">
        <v>11.58</v>
      </c>
      <c r="J36" s="388">
        <f t="shared" si="16"/>
        <v>14.1276</v>
      </c>
      <c r="K36" s="341">
        <f t="shared" si="17"/>
        <v>14.7047619</v>
      </c>
      <c r="L36" s="342">
        <f t="shared" si="18"/>
        <v>17.93980952</v>
      </c>
      <c r="M36" s="314">
        <f t="shared" si="48"/>
        <v>49.4466</v>
      </c>
      <c r="N36" s="314"/>
      <c r="O36" s="314"/>
      <c r="P36" s="409" t="str">
        <f t="shared" si="19"/>
        <v>Autoportante Aluzinc BC-120 Cal. 24 / Esp. 0.50 mm</v>
      </c>
      <c r="Q36" s="410">
        <f t="shared" si="20"/>
        <v>7.0638</v>
      </c>
      <c r="R36" s="384">
        <f t="shared" si="21"/>
        <v>14.1276</v>
      </c>
      <c r="S36" s="410">
        <f t="shared" si="22"/>
        <v>21.1914</v>
      </c>
      <c r="T36" s="410">
        <f t="shared" si="23"/>
        <v>28.2552</v>
      </c>
      <c r="U36" s="410">
        <f t="shared" si="24"/>
        <v>35.319</v>
      </c>
      <c r="V36" s="410">
        <f t="shared" si="25"/>
        <v>42.3828</v>
      </c>
      <c r="W36" s="410">
        <f t="shared" si="26"/>
        <v>49.4466</v>
      </c>
      <c r="X36" s="410">
        <f t="shared" si="27"/>
        <v>56.5104</v>
      </c>
      <c r="Y36" s="410">
        <f t="shared" si="28"/>
        <v>63.5742</v>
      </c>
      <c r="Z36" s="410">
        <f t="shared" si="29"/>
        <v>70.638</v>
      </c>
      <c r="AA36" s="410">
        <f t="shared" si="30"/>
        <v>77.7018</v>
      </c>
      <c r="AB36" s="410">
        <f t="shared" si="31"/>
        <v>84.7656</v>
      </c>
      <c r="AC36" s="410">
        <f t="shared" si="32"/>
        <v>91.8294</v>
      </c>
      <c r="AD36" s="410">
        <f t="shared" si="33"/>
        <v>98.8932</v>
      </c>
      <c r="AE36" s="410">
        <f t="shared" si="34"/>
        <v>105.957</v>
      </c>
      <c r="AF36" s="410">
        <f t="shared" si="35"/>
        <v>113.0208</v>
      </c>
      <c r="AG36" s="410">
        <f t="shared" si="36"/>
        <v>120.0846</v>
      </c>
      <c r="AH36" s="410">
        <f t="shared" si="37"/>
        <v>127.1484</v>
      </c>
      <c r="AI36" s="410">
        <f t="shared" si="38"/>
        <v>134.2122</v>
      </c>
      <c r="AJ36" s="410">
        <f t="shared" si="39"/>
        <v>141.276</v>
      </c>
      <c r="AK36" s="410">
        <f t="shared" si="40"/>
        <v>148.3398</v>
      </c>
      <c r="AL36" s="410">
        <f t="shared" si="41"/>
        <v>155.4036</v>
      </c>
      <c r="AM36" s="410">
        <f t="shared" si="42"/>
        <v>162.4674</v>
      </c>
      <c r="AN36" s="410">
        <f t="shared" si="43"/>
        <v>169.5312</v>
      </c>
    </row>
    <row r="37" ht="15.75" customHeight="1">
      <c r="A37" s="162" t="s">
        <v>282</v>
      </c>
      <c r="B37" s="314"/>
      <c r="C37" s="314"/>
      <c r="D37" s="400" t="s">
        <v>506</v>
      </c>
      <c r="E37" s="401" t="s">
        <v>507</v>
      </c>
      <c r="F37" s="349">
        <f t="shared" si="47"/>
        <v>16.84353741</v>
      </c>
      <c r="G37" s="349" t="s">
        <v>483</v>
      </c>
      <c r="H37" s="349">
        <f t="shared" si="15"/>
        <v>1.726462585</v>
      </c>
      <c r="I37" s="402">
        <v>18.57</v>
      </c>
      <c r="J37" s="372">
        <f t="shared" si="16"/>
        <v>22.6554</v>
      </c>
      <c r="K37" s="341">
        <f t="shared" si="17"/>
        <v>23.58095238</v>
      </c>
      <c r="L37" s="342">
        <f t="shared" si="18"/>
        <v>28.7687619</v>
      </c>
      <c r="M37" s="314">
        <f t="shared" si="48"/>
        <v>79.2939</v>
      </c>
      <c r="N37" s="314"/>
      <c r="O37" s="314"/>
      <c r="P37" s="409" t="str">
        <f t="shared" si="19"/>
        <v>Autoportante Aluzinc BC-120 Cal. 22 / Esp. 0.70 mm</v>
      </c>
      <c r="Q37" s="410">
        <f t="shared" si="20"/>
        <v>11.3277</v>
      </c>
      <c r="R37" s="384">
        <f t="shared" si="21"/>
        <v>22.6554</v>
      </c>
      <c r="S37" s="410">
        <f t="shared" si="22"/>
        <v>33.9831</v>
      </c>
      <c r="T37" s="410">
        <f t="shared" si="23"/>
        <v>45.3108</v>
      </c>
      <c r="U37" s="410">
        <f t="shared" si="24"/>
        <v>56.6385</v>
      </c>
      <c r="V37" s="410">
        <f t="shared" si="25"/>
        <v>67.9662</v>
      </c>
      <c r="W37" s="410">
        <f t="shared" si="26"/>
        <v>79.2939</v>
      </c>
      <c r="X37" s="410">
        <f t="shared" si="27"/>
        <v>90.6216</v>
      </c>
      <c r="Y37" s="410">
        <f t="shared" si="28"/>
        <v>101.9493</v>
      </c>
      <c r="Z37" s="410">
        <f t="shared" si="29"/>
        <v>113.277</v>
      </c>
      <c r="AA37" s="410">
        <f t="shared" si="30"/>
        <v>124.6047</v>
      </c>
      <c r="AB37" s="410">
        <f t="shared" si="31"/>
        <v>135.9324</v>
      </c>
      <c r="AC37" s="410">
        <f t="shared" si="32"/>
        <v>147.2601</v>
      </c>
      <c r="AD37" s="410">
        <f t="shared" si="33"/>
        <v>158.5878</v>
      </c>
      <c r="AE37" s="410">
        <f t="shared" si="34"/>
        <v>169.9155</v>
      </c>
      <c r="AF37" s="410">
        <f t="shared" si="35"/>
        <v>181.2432</v>
      </c>
      <c r="AG37" s="410">
        <f t="shared" si="36"/>
        <v>192.5709</v>
      </c>
      <c r="AH37" s="410">
        <f t="shared" si="37"/>
        <v>203.8986</v>
      </c>
      <c r="AI37" s="410">
        <f t="shared" si="38"/>
        <v>215.2263</v>
      </c>
      <c r="AJ37" s="410">
        <f t="shared" si="39"/>
        <v>226.554</v>
      </c>
      <c r="AK37" s="410">
        <f t="shared" si="40"/>
        <v>237.8817</v>
      </c>
      <c r="AL37" s="410">
        <f t="shared" si="41"/>
        <v>249.2094</v>
      </c>
      <c r="AM37" s="410">
        <f t="shared" si="42"/>
        <v>260.5371</v>
      </c>
      <c r="AN37" s="410">
        <f t="shared" si="43"/>
        <v>271.8648</v>
      </c>
    </row>
    <row r="38" ht="15.75" customHeight="1">
      <c r="A38" s="162" t="s">
        <v>282</v>
      </c>
      <c r="B38" s="314"/>
      <c r="C38" s="314"/>
      <c r="D38" s="385" t="s">
        <v>508</v>
      </c>
      <c r="E38" s="386" t="s">
        <v>509</v>
      </c>
      <c r="F38" s="403">
        <f t="shared" si="47"/>
        <v>20.55328798</v>
      </c>
      <c r="G38" s="403" t="s">
        <v>483</v>
      </c>
      <c r="H38" s="403">
        <f t="shared" si="15"/>
        <v>2.106712018</v>
      </c>
      <c r="I38" s="393">
        <v>22.66</v>
      </c>
      <c r="J38" s="388">
        <f t="shared" si="16"/>
        <v>27.6452</v>
      </c>
      <c r="K38" s="341">
        <f t="shared" si="17"/>
        <v>28.77460317</v>
      </c>
      <c r="L38" s="342">
        <f t="shared" si="18"/>
        <v>35.10501587</v>
      </c>
      <c r="M38" s="314">
        <f t="shared" si="48"/>
        <v>96.7582</v>
      </c>
      <c r="N38" s="314"/>
      <c r="O38" s="314"/>
      <c r="P38" s="409" t="str">
        <f t="shared" si="19"/>
        <v>Autoportante Galvanizado BC-120 Cal. 20 / Esp. 0.89 mm</v>
      </c>
      <c r="Q38" s="410">
        <f t="shared" si="20"/>
        <v>13.8226</v>
      </c>
      <c r="R38" s="384">
        <f t="shared" si="21"/>
        <v>27.6452</v>
      </c>
      <c r="S38" s="410">
        <f t="shared" si="22"/>
        <v>41.4678</v>
      </c>
      <c r="T38" s="410">
        <f t="shared" si="23"/>
        <v>55.2904</v>
      </c>
      <c r="U38" s="410">
        <f t="shared" si="24"/>
        <v>69.113</v>
      </c>
      <c r="V38" s="410">
        <f t="shared" si="25"/>
        <v>82.9356</v>
      </c>
      <c r="W38" s="410">
        <f t="shared" si="26"/>
        <v>96.7582</v>
      </c>
      <c r="X38" s="410">
        <f t="shared" si="27"/>
        <v>110.5808</v>
      </c>
      <c r="Y38" s="410">
        <f t="shared" si="28"/>
        <v>124.4034</v>
      </c>
      <c r="Z38" s="410">
        <f t="shared" si="29"/>
        <v>138.226</v>
      </c>
      <c r="AA38" s="410">
        <f t="shared" si="30"/>
        <v>152.0486</v>
      </c>
      <c r="AB38" s="410">
        <f t="shared" si="31"/>
        <v>165.8712</v>
      </c>
      <c r="AC38" s="410">
        <f t="shared" si="32"/>
        <v>179.6938</v>
      </c>
      <c r="AD38" s="410">
        <f t="shared" si="33"/>
        <v>193.5164</v>
      </c>
      <c r="AE38" s="410">
        <f t="shared" si="34"/>
        <v>207.339</v>
      </c>
      <c r="AF38" s="410">
        <f t="shared" si="35"/>
        <v>221.1616</v>
      </c>
      <c r="AG38" s="410">
        <f t="shared" si="36"/>
        <v>234.9842</v>
      </c>
      <c r="AH38" s="410">
        <f t="shared" si="37"/>
        <v>248.8068</v>
      </c>
      <c r="AI38" s="410">
        <f t="shared" si="38"/>
        <v>262.6294</v>
      </c>
      <c r="AJ38" s="410">
        <f t="shared" si="39"/>
        <v>276.452</v>
      </c>
      <c r="AK38" s="410">
        <f t="shared" si="40"/>
        <v>290.2746</v>
      </c>
      <c r="AL38" s="410">
        <f t="shared" si="41"/>
        <v>304.0972</v>
      </c>
      <c r="AM38" s="410">
        <f t="shared" si="42"/>
        <v>317.9198</v>
      </c>
      <c r="AN38" s="410">
        <f t="shared" si="43"/>
        <v>331.7424</v>
      </c>
    </row>
    <row r="39" ht="15.75" customHeight="1">
      <c r="A39" s="162" t="s">
        <v>282</v>
      </c>
      <c r="B39" s="314"/>
      <c r="C39" s="314"/>
      <c r="D39" s="411" t="s">
        <v>510</v>
      </c>
      <c r="E39" s="401" t="s">
        <v>511</v>
      </c>
      <c r="F39" s="349">
        <f t="shared" si="47"/>
        <v>25.15192744</v>
      </c>
      <c r="G39" s="349" t="s">
        <v>483</v>
      </c>
      <c r="H39" s="349">
        <f t="shared" si="15"/>
        <v>2.578072562</v>
      </c>
      <c r="I39" s="402">
        <v>27.73</v>
      </c>
      <c r="J39" s="372">
        <f t="shared" si="16"/>
        <v>33.8306</v>
      </c>
      <c r="K39" s="341">
        <f t="shared" si="17"/>
        <v>35.21269841</v>
      </c>
      <c r="L39" s="342">
        <f t="shared" si="18"/>
        <v>42.95949206</v>
      </c>
      <c r="M39" s="314">
        <f t="shared" si="48"/>
        <v>118.4071</v>
      </c>
      <c r="N39" s="314"/>
      <c r="O39" s="314"/>
      <c r="P39" s="409" t="str">
        <f t="shared" si="19"/>
        <v>Autoportante Galvanizado BC-120 Cal. 19 / Esp. 1.11 mm</v>
      </c>
      <c r="Q39" s="410">
        <f t="shared" si="20"/>
        <v>16.9153</v>
      </c>
      <c r="R39" s="384">
        <f t="shared" si="21"/>
        <v>33.8306</v>
      </c>
      <c r="S39" s="410">
        <f t="shared" si="22"/>
        <v>50.7459</v>
      </c>
      <c r="T39" s="410">
        <f t="shared" si="23"/>
        <v>67.6612</v>
      </c>
      <c r="U39" s="410">
        <f t="shared" si="24"/>
        <v>84.5765</v>
      </c>
      <c r="V39" s="410">
        <f t="shared" si="25"/>
        <v>101.4918</v>
      </c>
      <c r="W39" s="410">
        <f t="shared" si="26"/>
        <v>118.4071</v>
      </c>
      <c r="X39" s="410">
        <f t="shared" si="27"/>
        <v>135.3224</v>
      </c>
      <c r="Y39" s="410">
        <f t="shared" si="28"/>
        <v>152.2377</v>
      </c>
      <c r="Z39" s="410">
        <f t="shared" si="29"/>
        <v>169.153</v>
      </c>
      <c r="AA39" s="410">
        <f t="shared" si="30"/>
        <v>186.0683</v>
      </c>
      <c r="AB39" s="410">
        <f t="shared" si="31"/>
        <v>202.9836</v>
      </c>
      <c r="AC39" s="410">
        <f t="shared" si="32"/>
        <v>219.8989</v>
      </c>
      <c r="AD39" s="410">
        <f t="shared" si="33"/>
        <v>236.8142</v>
      </c>
      <c r="AE39" s="410">
        <f t="shared" si="34"/>
        <v>253.7295</v>
      </c>
      <c r="AF39" s="410">
        <f t="shared" si="35"/>
        <v>270.6448</v>
      </c>
      <c r="AG39" s="410">
        <f t="shared" si="36"/>
        <v>287.5601</v>
      </c>
      <c r="AH39" s="410">
        <f t="shared" si="37"/>
        <v>304.4754</v>
      </c>
      <c r="AI39" s="410">
        <f t="shared" si="38"/>
        <v>321.3907</v>
      </c>
      <c r="AJ39" s="410">
        <f t="shared" si="39"/>
        <v>338.306</v>
      </c>
      <c r="AK39" s="410">
        <f t="shared" si="40"/>
        <v>355.2213</v>
      </c>
      <c r="AL39" s="410">
        <f t="shared" si="41"/>
        <v>372.1366</v>
      </c>
      <c r="AM39" s="410">
        <f t="shared" si="42"/>
        <v>389.0519</v>
      </c>
      <c r="AN39" s="410">
        <f t="shared" si="43"/>
        <v>405.9672</v>
      </c>
    </row>
    <row r="40" ht="15.75" customHeight="1">
      <c r="A40" s="162" t="s">
        <v>282</v>
      </c>
      <c r="B40" s="314"/>
      <c r="C40" s="314"/>
      <c r="D40" s="385" t="s">
        <v>512</v>
      </c>
      <c r="E40" s="386" t="s">
        <v>513</v>
      </c>
      <c r="F40" s="403">
        <f t="shared" si="47"/>
        <v>11.09297052</v>
      </c>
      <c r="G40" s="403" t="s">
        <v>483</v>
      </c>
      <c r="H40" s="403">
        <f t="shared" si="15"/>
        <v>1.137029478</v>
      </c>
      <c r="I40" s="387">
        <v>12.23</v>
      </c>
      <c r="J40" s="388">
        <f t="shared" si="16"/>
        <v>14.9206</v>
      </c>
      <c r="K40" s="341">
        <f t="shared" si="17"/>
        <v>15.53015873</v>
      </c>
      <c r="L40" s="342">
        <f t="shared" si="18"/>
        <v>18.94679365</v>
      </c>
      <c r="M40" s="314">
        <f t="shared" si="48"/>
        <v>52.2221</v>
      </c>
      <c r="N40" s="314"/>
      <c r="O40" s="314"/>
      <c r="P40" s="409" t="str">
        <f t="shared" si="19"/>
        <v>Autoportante Prepintada Cal. 26  / Esp. 0.41 mm</v>
      </c>
      <c r="Q40" s="410">
        <f t="shared" si="20"/>
        <v>7.4603</v>
      </c>
      <c r="R40" s="384">
        <f t="shared" si="21"/>
        <v>14.9206</v>
      </c>
      <c r="S40" s="410">
        <f t="shared" si="22"/>
        <v>22.3809</v>
      </c>
      <c r="T40" s="410">
        <f t="shared" si="23"/>
        <v>29.8412</v>
      </c>
      <c r="U40" s="410">
        <f t="shared" si="24"/>
        <v>37.3015</v>
      </c>
      <c r="V40" s="410">
        <f t="shared" si="25"/>
        <v>44.7618</v>
      </c>
      <c r="W40" s="410">
        <f t="shared" si="26"/>
        <v>52.2221</v>
      </c>
      <c r="X40" s="410">
        <f t="shared" si="27"/>
        <v>59.6824</v>
      </c>
      <c r="Y40" s="410">
        <f t="shared" si="28"/>
        <v>67.1427</v>
      </c>
      <c r="Z40" s="410">
        <f t="shared" si="29"/>
        <v>74.603</v>
      </c>
      <c r="AA40" s="410">
        <f t="shared" si="30"/>
        <v>82.0633</v>
      </c>
      <c r="AB40" s="410">
        <f t="shared" si="31"/>
        <v>89.5236</v>
      </c>
      <c r="AC40" s="410">
        <f t="shared" si="32"/>
        <v>96.9839</v>
      </c>
      <c r="AD40" s="410">
        <f t="shared" si="33"/>
        <v>104.4442</v>
      </c>
      <c r="AE40" s="410">
        <f t="shared" si="34"/>
        <v>111.9045</v>
      </c>
      <c r="AF40" s="410">
        <f t="shared" si="35"/>
        <v>119.3648</v>
      </c>
      <c r="AG40" s="410">
        <f t="shared" si="36"/>
        <v>126.8251</v>
      </c>
      <c r="AH40" s="410">
        <f t="shared" si="37"/>
        <v>134.2854</v>
      </c>
      <c r="AI40" s="410">
        <f t="shared" si="38"/>
        <v>141.7457</v>
      </c>
      <c r="AJ40" s="410">
        <f t="shared" si="39"/>
        <v>149.206</v>
      </c>
      <c r="AK40" s="410">
        <f t="shared" si="40"/>
        <v>156.6663</v>
      </c>
      <c r="AL40" s="410">
        <f t="shared" si="41"/>
        <v>164.1266</v>
      </c>
      <c r="AM40" s="410">
        <f t="shared" si="42"/>
        <v>171.5869</v>
      </c>
      <c r="AN40" s="410">
        <f t="shared" si="43"/>
        <v>179.0472</v>
      </c>
    </row>
    <row r="41" ht="15.75" customHeight="1">
      <c r="A41" s="162" t="s">
        <v>282</v>
      </c>
      <c r="B41" s="314"/>
      <c r="C41" s="314"/>
      <c r="D41" s="411" t="s">
        <v>514</v>
      </c>
      <c r="E41" s="401" t="s">
        <v>515</v>
      </c>
      <c r="F41" s="349">
        <f t="shared" si="47"/>
        <v>14.4399093</v>
      </c>
      <c r="G41" s="349" t="s">
        <v>483</v>
      </c>
      <c r="H41" s="349">
        <f t="shared" si="15"/>
        <v>1.480090703</v>
      </c>
      <c r="I41" s="402">
        <v>15.92</v>
      </c>
      <c r="J41" s="372">
        <f t="shared" si="16"/>
        <v>19.4224</v>
      </c>
      <c r="K41" s="341">
        <f t="shared" si="17"/>
        <v>20.21587302</v>
      </c>
      <c r="L41" s="342">
        <f t="shared" si="18"/>
        <v>24.66336508</v>
      </c>
      <c r="M41" s="314">
        <f t="shared" si="48"/>
        <v>67.9784</v>
      </c>
      <c r="N41" s="314"/>
      <c r="O41" s="314"/>
      <c r="P41" s="409" t="str">
        <f t="shared" si="19"/>
        <v>Autoportante Prepintada Cal. 24 / Esp. 0.50 mm</v>
      </c>
      <c r="Q41" s="410">
        <f t="shared" si="20"/>
        <v>9.7112</v>
      </c>
      <c r="R41" s="384">
        <f t="shared" si="21"/>
        <v>19.4224</v>
      </c>
      <c r="S41" s="410">
        <f t="shared" si="22"/>
        <v>29.1336</v>
      </c>
      <c r="T41" s="410">
        <f t="shared" si="23"/>
        <v>38.8448</v>
      </c>
      <c r="U41" s="410">
        <f t="shared" si="24"/>
        <v>48.556</v>
      </c>
      <c r="V41" s="410">
        <f t="shared" si="25"/>
        <v>58.2672</v>
      </c>
      <c r="W41" s="410">
        <f t="shared" si="26"/>
        <v>67.9784</v>
      </c>
      <c r="X41" s="410">
        <f t="shared" si="27"/>
        <v>77.6896</v>
      </c>
      <c r="Y41" s="410">
        <f t="shared" si="28"/>
        <v>87.4008</v>
      </c>
      <c r="Z41" s="410">
        <f t="shared" si="29"/>
        <v>97.112</v>
      </c>
      <c r="AA41" s="410">
        <f t="shared" si="30"/>
        <v>106.8232</v>
      </c>
      <c r="AB41" s="410">
        <f t="shared" si="31"/>
        <v>116.5344</v>
      </c>
      <c r="AC41" s="410">
        <f t="shared" si="32"/>
        <v>126.2456</v>
      </c>
      <c r="AD41" s="410">
        <f t="shared" si="33"/>
        <v>135.9568</v>
      </c>
      <c r="AE41" s="410">
        <f t="shared" si="34"/>
        <v>145.668</v>
      </c>
      <c r="AF41" s="410">
        <f t="shared" si="35"/>
        <v>155.3792</v>
      </c>
      <c r="AG41" s="410">
        <f t="shared" si="36"/>
        <v>165.0904</v>
      </c>
      <c r="AH41" s="410">
        <f t="shared" si="37"/>
        <v>174.8016</v>
      </c>
      <c r="AI41" s="410">
        <f t="shared" si="38"/>
        <v>184.5128</v>
      </c>
      <c r="AJ41" s="410">
        <f t="shared" si="39"/>
        <v>194.224</v>
      </c>
      <c r="AK41" s="410">
        <f t="shared" si="40"/>
        <v>203.9352</v>
      </c>
      <c r="AL41" s="410">
        <f t="shared" si="41"/>
        <v>213.6464</v>
      </c>
      <c r="AM41" s="410">
        <f t="shared" si="42"/>
        <v>223.3576</v>
      </c>
      <c r="AN41" s="410">
        <f t="shared" si="43"/>
        <v>233.0688</v>
      </c>
    </row>
    <row r="42" ht="15.75" customHeight="1">
      <c r="A42" s="162" t="s">
        <v>282</v>
      </c>
      <c r="B42" s="314"/>
      <c r="C42" s="314"/>
      <c r="D42" s="385" t="s">
        <v>516</v>
      </c>
      <c r="E42" s="412" t="s">
        <v>517</v>
      </c>
      <c r="F42" s="338">
        <f t="shared" si="47"/>
        <v>4.154195011</v>
      </c>
      <c r="G42" s="338" t="s">
        <v>483</v>
      </c>
      <c r="H42" s="338">
        <f t="shared" si="15"/>
        <v>0.4258049887</v>
      </c>
      <c r="I42" s="339">
        <v>4.58</v>
      </c>
      <c r="J42" s="356">
        <f t="shared" si="16"/>
        <v>5.5876</v>
      </c>
      <c r="K42" s="341">
        <f t="shared" si="17"/>
        <v>5.815873016</v>
      </c>
      <c r="L42" s="342">
        <f t="shared" si="18"/>
        <v>7.095365079</v>
      </c>
      <c r="M42" s="314">
        <f t="shared" si="48"/>
        <v>19.5566</v>
      </c>
      <c r="N42" s="314"/>
      <c r="O42" s="314"/>
      <c r="P42" s="409" t="str">
        <f t="shared" si="19"/>
        <v>Chapa Lisa Aluzinc Cal. 33 / Esp. 0.23mm</v>
      </c>
      <c r="Q42" s="410">
        <f t="shared" si="20"/>
        <v>2.7938</v>
      </c>
      <c r="R42" s="384">
        <f t="shared" si="21"/>
        <v>5.5876</v>
      </c>
      <c r="S42" s="410">
        <f t="shared" si="22"/>
        <v>8.3814</v>
      </c>
      <c r="T42" s="410">
        <f t="shared" si="23"/>
        <v>11.1752</v>
      </c>
      <c r="U42" s="410">
        <f t="shared" si="24"/>
        <v>13.969</v>
      </c>
      <c r="V42" s="410">
        <f t="shared" si="25"/>
        <v>16.7628</v>
      </c>
      <c r="W42" s="410">
        <f t="shared" si="26"/>
        <v>19.5566</v>
      </c>
      <c r="X42" s="410">
        <f t="shared" si="27"/>
        <v>22.3504</v>
      </c>
      <c r="Y42" s="410">
        <f t="shared" si="28"/>
        <v>25.1442</v>
      </c>
      <c r="Z42" s="410">
        <f t="shared" si="29"/>
        <v>27.938</v>
      </c>
      <c r="AA42" s="410">
        <f t="shared" si="30"/>
        <v>30.7318</v>
      </c>
      <c r="AB42" s="410">
        <f t="shared" si="31"/>
        <v>33.5256</v>
      </c>
      <c r="AC42" s="410">
        <f t="shared" si="32"/>
        <v>36.3194</v>
      </c>
      <c r="AD42" s="410">
        <f t="shared" si="33"/>
        <v>39.1132</v>
      </c>
      <c r="AE42" s="410">
        <f t="shared" si="34"/>
        <v>41.907</v>
      </c>
      <c r="AF42" s="410">
        <f t="shared" si="35"/>
        <v>44.7008</v>
      </c>
      <c r="AG42" s="410">
        <f t="shared" si="36"/>
        <v>47.4946</v>
      </c>
      <c r="AH42" s="410">
        <f t="shared" si="37"/>
        <v>50.2884</v>
      </c>
      <c r="AI42" s="410">
        <f t="shared" si="38"/>
        <v>53.0822</v>
      </c>
      <c r="AJ42" s="410">
        <f t="shared" si="39"/>
        <v>55.876</v>
      </c>
      <c r="AK42" s="410">
        <f t="shared" si="40"/>
        <v>58.6698</v>
      </c>
      <c r="AL42" s="410">
        <f t="shared" si="41"/>
        <v>61.4636</v>
      </c>
      <c r="AM42" s="410">
        <f t="shared" si="42"/>
        <v>64.2574</v>
      </c>
      <c r="AN42" s="410">
        <f t="shared" si="43"/>
        <v>67.0512</v>
      </c>
    </row>
    <row r="43" ht="15.75" customHeight="1">
      <c r="A43" s="162" t="s">
        <v>282</v>
      </c>
      <c r="B43" s="314"/>
      <c r="C43" s="314"/>
      <c r="D43" s="385" t="s">
        <v>518</v>
      </c>
      <c r="E43" s="386" t="s">
        <v>519</v>
      </c>
      <c r="F43" s="323">
        <f t="shared" si="47"/>
        <v>6.829931973</v>
      </c>
      <c r="G43" s="323" t="s">
        <v>483</v>
      </c>
      <c r="H43" s="403">
        <f t="shared" si="15"/>
        <v>0.7000680272</v>
      </c>
      <c r="I43" s="387">
        <v>7.53</v>
      </c>
      <c r="J43" s="388">
        <f t="shared" si="16"/>
        <v>9.1866</v>
      </c>
      <c r="K43" s="341">
        <f t="shared" si="17"/>
        <v>9.561904762</v>
      </c>
      <c r="L43" s="342">
        <f t="shared" si="18"/>
        <v>11.66552381</v>
      </c>
      <c r="M43" s="314">
        <f t="shared" si="48"/>
        <v>32.1531</v>
      </c>
      <c r="N43" s="314"/>
      <c r="O43" s="314"/>
      <c r="P43" s="314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  <c r="AN43" s="321"/>
    </row>
    <row r="44" ht="15.75" customHeight="1">
      <c r="A44" s="162" t="s">
        <v>282</v>
      </c>
      <c r="B44" s="314"/>
      <c r="C44" s="314"/>
      <c r="D44" s="392" t="s">
        <v>520</v>
      </c>
      <c r="E44" s="386" t="s">
        <v>521</v>
      </c>
      <c r="F44" s="323">
        <f t="shared" si="47"/>
        <v>8.571428571</v>
      </c>
      <c r="G44" s="323" t="s">
        <v>483</v>
      </c>
      <c r="H44" s="323">
        <f t="shared" si="15"/>
        <v>0.8785714286</v>
      </c>
      <c r="I44" s="393">
        <v>9.45</v>
      </c>
      <c r="J44" s="388">
        <f t="shared" si="16"/>
        <v>11.529</v>
      </c>
      <c r="K44" s="341">
        <f t="shared" si="17"/>
        <v>12</v>
      </c>
      <c r="L44" s="342">
        <f t="shared" si="18"/>
        <v>14.64</v>
      </c>
      <c r="M44" s="314">
        <f t="shared" si="48"/>
        <v>40.3515</v>
      </c>
      <c r="N44" s="314" t="s">
        <v>291</v>
      </c>
      <c r="O44" s="314"/>
      <c r="P44" s="314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</row>
    <row r="45" ht="15.75" customHeight="1">
      <c r="A45" s="162" t="s">
        <v>282</v>
      </c>
      <c r="B45" s="314"/>
      <c r="C45" s="314"/>
      <c r="D45" s="392" t="s">
        <v>522</v>
      </c>
      <c r="E45" s="386" t="s">
        <v>523</v>
      </c>
      <c r="F45" s="323">
        <f t="shared" si="47"/>
        <v>10.50340136</v>
      </c>
      <c r="G45" s="323" t="s">
        <v>483</v>
      </c>
      <c r="H45" s="323">
        <f t="shared" si="15"/>
        <v>1.076598639</v>
      </c>
      <c r="I45" s="393">
        <v>11.58</v>
      </c>
      <c r="J45" s="388">
        <f t="shared" si="16"/>
        <v>14.1276</v>
      </c>
      <c r="K45" s="341">
        <f t="shared" si="17"/>
        <v>14.7047619</v>
      </c>
      <c r="L45" s="342">
        <f t="shared" si="18"/>
        <v>17.93980952</v>
      </c>
      <c r="M45" s="314">
        <f t="shared" si="48"/>
        <v>49.4466</v>
      </c>
      <c r="N45" s="314"/>
      <c r="O45" s="314"/>
      <c r="P45" s="314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  <c r="AN45" s="321"/>
    </row>
    <row r="46" ht="15.75" customHeight="1">
      <c r="A46" s="162" t="s">
        <v>282</v>
      </c>
      <c r="B46" s="314"/>
      <c r="C46" s="314"/>
      <c r="D46" s="392" t="s">
        <v>524</v>
      </c>
      <c r="E46" s="413" t="s">
        <v>525</v>
      </c>
      <c r="F46" s="349">
        <f t="shared" si="47"/>
        <v>16.84353741</v>
      </c>
      <c r="G46" s="349" t="s">
        <v>483</v>
      </c>
      <c r="H46" s="349">
        <f t="shared" si="15"/>
        <v>1.726462585</v>
      </c>
      <c r="I46" s="402">
        <v>18.57</v>
      </c>
      <c r="J46" s="414">
        <f t="shared" si="16"/>
        <v>22.6554</v>
      </c>
      <c r="K46" s="341">
        <f t="shared" si="17"/>
        <v>23.58095238</v>
      </c>
      <c r="L46" s="342">
        <f t="shared" si="18"/>
        <v>28.7687619</v>
      </c>
      <c r="M46" s="314">
        <f t="shared" si="48"/>
        <v>79.2939</v>
      </c>
      <c r="N46" s="314"/>
      <c r="O46" s="314"/>
      <c r="P46" s="314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  <c r="AN46" s="321"/>
    </row>
    <row r="47" ht="17.25" customHeight="1">
      <c r="A47" s="162" t="s">
        <v>282</v>
      </c>
      <c r="B47" s="314"/>
      <c r="C47" s="314"/>
      <c r="D47" s="385" t="s">
        <v>526</v>
      </c>
      <c r="E47" s="386" t="s">
        <v>527</v>
      </c>
      <c r="F47" s="403">
        <f t="shared" si="47"/>
        <v>20.55328798</v>
      </c>
      <c r="G47" s="403" t="s">
        <v>483</v>
      </c>
      <c r="H47" s="403">
        <f t="shared" si="15"/>
        <v>2.106712018</v>
      </c>
      <c r="I47" s="387">
        <v>22.66</v>
      </c>
      <c r="J47" s="415">
        <f t="shared" si="16"/>
        <v>27.6452</v>
      </c>
      <c r="K47" s="341">
        <f t="shared" si="17"/>
        <v>28.77460317</v>
      </c>
      <c r="L47" s="342">
        <f t="shared" si="18"/>
        <v>35.10501587</v>
      </c>
      <c r="M47" s="314">
        <f t="shared" si="48"/>
        <v>96.7582</v>
      </c>
      <c r="N47" s="314"/>
      <c r="O47" s="314"/>
      <c r="P47" s="314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  <c r="AN47" s="321"/>
    </row>
    <row r="48" ht="17.25" customHeight="1">
      <c r="A48" s="162" t="s">
        <v>282</v>
      </c>
      <c r="B48" s="314"/>
      <c r="C48" s="314"/>
      <c r="D48" s="392" t="s">
        <v>528</v>
      </c>
      <c r="E48" s="386" t="s">
        <v>529</v>
      </c>
      <c r="F48" s="323">
        <f t="shared" si="47"/>
        <v>25.15192744</v>
      </c>
      <c r="G48" s="323" t="s">
        <v>483</v>
      </c>
      <c r="H48" s="323">
        <f t="shared" si="15"/>
        <v>2.578072562</v>
      </c>
      <c r="I48" s="393">
        <v>27.73</v>
      </c>
      <c r="J48" s="388">
        <f t="shared" si="16"/>
        <v>33.8306</v>
      </c>
      <c r="K48" s="341">
        <f t="shared" si="17"/>
        <v>35.21269841</v>
      </c>
      <c r="L48" s="342">
        <f t="shared" si="18"/>
        <v>42.95949206</v>
      </c>
      <c r="M48" s="314">
        <f t="shared" si="48"/>
        <v>118.4071</v>
      </c>
      <c r="N48" s="314"/>
      <c r="O48" s="314"/>
      <c r="P48" s="314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  <c r="AN48" s="321"/>
    </row>
    <row r="49" ht="17.25" customHeight="1">
      <c r="A49" s="162" t="s">
        <v>282</v>
      </c>
      <c r="B49" s="314"/>
      <c r="C49" s="314"/>
      <c r="D49" s="392" t="s">
        <v>528</v>
      </c>
      <c r="E49" s="386" t="s">
        <v>530</v>
      </c>
      <c r="F49" s="323">
        <f t="shared" si="47"/>
        <v>28.3446712</v>
      </c>
      <c r="G49" s="323" t="s">
        <v>483</v>
      </c>
      <c r="H49" s="323">
        <f t="shared" si="15"/>
        <v>2.905328798</v>
      </c>
      <c r="I49" s="393">
        <v>31.25</v>
      </c>
      <c r="J49" s="388">
        <f t="shared" si="16"/>
        <v>38.125</v>
      </c>
      <c r="K49" s="341">
        <f t="shared" si="17"/>
        <v>39.68253968</v>
      </c>
      <c r="L49" s="342">
        <f t="shared" si="18"/>
        <v>48.41269841</v>
      </c>
      <c r="M49" s="314">
        <f t="shared" si="48"/>
        <v>133.4375</v>
      </c>
      <c r="N49" s="314"/>
      <c r="O49" s="314"/>
      <c r="P49" s="314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  <c r="AN49" s="321"/>
    </row>
    <row r="50" ht="17.25" customHeight="1">
      <c r="A50" s="162" t="s">
        <v>282</v>
      </c>
      <c r="B50" s="314"/>
      <c r="C50" s="314"/>
      <c r="D50" s="392" t="s">
        <v>528</v>
      </c>
      <c r="E50" s="386" t="s">
        <v>531</v>
      </c>
      <c r="F50" s="323">
        <f t="shared" si="47"/>
        <v>37.7324263</v>
      </c>
      <c r="G50" s="323" t="s">
        <v>483</v>
      </c>
      <c r="H50" s="323">
        <f t="shared" si="15"/>
        <v>3.867573696</v>
      </c>
      <c r="I50" s="393">
        <v>41.6</v>
      </c>
      <c r="J50" s="388">
        <f t="shared" si="16"/>
        <v>50.752</v>
      </c>
      <c r="K50" s="341">
        <f t="shared" si="17"/>
        <v>52.82539683</v>
      </c>
      <c r="L50" s="342">
        <f t="shared" si="18"/>
        <v>64.44698413</v>
      </c>
      <c r="M50" s="314">
        <f t="shared" si="48"/>
        <v>177.632</v>
      </c>
      <c r="N50" s="314"/>
      <c r="O50" s="314"/>
      <c r="P50" s="314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  <c r="AN50" s="321"/>
    </row>
    <row r="51" ht="17.25" customHeight="1">
      <c r="A51" s="162" t="s">
        <v>282</v>
      </c>
      <c r="B51" s="314"/>
      <c r="C51" s="314"/>
      <c r="D51" s="385" t="s">
        <v>526</v>
      </c>
      <c r="E51" s="386" t="s">
        <v>532</v>
      </c>
      <c r="F51" s="403">
        <f t="shared" si="47"/>
        <v>133.5328798</v>
      </c>
      <c r="G51" s="403" t="s">
        <v>483</v>
      </c>
      <c r="H51" s="403">
        <f t="shared" si="15"/>
        <v>13.68712018</v>
      </c>
      <c r="I51" s="387">
        <v>147.22</v>
      </c>
      <c r="J51" s="415">
        <f t="shared" si="16"/>
        <v>179.6084</v>
      </c>
      <c r="K51" s="341">
        <f t="shared" si="17"/>
        <v>186.9460317</v>
      </c>
      <c r="L51" s="342">
        <f t="shared" si="18"/>
        <v>228.0741587</v>
      </c>
      <c r="M51" s="314">
        <f t="shared" si="48"/>
        <v>628.6294</v>
      </c>
      <c r="N51" s="314"/>
      <c r="O51" s="314"/>
      <c r="P51" s="314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  <c r="AN51" s="321"/>
    </row>
    <row r="52" ht="15.75" customHeight="1">
      <c r="A52" s="162" t="s">
        <v>282</v>
      </c>
      <c r="B52" s="314"/>
      <c r="C52" s="314"/>
      <c r="D52" s="392" t="s">
        <v>528</v>
      </c>
      <c r="E52" s="386" t="s">
        <v>533</v>
      </c>
      <c r="F52" s="323">
        <f t="shared" si="47"/>
        <v>181.1428571</v>
      </c>
      <c r="G52" s="323" t="s">
        <v>483</v>
      </c>
      <c r="H52" s="323">
        <f t="shared" si="15"/>
        <v>18.56714286</v>
      </c>
      <c r="I52" s="393">
        <v>199.71</v>
      </c>
      <c r="J52" s="388">
        <f t="shared" si="16"/>
        <v>243.6462</v>
      </c>
      <c r="K52" s="341">
        <f t="shared" si="17"/>
        <v>253.6</v>
      </c>
      <c r="L52" s="342">
        <f t="shared" si="18"/>
        <v>309.392</v>
      </c>
      <c r="M52" s="314">
        <f t="shared" si="48"/>
        <v>852.7617</v>
      </c>
      <c r="N52" s="314"/>
      <c r="O52" s="314"/>
      <c r="P52" s="314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  <c r="AN52" s="321"/>
    </row>
    <row r="53" ht="15.75" customHeight="1">
      <c r="A53" s="162" t="s">
        <v>282</v>
      </c>
      <c r="B53" s="314"/>
      <c r="C53" s="314"/>
      <c r="D53" s="400" t="s">
        <v>534</v>
      </c>
      <c r="E53" s="401" t="s">
        <v>535</v>
      </c>
      <c r="F53" s="349">
        <f t="shared" si="47"/>
        <v>223.1111111</v>
      </c>
      <c r="G53" s="349" t="s">
        <v>483</v>
      </c>
      <c r="H53" s="349">
        <f t="shared" si="15"/>
        <v>22.86888889</v>
      </c>
      <c r="I53" s="402">
        <v>245.98</v>
      </c>
      <c r="J53" s="372">
        <f t="shared" si="16"/>
        <v>300.0956</v>
      </c>
      <c r="K53" s="341">
        <f t="shared" si="17"/>
        <v>312.3555556</v>
      </c>
      <c r="L53" s="342">
        <f t="shared" si="18"/>
        <v>381.0737778</v>
      </c>
      <c r="M53" s="314">
        <f t="shared" si="48"/>
        <v>1050.3346</v>
      </c>
      <c r="N53" s="314"/>
      <c r="O53" s="314"/>
      <c r="P53" s="314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</row>
    <row r="54" ht="15.75" customHeight="1">
      <c r="A54" s="162" t="s">
        <v>282</v>
      </c>
      <c r="B54" s="314"/>
      <c r="C54" s="314"/>
      <c r="D54" s="385" t="s">
        <v>536</v>
      </c>
      <c r="E54" s="386" t="s">
        <v>537</v>
      </c>
      <c r="F54" s="403">
        <f t="shared" si="47"/>
        <v>11.09297052</v>
      </c>
      <c r="G54" s="403" t="s">
        <v>483</v>
      </c>
      <c r="H54" s="403">
        <f t="shared" si="15"/>
        <v>1.137029478</v>
      </c>
      <c r="I54" s="393">
        <v>12.23</v>
      </c>
      <c r="J54" s="388">
        <f t="shared" si="16"/>
        <v>14.9206</v>
      </c>
      <c r="K54" s="341">
        <f t="shared" si="17"/>
        <v>15.53015873</v>
      </c>
      <c r="L54" s="342">
        <f t="shared" si="18"/>
        <v>18.94679365</v>
      </c>
      <c r="M54" s="314">
        <f t="shared" si="48"/>
        <v>52.2221</v>
      </c>
      <c r="N54" s="314"/>
      <c r="O54" s="314"/>
      <c r="P54" s="314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  <c r="AN54" s="321"/>
    </row>
    <row r="55" ht="15.75" customHeight="1">
      <c r="A55" s="162" t="s">
        <v>282</v>
      </c>
      <c r="B55" s="314"/>
      <c r="C55" s="314"/>
      <c r="D55" s="400" t="s">
        <v>538</v>
      </c>
      <c r="E55" s="401" t="s">
        <v>539</v>
      </c>
      <c r="F55" s="349">
        <f t="shared" si="47"/>
        <v>14.4399093</v>
      </c>
      <c r="G55" s="349" t="s">
        <v>483</v>
      </c>
      <c r="H55" s="349">
        <f t="shared" si="15"/>
        <v>1.480090703</v>
      </c>
      <c r="I55" s="402">
        <v>15.92</v>
      </c>
      <c r="J55" s="372">
        <f t="shared" si="16"/>
        <v>19.4224</v>
      </c>
      <c r="K55" s="341">
        <f t="shared" si="17"/>
        <v>20.21587302</v>
      </c>
      <c r="L55" s="342">
        <f t="shared" si="18"/>
        <v>24.66336508</v>
      </c>
      <c r="M55" s="314">
        <f t="shared" si="48"/>
        <v>67.9784</v>
      </c>
      <c r="N55" s="314"/>
      <c r="O55" s="314"/>
      <c r="P55" s="314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  <c r="AN55" s="321"/>
    </row>
    <row r="56" ht="15.75" customHeight="1">
      <c r="A56" s="314"/>
      <c r="B56" s="314"/>
      <c r="C56" s="314"/>
      <c r="D56" s="327"/>
      <c r="E56" s="322"/>
      <c r="F56" s="327"/>
      <c r="G56" s="327"/>
      <c r="H56" s="327"/>
      <c r="I56" s="327"/>
      <c r="J56" s="327"/>
      <c r="K56" s="341">
        <f t="shared" si="17"/>
        <v>0</v>
      </c>
      <c r="L56" s="342">
        <f t="shared" si="18"/>
        <v>0</v>
      </c>
      <c r="M56" s="314"/>
      <c r="N56" s="314"/>
      <c r="O56" s="314"/>
      <c r="P56" s="314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  <c r="AN56" s="321"/>
    </row>
    <row r="57" ht="15.75" customHeight="1">
      <c r="A57" s="162" t="s">
        <v>282</v>
      </c>
      <c r="B57" s="314"/>
      <c r="C57" s="416"/>
      <c r="D57" s="417" t="s">
        <v>524</v>
      </c>
      <c r="E57" s="418" t="s">
        <v>540</v>
      </c>
      <c r="F57" s="338">
        <f t="shared" ref="F57:F61" si="49">I57/1.05/1.05</f>
        <v>15.138322</v>
      </c>
      <c r="G57" s="419" t="s">
        <v>483</v>
      </c>
      <c r="H57" s="419">
        <f t="shared" ref="H57:H61" si="50">I57-F57</f>
        <v>1.551678005</v>
      </c>
      <c r="I57" s="420">
        <v>16.69</v>
      </c>
      <c r="J57" s="421">
        <f t="shared" ref="J57:J61" si="51">I57*1.22</f>
        <v>20.3618</v>
      </c>
      <c r="K57" s="341">
        <f t="shared" si="17"/>
        <v>21.19365079</v>
      </c>
      <c r="L57" s="342">
        <f t="shared" si="18"/>
        <v>25.85625397</v>
      </c>
      <c r="M57" s="422"/>
      <c r="N57" s="422"/>
      <c r="O57" s="422"/>
      <c r="P57" s="422"/>
      <c r="Q57" s="423"/>
      <c r="R57" s="423"/>
      <c r="S57" s="423"/>
      <c r="T57" s="423"/>
      <c r="U57" s="423"/>
      <c r="V57" s="423"/>
      <c r="W57" s="423"/>
      <c r="X57" s="423"/>
      <c r="Y57" s="423"/>
      <c r="Z57" s="423"/>
      <c r="AA57" s="423"/>
      <c r="AB57" s="423"/>
      <c r="AC57" s="423"/>
      <c r="AD57" s="423"/>
      <c r="AE57" s="423"/>
      <c r="AF57" s="423"/>
      <c r="AG57" s="423"/>
      <c r="AH57" s="423"/>
      <c r="AI57" s="423"/>
      <c r="AJ57" s="423"/>
      <c r="AK57" s="423"/>
      <c r="AL57" s="423"/>
      <c r="AM57" s="423"/>
      <c r="AN57" s="423"/>
    </row>
    <row r="58" ht="15.75" customHeight="1">
      <c r="A58" s="162" t="s">
        <v>282</v>
      </c>
      <c r="B58" s="314"/>
      <c r="C58" s="416"/>
      <c r="D58" s="424" t="s">
        <v>541</v>
      </c>
      <c r="E58" s="425" t="s">
        <v>542</v>
      </c>
      <c r="F58" s="426">
        <f t="shared" si="49"/>
        <v>16.07256236</v>
      </c>
      <c r="G58" s="427" t="s">
        <v>483</v>
      </c>
      <c r="H58" s="427">
        <f t="shared" si="50"/>
        <v>1.647437642</v>
      </c>
      <c r="I58" s="428">
        <v>17.72</v>
      </c>
      <c r="J58" s="429">
        <f t="shared" si="51"/>
        <v>21.6184</v>
      </c>
      <c r="K58" s="341">
        <f t="shared" si="17"/>
        <v>22.5015873</v>
      </c>
      <c r="L58" s="342">
        <f t="shared" si="18"/>
        <v>27.45193651</v>
      </c>
      <c r="M58" s="422"/>
      <c r="N58" s="422" t="s">
        <v>291</v>
      </c>
      <c r="O58" s="422"/>
      <c r="P58" s="422"/>
      <c r="Q58" s="423"/>
      <c r="R58" s="423"/>
      <c r="S58" s="423"/>
      <c r="T58" s="423"/>
      <c r="U58" s="423"/>
      <c r="V58" s="423"/>
      <c r="W58" s="423"/>
      <c r="X58" s="423"/>
      <c r="Y58" s="423"/>
      <c r="Z58" s="423"/>
      <c r="AA58" s="423"/>
      <c r="AB58" s="423"/>
      <c r="AC58" s="423"/>
      <c r="AD58" s="423"/>
      <c r="AE58" s="423"/>
      <c r="AF58" s="423"/>
      <c r="AG58" s="423"/>
      <c r="AH58" s="423"/>
      <c r="AI58" s="423"/>
      <c r="AJ58" s="423"/>
      <c r="AK58" s="423"/>
      <c r="AL58" s="423"/>
      <c r="AM58" s="423"/>
      <c r="AN58" s="423"/>
    </row>
    <row r="59" ht="15.75" customHeight="1">
      <c r="A59" s="162" t="s">
        <v>282</v>
      </c>
      <c r="B59" s="314"/>
      <c r="C59" s="416"/>
      <c r="D59" s="430" t="s">
        <v>543</v>
      </c>
      <c r="E59" s="418" t="s">
        <v>544</v>
      </c>
      <c r="F59" s="338">
        <f t="shared" si="49"/>
        <v>24.09070295</v>
      </c>
      <c r="G59" s="419" t="s">
        <v>483</v>
      </c>
      <c r="H59" s="419">
        <f t="shared" si="50"/>
        <v>2.469297052</v>
      </c>
      <c r="I59" s="420">
        <v>26.56</v>
      </c>
      <c r="J59" s="421">
        <f t="shared" si="51"/>
        <v>32.4032</v>
      </c>
      <c r="K59" s="341">
        <f t="shared" si="17"/>
        <v>33.72698413</v>
      </c>
      <c r="L59" s="342">
        <f t="shared" si="18"/>
        <v>41.14692063</v>
      </c>
      <c r="M59" s="422"/>
      <c r="N59" s="422"/>
      <c r="O59" s="422"/>
      <c r="P59" s="422"/>
      <c r="Q59" s="423"/>
      <c r="R59" s="423"/>
      <c r="S59" s="423"/>
      <c r="T59" s="423"/>
      <c r="U59" s="423"/>
      <c r="V59" s="423"/>
      <c r="W59" s="423"/>
      <c r="X59" s="423"/>
      <c r="Y59" s="423"/>
      <c r="Z59" s="423"/>
      <c r="AA59" s="423"/>
      <c r="AB59" s="423"/>
      <c r="AC59" s="423"/>
      <c r="AD59" s="423"/>
      <c r="AE59" s="423"/>
      <c r="AF59" s="423"/>
      <c r="AG59" s="423"/>
      <c r="AH59" s="423"/>
      <c r="AI59" s="423"/>
      <c r="AJ59" s="423"/>
      <c r="AK59" s="423"/>
      <c r="AL59" s="423"/>
      <c r="AM59" s="423"/>
      <c r="AN59" s="423"/>
    </row>
    <row r="60" ht="15.75" customHeight="1">
      <c r="A60" s="162" t="s">
        <v>282</v>
      </c>
      <c r="B60" s="314"/>
      <c r="C60" s="416"/>
      <c r="D60" s="431" t="s">
        <v>545</v>
      </c>
      <c r="E60" s="432" t="s">
        <v>546</v>
      </c>
      <c r="F60" s="403">
        <f t="shared" si="49"/>
        <v>27.138322</v>
      </c>
      <c r="G60" s="433" t="s">
        <v>483</v>
      </c>
      <c r="H60" s="433">
        <f t="shared" si="50"/>
        <v>2.781678005</v>
      </c>
      <c r="I60" s="434">
        <v>29.92</v>
      </c>
      <c r="J60" s="435">
        <f t="shared" si="51"/>
        <v>36.5024</v>
      </c>
      <c r="K60" s="341">
        <f t="shared" si="17"/>
        <v>37.99365079</v>
      </c>
      <c r="L60" s="342">
        <f t="shared" si="18"/>
        <v>46.35225397</v>
      </c>
      <c r="M60" s="422"/>
      <c r="N60" s="422"/>
      <c r="O60" s="422"/>
      <c r="P60" s="422"/>
      <c r="Q60" s="423"/>
      <c r="R60" s="423"/>
      <c r="S60" s="423"/>
      <c r="T60" s="423"/>
      <c r="U60" s="423"/>
      <c r="V60" s="423"/>
      <c r="W60" s="423"/>
      <c r="X60" s="423"/>
      <c r="Y60" s="423"/>
      <c r="Z60" s="423"/>
      <c r="AA60" s="423"/>
      <c r="AB60" s="423"/>
      <c r="AC60" s="423"/>
      <c r="AD60" s="423"/>
      <c r="AE60" s="423"/>
      <c r="AF60" s="423"/>
      <c r="AG60" s="423"/>
      <c r="AH60" s="423"/>
      <c r="AI60" s="423"/>
      <c r="AJ60" s="423"/>
      <c r="AK60" s="423"/>
      <c r="AL60" s="423"/>
      <c r="AM60" s="423"/>
      <c r="AN60" s="423"/>
    </row>
    <row r="61" ht="15.75" customHeight="1">
      <c r="A61" s="162" t="s">
        <v>282</v>
      </c>
      <c r="B61" s="314"/>
      <c r="C61" s="416"/>
      <c r="D61" s="436" t="s">
        <v>547</v>
      </c>
      <c r="E61" s="425" t="s">
        <v>548</v>
      </c>
      <c r="F61" s="426">
        <f t="shared" si="49"/>
        <v>36.03628118</v>
      </c>
      <c r="G61" s="427" t="s">
        <v>483</v>
      </c>
      <c r="H61" s="427">
        <f t="shared" si="50"/>
        <v>3.693718821</v>
      </c>
      <c r="I61" s="428">
        <v>39.73</v>
      </c>
      <c r="J61" s="429">
        <f t="shared" si="51"/>
        <v>48.4706</v>
      </c>
      <c r="K61" s="341">
        <f t="shared" si="17"/>
        <v>50.45079365</v>
      </c>
      <c r="L61" s="342">
        <f t="shared" si="18"/>
        <v>61.54996825</v>
      </c>
      <c r="M61" s="422"/>
      <c r="N61" s="422"/>
      <c r="O61" s="422"/>
      <c r="P61" s="422"/>
      <c r="Q61" s="423"/>
      <c r="R61" s="423"/>
      <c r="S61" s="423"/>
      <c r="T61" s="423"/>
      <c r="U61" s="423"/>
      <c r="V61" s="423"/>
      <c r="W61" s="423"/>
      <c r="X61" s="423"/>
      <c r="Y61" s="423"/>
      <c r="Z61" s="423"/>
      <c r="AA61" s="423"/>
      <c r="AB61" s="423"/>
      <c r="AC61" s="423"/>
      <c r="AD61" s="423"/>
      <c r="AE61" s="423"/>
      <c r="AF61" s="423"/>
      <c r="AG61" s="423"/>
      <c r="AH61" s="423"/>
      <c r="AI61" s="423"/>
      <c r="AJ61" s="423"/>
      <c r="AK61" s="423"/>
      <c r="AL61" s="423"/>
      <c r="AM61" s="423"/>
      <c r="AN61" s="423"/>
    </row>
    <row r="62" ht="15.75" customHeight="1">
      <c r="A62" s="314"/>
      <c r="B62" s="314"/>
      <c r="C62" s="314"/>
      <c r="D62" s="327"/>
      <c r="E62" s="322"/>
      <c r="F62" s="327"/>
      <c r="G62" s="327"/>
      <c r="H62" s="327"/>
      <c r="I62" s="327"/>
      <c r="J62" s="327"/>
      <c r="K62" s="341">
        <f t="shared" si="17"/>
        <v>0</v>
      </c>
      <c r="L62" s="342">
        <f t="shared" si="18"/>
        <v>0</v>
      </c>
      <c r="M62" s="314"/>
      <c r="N62" s="314"/>
      <c r="O62" s="314"/>
      <c r="P62" s="314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  <c r="AN62" s="321"/>
    </row>
    <row r="63" ht="15.75" customHeight="1">
      <c r="A63" s="314"/>
      <c r="B63" s="314"/>
      <c r="C63" s="314"/>
      <c r="D63" s="327"/>
      <c r="E63" s="322"/>
      <c r="F63" s="327"/>
      <c r="G63" s="327"/>
      <c r="H63" s="327"/>
      <c r="I63" s="327"/>
      <c r="J63" s="327"/>
      <c r="K63" s="341">
        <f t="shared" si="17"/>
        <v>0</v>
      </c>
      <c r="L63" s="342">
        <f t="shared" si="18"/>
        <v>0</v>
      </c>
      <c r="M63" s="314" t="s">
        <v>549</v>
      </c>
      <c r="N63" s="314"/>
      <c r="O63" s="314"/>
      <c r="P63" s="314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</row>
    <row r="64" ht="33.75" customHeight="1">
      <c r="A64" s="314"/>
      <c r="B64" s="314"/>
      <c r="C64" s="314"/>
      <c r="D64" s="327"/>
      <c r="E64" s="324" t="s">
        <v>550</v>
      </c>
      <c r="F64" s="178"/>
      <c r="G64" s="178"/>
      <c r="H64" s="178"/>
      <c r="I64" s="178"/>
      <c r="J64" s="179"/>
      <c r="K64" s="341">
        <f t="shared" si="17"/>
        <v>0</v>
      </c>
      <c r="L64" s="342">
        <f t="shared" si="18"/>
        <v>0</v>
      </c>
      <c r="M64" s="314"/>
      <c r="N64" s="314"/>
      <c r="O64" s="314"/>
      <c r="P64" s="314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  <c r="AN64" s="321"/>
    </row>
    <row r="65" ht="15.75" customHeight="1">
      <c r="A65" s="314"/>
      <c r="B65" s="314"/>
      <c r="C65" s="314"/>
      <c r="D65" s="327"/>
      <c r="E65" s="437" t="s">
        <v>283</v>
      </c>
      <c r="F65" s="438" t="s">
        <v>476</v>
      </c>
      <c r="G65" s="439" t="s">
        <v>285</v>
      </c>
      <c r="H65" s="438" t="s">
        <v>286</v>
      </c>
      <c r="I65" s="440" t="s">
        <v>287</v>
      </c>
      <c r="J65" s="441" t="s">
        <v>288</v>
      </c>
      <c r="K65" s="341" t="str">
        <f t="shared" si="17"/>
        <v>#VALUE!</v>
      </c>
      <c r="L65" s="342" t="str">
        <f t="shared" si="18"/>
        <v>#VALUE!</v>
      </c>
      <c r="M65" s="314"/>
      <c r="N65" s="314"/>
      <c r="O65" s="314"/>
      <c r="P65" s="314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  <c r="AN65" s="321"/>
    </row>
    <row r="66" ht="15.75" customHeight="1">
      <c r="A66" s="314"/>
      <c r="B66" s="314"/>
      <c r="C66" s="314"/>
      <c r="D66" s="442"/>
      <c r="E66" s="443" t="s">
        <v>551</v>
      </c>
      <c r="F66" s="444"/>
      <c r="G66" s="445"/>
      <c r="H66" s="403"/>
      <c r="I66" s="446"/>
      <c r="J66" s="447"/>
      <c r="K66" s="341">
        <f t="shared" si="17"/>
        <v>0</v>
      </c>
      <c r="L66" s="342">
        <f t="shared" si="18"/>
        <v>0</v>
      </c>
      <c r="M66" s="314"/>
      <c r="N66" s="314"/>
      <c r="O66" s="314"/>
      <c r="P66" s="314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  <c r="AN66" s="321"/>
    </row>
    <row r="67" ht="17.25" customHeight="1">
      <c r="A67" s="162" t="s">
        <v>282</v>
      </c>
      <c r="B67" s="314"/>
      <c r="C67" s="314"/>
      <c r="D67" s="323" t="s">
        <v>552</v>
      </c>
      <c r="E67" s="448" t="s">
        <v>553</v>
      </c>
      <c r="F67" s="323">
        <f t="shared" ref="F67:F71" si="52">(I67/1.05)/1.05</f>
        <v>7.328798186</v>
      </c>
      <c r="G67" s="403" t="s">
        <v>483</v>
      </c>
      <c r="H67" s="323">
        <f t="shared" ref="H67:H76" si="53">I67-F67</f>
        <v>0.7512018141</v>
      </c>
      <c r="I67" s="323">
        <v>8.08</v>
      </c>
      <c r="J67" s="361">
        <f t="shared" ref="J67:J76" si="54">I67*1.22</f>
        <v>9.8576</v>
      </c>
      <c r="K67" s="341">
        <f t="shared" si="17"/>
        <v>10.26031746</v>
      </c>
      <c r="L67" s="342">
        <f t="shared" si="18"/>
        <v>12.5175873</v>
      </c>
      <c r="M67" s="314"/>
      <c r="N67" s="314"/>
      <c r="O67" s="314"/>
      <c r="P67" s="314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  <c r="AN67" s="321"/>
    </row>
    <row r="68" ht="17.25" customHeight="1">
      <c r="A68" s="162" t="s">
        <v>282</v>
      </c>
      <c r="B68" s="314"/>
      <c r="C68" s="314"/>
      <c r="D68" s="323" t="s">
        <v>554</v>
      </c>
      <c r="E68" s="448" t="s">
        <v>555</v>
      </c>
      <c r="F68" s="323">
        <f t="shared" si="52"/>
        <v>8.988662132</v>
      </c>
      <c r="G68" s="403" t="s">
        <v>483</v>
      </c>
      <c r="H68" s="323">
        <f t="shared" si="53"/>
        <v>0.9213378685</v>
      </c>
      <c r="I68" s="323">
        <v>9.91</v>
      </c>
      <c r="J68" s="361">
        <f t="shared" si="54"/>
        <v>12.0902</v>
      </c>
      <c r="K68" s="341">
        <f t="shared" si="17"/>
        <v>12.58412698</v>
      </c>
      <c r="L68" s="342">
        <f t="shared" si="18"/>
        <v>15.35263492</v>
      </c>
      <c r="M68" s="314"/>
      <c r="N68" s="314"/>
      <c r="O68" s="314"/>
      <c r="P68" s="314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  <c r="AN68" s="321"/>
    </row>
    <row r="69" ht="15.75" customHeight="1">
      <c r="A69" s="162" t="s">
        <v>282</v>
      </c>
      <c r="B69" s="314"/>
      <c r="C69" s="314"/>
      <c r="D69" s="323" t="s">
        <v>556</v>
      </c>
      <c r="E69" s="448" t="s">
        <v>557</v>
      </c>
      <c r="F69" s="323">
        <f t="shared" si="52"/>
        <v>14.28571429</v>
      </c>
      <c r="G69" s="403" t="s">
        <v>483</v>
      </c>
      <c r="H69" s="323">
        <f t="shared" si="53"/>
        <v>1.464285714</v>
      </c>
      <c r="I69" s="323">
        <v>15.75</v>
      </c>
      <c r="J69" s="361">
        <f t="shared" si="54"/>
        <v>19.215</v>
      </c>
      <c r="K69" s="341">
        <f t="shared" si="17"/>
        <v>20</v>
      </c>
      <c r="L69" s="342">
        <f t="shared" si="18"/>
        <v>24.4</v>
      </c>
      <c r="M69" s="314"/>
      <c r="N69" s="314"/>
      <c r="O69" s="314"/>
      <c r="P69" s="314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  <c r="AN69" s="321"/>
    </row>
    <row r="70" ht="16.5" customHeight="1">
      <c r="A70" s="162" t="s">
        <v>282</v>
      </c>
      <c r="B70" s="314"/>
      <c r="C70" s="314"/>
      <c r="D70" s="323" t="s">
        <v>556</v>
      </c>
      <c r="E70" s="448" t="s">
        <v>558</v>
      </c>
      <c r="F70" s="323">
        <f t="shared" si="52"/>
        <v>17.57823129</v>
      </c>
      <c r="G70" s="403" t="s">
        <v>483</v>
      </c>
      <c r="H70" s="323">
        <f t="shared" si="53"/>
        <v>1.801768707</v>
      </c>
      <c r="I70" s="323">
        <v>19.38</v>
      </c>
      <c r="J70" s="361">
        <f t="shared" si="54"/>
        <v>23.6436</v>
      </c>
      <c r="K70" s="341">
        <f t="shared" si="17"/>
        <v>24.60952381</v>
      </c>
      <c r="L70" s="342">
        <f t="shared" si="18"/>
        <v>30.02361905</v>
      </c>
      <c r="M70" s="314"/>
      <c r="N70" s="314"/>
      <c r="O70" s="314"/>
      <c r="P70" s="314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  <c r="AN70" s="321"/>
    </row>
    <row r="71" ht="15.75" customHeight="1">
      <c r="A71" s="162" t="s">
        <v>282</v>
      </c>
      <c r="B71" s="314"/>
      <c r="C71" s="314"/>
      <c r="D71" s="323" t="s">
        <v>559</v>
      </c>
      <c r="E71" s="448" t="s">
        <v>560</v>
      </c>
      <c r="F71" s="323">
        <f t="shared" si="52"/>
        <v>9.097505669</v>
      </c>
      <c r="G71" s="403" t="s">
        <v>483</v>
      </c>
      <c r="H71" s="323">
        <f t="shared" si="53"/>
        <v>0.9324943311</v>
      </c>
      <c r="I71" s="323">
        <v>10.03</v>
      </c>
      <c r="J71" s="361">
        <f t="shared" si="54"/>
        <v>12.2366</v>
      </c>
      <c r="K71" s="341">
        <f t="shared" si="17"/>
        <v>12.73650794</v>
      </c>
      <c r="L71" s="342">
        <f t="shared" si="18"/>
        <v>15.53853968</v>
      </c>
      <c r="M71" s="314"/>
      <c r="N71" s="314"/>
      <c r="O71" s="314"/>
      <c r="P71" s="314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  <c r="AN71" s="321"/>
    </row>
    <row r="72" ht="15.75" customHeight="1">
      <c r="A72" s="162" t="s">
        <v>282</v>
      </c>
      <c r="B72" s="314"/>
      <c r="C72" s="314"/>
      <c r="D72" s="323" t="s">
        <v>561</v>
      </c>
      <c r="E72" s="448" t="s">
        <v>562</v>
      </c>
      <c r="F72" s="323">
        <f t="shared" ref="F72:F73" si="55">I72/1.05/1.05</f>
        <v>9.868480726</v>
      </c>
      <c r="G72" s="403" t="s">
        <v>483</v>
      </c>
      <c r="H72" s="323">
        <f t="shared" si="53"/>
        <v>1.011519274</v>
      </c>
      <c r="I72" s="323">
        <v>10.88</v>
      </c>
      <c r="J72" s="361">
        <f t="shared" si="54"/>
        <v>13.2736</v>
      </c>
      <c r="K72" s="341">
        <f t="shared" si="17"/>
        <v>13.81587302</v>
      </c>
      <c r="L72" s="342">
        <f t="shared" si="18"/>
        <v>16.85536508</v>
      </c>
      <c r="M72" s="314"/>
      <c r="N72" s="314"/>
      <c r="O72" s="314"/>
      <c r="P72" s="314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  <c r="AN72" s="321"/>
    </row>
    <row r="73" ht="15.75" customHeight="1">
      <c r="A73" s="162" t="s">
        <v>282</v>
      </c>
      <c r="B73" s="314"/>
      <c r="C73" s="314"/>
      <c r="D73" s="323" t="s">
        <v>563</v>
      </c>
      <c r="E73" s="448" t="s">
        <v>564</v>
      </c>
      <c r="F73" s="323">
        <f t="shared" si="55"/>
        <v>11.04761905</v>
      </c>
      <c r="G73" s="403" t="s">
        <v>483</v>
      </c>
      <c r="H73" s="323">
        <f t="shared" si="53"/>
        <v>1.132380952</v>
      </c>
      <c r="I73" s="323">
        <v>12.18</v>
      </c>
      <c r="J73" s="361">
        <f t="shared" si="54"/>
        <v>14.8596</v>
      </c>
      <c r="K73" s="341">
        <f t="shared" si="17"/>
        <v>15.46666667</v>
      </c>
      <c r="L73" s="342">
        <f t="shared" si="18"/>
        <v>18.86933333</v>
      </c>
      <c r="M73" s="314"/>
      <c r="N73" s="314"/>
      <c r="O73" s="314"/>
      <c r="P73" s="314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  <c r="AN73" s="321"/>
    </row>
    <row r="74" ht="15.75" customHeight="1">
      <c r="A74" s="162" t="s">
        <v>282</v>
      </c>
      <c r="B74" s="314"/>
      <c r="C74" s="314"/>
      <c r="D74" s="323" t="s">
        <v>565</v>
      </c>
      <c r="E74" s="449" t="s">
        <v>566</v>
      </c>
      <c r="F74" s="450">
        <v>12.18</v>
      </c>
      <c r="G74" s="451" t="s">
        <v>483</v>
      </c>
      <c r="H74" s="450">
        <f t="shared" si="53"/>
        <v>2.57</v>
      </c>
      <c r="I74" s="450">
        <v>14.75</v>
      </c>
      <c r="J74" s="361">
        <f t="shared" si="54"/>
        <v>17.995</v>
      </c>
      <c r="K74" s="341">
        <f t="shared" si="17"/>
        <v>17.052</v>
      </c>
      <c r="L74" s="342">
        <f t="shared" si="18"/>
        <v>20.80344</v>
      </c>
      <c r="M74" s="314"/>
      <c r="N74" s="314"/>
      <c r="O74" s="314"/>
      <c r="P74" s="314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  <c r="AN74" s="321"/>
    </row>
    <row r="75" ht="15.75" customHeight="1">
      <c r="A75" s="162" t="s">
        <v>282</v>
      </c>
      <c r="B75" s="314"/>
      <c r="C75" s="314"/>
      <c r="D75" s="323" t="s">
        <v>567</v>
      </c>
      <c r="E75" s="448" t="s">
        <v>568</v>
      </c>
      <c r="F75" s="323">
        <f t="shared" ref="F75:F76" si="56">I75/1.05/1.05</f>
        <v>12.38095238</v>
      </c>
      <c r="G75" s="403" t="s">
        <v>483</v>
      </c>
      <c r="H75" s="323">
        <f t="shared" si="53"/>
        <v>1.269047619</v>
      </c>
      <c r="I75" s="323">
        <v>13.65</v>
      </c>
      <c r="J75" s="361">
        <f t="shared" si="54"/>
        <v>16.653</v>
      </c>
      <c r="K75" s="341">
        <f t="shared" si="17"/>
        <v>17.33333333</v>
      </c>
      <c r="L75" s="342">
        <f t="shared" si="18"/>
        <v>21.14666667</v>
      </c>
      <c r="M75" s="314"/>
      <c r="N75" s="314"/>
      <c r="O75" s="314"/>
      <c r="P75" s="314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  <c r="AN75" s="321"/>
    </row>
    <row r="76" ht="15.75" customHeight="1">
      <c r="A76" s="162" t="s">
        <v>282</v>
      </c>
      <c r="B76" s="314"/>
      <c r="C76" s="314"/>
      <c r="D76" s="323" t="s">
        <v>569</v>
      </c>
      <c r="E76" s="401" t="s">
        <v>570</v>
      </c>
      <c r="F76" s="328">
        <f t="shared" si="56"/>
        <v>16.97052154</v>
      </c>
      <c r="G76" s="349" t="s">
        <v>483</v>
      </c>
      <c r="H76" s="349">
        <f t="shared" si="53"/>
        <v>1.739478458</v>
      </c>
      <c r="I76" s="349">
        <v>18.71</v>
      </c>
      <c r="J76" s="372">
        <f t="shared" si="54"/>
        <v>22.8262</v>
      </c>
      <c r="K76" s="341">
        <f t="shared" si="17"/>
        <v>23.75873016</v>
      </c>
      <c r="L76" s="342">
        <f t="shared" si="18"/>
        <v>28.98565079</v>
      </c>
      <c r="M76" s="314"/>
      <c r="N76" s="314"/>
      <c r="O76" s="314"/>
      <c r="P76" s="314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  <c r="AN76" s="321"/>
    </row>
    <row r="77" ht="15.75" customHeight="1">
      <c r="A77" s="314"/>
      <c r="B77" s="314"/>
      <c r="C77" s="314"/>
      <c r="D77" s="323"/>
      <c r="E77" s="452" t="s">
        <v>571</v>
      </c>
      <c r="F77" s="338"/>
      <c r="G77" s="403"/>
      <c r="H77" s="403"/>
      <c r="I77" s="323"/>
      <c r="J77" s="453"/>
      <c r="K77" s="341">
        <f t="shared" si="17"/>
        <v>0</v>
      </c>
      <c r="L77" s="342">
        <f t="shared" si="18"/>
        <v>0</v>
      </c>
      <c r="M77" s="314"/>
      <c r="N77" s="314"/>
      <c r="O77" s="314"/>
      <c r="P77" s="314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  <c r="AN77" s="321"/>
    </row>
    <row r="78" ht="15.75" customHeight="1">
      <c r="A78" s="162" t="s">
        <v>282</v>
      </c>
      <c r="B78" s="314"/>
      <c r="C78" s="314"/>
      <c r="D78" s="323" t="s">
        <v>572</v>
      </c>
      <c r="E78" s="448" t="s">
        <v>573</v>
      </c>
      <c r="F78" s="403">
        <f t="shared" ref="F78:F86" si="57">I78/1.05/1.05</f>
        <v>3.646258503</v>
      </c>
      <c r="G78" s="403" t="s">
        <v>483</v>
      </c>
      <c r="H78" s="403">
        <f t="shared" ref="H78:H86" si="58">I78-F78</f>
        <v>0.3737414966</v>
      </c>
      <c r="I78" s="323">
        <v>4.02</v>
      </c>
      <c r="J78" s="361">
        <f t="shared" ref="J78:J86" si="59">I78*1.22</f>
        <v>4.9044</v>
      </c>
      <c r="K78" s="341">
        <f t="shared" si="17"/>
        <v>5.104761905</v>
      </c>
      <c r="L78" s="342">
        <f t="shared" si="18"/>
        <v>6.227809524</v>
      </c>
      <c r="M78" s="314"/>
      <c r="N78" s="314"/>
      <c r="O78" s="314"/>
      <c r="P78" s="314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  <c r="AN78" s="321"/>
    </row>
    <row r="79" ht="15.75" customHeight="1">
      <c r="A79" s="162" t="s">
        <v>282</v>
      </c>
      <c r="B79" s="314"/>
      <c r="C79" s="314"/>
      <c r="D79" s="323" t="s">
        <v>574</v>
      </c>
      <c r="E79" s="448" t="s">
        <v>575</v>
      </c>
      <c r="F79" s="323">
        <f t="shared" si="57"/>
        <v>4.734693878</v>
      </c>
      <c r="G79" s="403" t="s">
        <v>483</v>
      </c>
      <c r="H79" s="323">
        <f t="shared" si="58"/>
        <v>0.4853061224</v>
      </c>
      <c r="I79" s="323">
        <v>5.22</v>
      </c>
      <c r="J79" s="361">
        <f t="shared" si="59"/>
        <v>6.3684</v>
      </c>
      <c r="K79" s="341">
        <f t="shared" si="17"/>
        <v>6.628571429</v>
      </c>
      <c r="L79" s="342">
        <f t="shared" si="18"/>
        <v>8.086857143</v>
      </c>
      <c r="M79" s="314"/>
      <c r="N79" s="314"/>
      <c r="O79" s="314"/>
      <c r="P79" s="314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  <c r="AN79" s="321"/>
    </row>
    <row r="80" ht="15.75" customHeight="1">
      <c r="A80" s="162" t="s">
        <v>282</v>
      </c>
      <c r="B80" s="314"/>
      <c r="C80" s="314"/>
      <c r="D80" s="323" t="s">
        <v>576</v>
      </c>
      <c r="E80" s="448" t="s">
        <v>577</v>
      </c>
      <c r="F80" s="323">
        <f t="shared" si="57"/>
        <v>5.25170068</v>
      </c>
      <c r="G80" s="403" t="s">
        <v>483</v>
      </c>
      <c r="H80" s="323">
        <f t="shared" si="58"/>
        <v>0.5382993197</v>
      </c>
      <c r="I80" s="323">
        <v>5.79</v>
      </c>
      <c r="J80" s="361">
        <f t="shared" si="59"/>
        <v>7.0638</v>
      </c>
      <c r="K80" s="341">
        <f t="shared" si="17"/>
        <v>7.352380952</v>
      </c>
      <c r="L80" s="342">
        <f t="shared" si="18"/>
        <v>8.969904762</v>
      </c>
      <c r="M80" s="314"/>
      <c r="N80" s="314"/>
      <c r="O80" s="314" t="s">
        <v>578</v>
      </c>
      <c r="P80" s="314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  <c r="AN80" s="321"/>
    </row>
    <row r="81" ht="15.75" customHeight="1">
      <c r="A81" s="162" t="s">
        <v>282</v>
      </c>
      <c r="B81" s="314"/>
      <c r="C81" s="314"/>
      <c r="D81" s="323" t="s">
        <v>579</v>
      </c>
      <c r="E81" s="448" t="s">
        <v>580</v>
      </c>
      <c r="F81" s="323">
        <f t="shared" si="57"/>
        <v>3.092970522</v>
      </c>
      <c r="G81" s="403" t="s">
        <v>483</v>
      </c>
      <c r="H81" s="323">
        <f t="shared" si="58"/>
        <v>0.3170294785</v>
      </c>
      <c r="I81" s="323">
        <v>3.41</v>
      </c>
      <c r="J81" s="361">
        <f t="shared" si="59"/>
        <v>4.1602</v>
      </c>
      <c r="K81" s="341">
        <f t="shared" si="17"/>
        <v>4.33015873</v>
      </c>
      <c r="L81" s="342">
        <f t="shared" si="18"/>
        <v>5.282793651</v>
      </c>
      <c r="M81" s="314"/>
      <c r="N81" s="314"/>
      <c r="O81" s="314"/>
      <c r="P81" s="314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  <c r="AN81" s="321"/>
    </row>
    <row r="82" ht="15.75" customHeight="1">
      <c r="A82" s="162" t="s">
        <v>282</v>
      </c>
      <c r="B82" s="314"/>
      <c r="C82" s="314"/>
      <c r="D82" s="323" t="s">
        <v>581</v>
      </c>
      <c r="E82" s="448" t="s">
        <v>582</v>
      </c>
      <c r="F82" s="323">
        <f t="shared" si="57"/>
        <v>4.002721088</v>
      </c>
      <c r="G82" s="403" t="s">
        <v>483</v>
      </c>
      <c r="H82" s="323">
        <f t="shared" si="58"/>
        <v>0.4102789116</v>
      </c>
      <c r="I82" s="323">
        <v>4.413</v>
      </c>
      <c r="J82" s="361">
        <f t="shared" si="59"/>
        <v>5.38386</v>
      </c>
      <c r="K82" s="341">
        <f t="shared" si="17"/>
        <v>5.603809524</v>
      </c>
      <c r="L82" s="342">
        <f t="shared" si="18"/>
        <v>6.836647619</v>
      </c>
      <c r="M82" s="314"/>
      <c r="N82" s="314"/>
      <c r="O82" s="314"/>
      <c r="P82" s="314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  <c r="AN82" s="321"/>
    </row>
    <row r="83" ht="15.75" customHeight="1">
      <c r="A83" s="162" t="s">
        <v>282</v>
      </c>
      <c r="B83" s="314"/>
      <c r="C83" s="314"/>
      <c r="D83" s="323" t="s">
        <v>583</v>
      </c>
      <c r="E83" s="448" t="s">
        <v>584</v>
      </c>
      <c r="F83" s="323">
        <f t="shared" si="57"/>
        <v>7.854875283</v>
      </c>
      <c r="G83" s="403" t="s">
        <v>483</v>
      </c>
      <c r="H83" s="323">
        <f t="shared" si="58"/>
        <v>0.8051247166</v>
      </c>
      <c r="I83" s="323">
        <v>8.66</v>
      </c>
      <c r="J83" s="361">
        <f t="shared" si="59"/>
        <v>10.5652</v>
      </c>
      <c r="K83" s="341">
        <f t="shared" si="17"/>
        <v>10.9968254</v>
      </c>
      <c r="L83" s="342">
        <f t="shared" si="18"/>
        <v>13.41612698</v>
      </c>
      <c r="M83" s="314"/>
      <c r="N83" s="314"/>
      <c r="O83" s="314"/>
      <c r="P83" s="314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  <c r="AN83" s="321"/>
    </row>
    <row r="84" ht="15.75" customHeight="1">
      <c r="A84" s="162" t="s">
        <v>282</v>
      </c>
      <c r="B84" s="314"/>
      <c r="C84" s="314"/>
      <c r="D84" s="323" t="s">
        <v>585</v>
      </c>
      <c r="E84" s="448" t="s">
        <v>586</v>
      </c>
      <c r="F84" s="323">
        <f t="shared" si="57"/>
        <v>9.278911565</v>
      </c>
      <c r="G84" s="403" t="s">
        <v>483</v>
      </c>
      <c r="H84" s="323">
        <f t="shared" si="58"/>
        <v>0.9510884354</v>
      </c>
      <c r="I84" s="323">
        <v>10.23</v>
      </c>
      <c r="J84" s="361">
        <f t="shared" si="59"/>
        <v>12.4806</v>
      </c>
      <c r="K84" s="341">
        <f t="shared" si="17"/>
        <v>12.99047619</v>
      </c>
      <c r="L84" s="342">
        <f t="shared" si="18"/>
        <v>15.84838095</v>
      </c>
      <c r="M84" s="314"/>
      <c r="N84" s="314"/>
      <c r="O84" s="314"/>
      <c r="P84" s="314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  <c r="AN84" s="321"/>
    </row>
    <row r="85" ht="15.75" customHeight="1">
      <c r="A85" s="162" t="s">
        <v>282</v>
      </c>
      <c r="B85" s="314"/>
      <c r="C85" s="314"/>
      <c r="D85" s="323" t="s">
        <v>587</v>
      </c>
      <c r="E85" s="448" t="s">
        <v>588</v>
      </c>
      <c r="F85" s="323">
        <f t="shared" si="57"/>
        <v>7.129251701</v>
      </c>
      <c r="G85" s="403" t="s">
        <v>483</v>
      </c>
      <c r="H85" s="323">
        <f t="shared" si="58"/>
        <v>0.7307482993</v>
      </c>
      <c r="I85" s="323">
        <v>7.86</v>
      </c>
      <c r="J85" s="361">
        <f t="shared" si="59"/>
        <v>9.5892</v>
      </c>
      <c r="K85" s="341">
        <f t="shared" si="17"/>
        <v>9.980952381</v>
      </c>
      <c r="L85" s="342">
        <f t="shared" si="18"/>
        <v>12.1767619</v>
      </c>
      <c r="M85" s="314"/>
      <c r="N85" s="314"/>
      <c r="O85" s="314"/>
      <c r="P85" s="314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  <c r="AN85" s="321"/>
    </row>
    <row r="86" ht="15.75" customHeight="1">
      <c r="A86" s="162" t="s">
        <v>282</v>
      </c>
      <c r="B86" s="314"/>
      <c r="C86" s="314"/>
      <c r="D86" s="323" t="s">
        <v>589</v>
      </c>
      <c r="E86" s="401" t="s">
        <v>590</v>
      </c>
      <c r="F86" s="349">
        <f t="shared" si="57"/>
        <v>11.69160998</v>
      </c>
      <c r="G86" s="349" t="s">
        <v>483</v>
      </c>
      <c r="H86" s="349">
        <f t="shared" si="58"/>
        <v>1.198390023</v>
      </c>
      <c r="I86" s="349">
        <v>12.89</v>
      </c>
      <c r="J86" s="372">
        <f t="shared" si="59"/>
        <v>15.7258</v>
      </c>
      <c r="K86" s="341">
        <f t="shared" si="17"/>
        <v>16.36825397</v>
      </c>
      <c r="L86" s="342">
        <f t="shared" si="18"/>
        <v>19.96926984</v>
      </c>
      <c r="M86" s="314"/>
      <c r="N86" s="314"/>
      <c r="O86" s="314"/>
      <c r="P86" s="314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  <c r="AN86" s="321"/>
    </row>
    <row r="87" ht="15.75" customHeight="1">
      <c r="A87" s="314"/>
      <c r="B87" s="314"/>
      <c r="C87" s="314"/>
      <c r="D87" s="323"/>
      <c r="E87" s="443" t="s">
        <v>591</v>
      </c>
      <c r="F87" s="403"/>
      <c r="G87" s="403"/>
      <c r="H87" s="403"/>
      <c r="I87" s="338"/>
      <c r="J87" s="454"/>
      <c r="K87" s="341">
        <f t="shared" si="17"/>
        <v>0</v>
      </c>
      <c r="L87" s="342">
        <f t="shared" si="18"/>
        <v>0</v>
      </c>
      <c r="M87" s="314"/>
      <c r="N87" s="314"/>
      <c r="O87" s="314"/>
      <c r="P87" s="314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  <c r="AN87" s="321"/>
    </row>
    <row r="88" ht="15.75" customHeight="1">
      <c r="A88" s="162" t="s">
        <v>282</v>
      </c>
      <c r="B88" s="314"/>
      <c r="C88" s="314"/>
      <c r="D88" s="323" t="s">
        <v>592</v>
      </c>
      <c r="E88" s="386" t="s">
        <v>593</v>
      </c>
      <c r="F88" s="403">
        <f t="shared" ref="F88:F96" si="60">I88/1.05/1.05</f>
        <v>4.83446712</v>
      </c>
      <c r="G88" s="403" t="s">
        <v>483</v>
      </c>
      <c r="H88" s="403">
        <f t="shared" ref="H88:H96" si="61">I88-F88</f>
        <v>0.4955328798</v>
      </c>
      <c r="I88" s="444">
        <v>5.33</v>
      </c>
      <c r="J88" s="455">
        <f t="shared" ref="J88:J96" si="62">I88*1.22</f>
        <v>6.5026</v>
      </c>
      <c r="K88" s="341">
        <f t="shared" si="17"/>
        <v>6.768253968</v>
      </c>
      <c r="L88" s="342">
        <f t="shared" si="18"/>
        <v>8.257269841</v>
      </c>
      <c r="M88" s="314"/>
      <c r="N88" s="314"/>
      <c r="O88" s="314"/>
      <c r="P88" s="314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  <c r="AN88" s="321"/>
    </row>
    <row r="89" ht="15.75" customHeight="1">
      <c r="A89" s="162" t="s">
        <v>282</v>
      </c>
      <c r="B89" s="314"/>
      <c r="C89" s="314"/>
      <c r="D89" s="323" t="s">
        <v>594</v>
      </c>
      <c r="E89" s="448" t="s">
        <v>595</v>
      </c>
      <c r="F89" s="323">
        <f t="shared" si="60"/>
        <v>6.303854875</v>
      </c>
      <c r="G89" s="403" t="s">
        <v>483</v>
      </c>
      <c r="H89" s="323">
        <f t="shared" si="61"/>
        <v>0.6461451247</v>
      </c>
      <c r="I89" s="323">
        <v>6.95</v>
      </c>
      <c r="J89" s="361">
        <f t="shared" si="62"/>
        <v>8.479</v>
      </c>
      <c r="K89" s="341">
        <f t="shared" si="17"/>
        <v>8.825396825</v>
      </c>
      <c r="L89" s="342">
        <f t="shared" si="18"/>
        <v>10.76698413</v>
      </c>
      <c r="M89" s="314"/>
      <c r="N89" s="314"/>
      <c r="O89" s="314"/>
      <c r="P89" s="314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  <c r="AN89" s="321"/>
    </row>
    <row r="90" ht="15.75" customHeight="1">
      <c r="A90" s="162" t="s">
        <v>282</v>
      </c>
      <c r="B90" s="314"/>
      <c r="C90" s="314"/>
      <c r="D90" s="323" t="s">
        <v>596</v>
      </c>
      <c r="E90" s="448" t="s">
        <v>597</v>
      </c>
      <c r="F90" s="323">
        <f t="shared" si="60"/>
        <v>9.070294785</v>
      </c>
      <c r="G90" s="403" t="s">
        <v>483</v>
      </c>
      <c r="H90" s="323">
        <f t="shared" si="61"/>
        <v>0.9297052154</v>
      </c>
      <c r="I90" s="323">
        <v>10.0</v>
      </c>
      <c r="J90" s="361">
        <f t="shared" si="62"/>
        <v>12.2</v>
      </c>
      <c r="K90" s="341">
        <f t="shared" si="17"/>
        <v>12.6984127</v>
      </c>
      <c r="L90" s="342">
        <f t="shared" si="18"/>
        <v>15.49206349</v>
      </c>
      <c r="M90" s="314"/>
      <c r="N90" s="314"/>
      <c r="O90" s="314"/>
      <c r="P90" s="314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  <c r="AN90" s="321"/>
    </row>
    <row r="91" ht="15.75" customHeight="1">
      <c r="A91" s="162" t="s">
        <v>282</v>
      </c>
      <c r="B91" s="314"/>
      <c r="C91" s="314"/>
      <c r="D91" s="323" t="s">
        <v>598</v>
      </c>
      <c r="E91" s="448" t="s">
        <v>599</v>
      </c>
      <c r="F91" s="323">
        <f t="shared" si="60"/>
        <v>3.129251701</v>
      </c>
      <c r="G91" s="403" t="s">
        <v>483</v>
      </c>
      <c r="H91" s="323">
        <f t="shared" si="61"/>
        <v>0.3207482993</v>
      </c>
      <c r="I91" s="323">
        <v>3.45</v>
      </c>
      <c r="J91" s="361">
        <f t="shared" si="62"/>
        <v>4.209</v>
      </c>
      <c r="K91" s="341">
        <f t="shared" si="17"/>
        <v>4.380952381</v>
      </c>
      <c r="L91" s="342">
        <f t="shared" si="18"/>
        <v>5.344761905</v>
      </c>
      <c r="M91" s="314"/>
      <c r="N91" s="314"/>
      <c r="O91" s="314"/>
      <c r="P91" s="314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  <c r="AN91" s="321"/>
    </row>
    <row r="92" ht="15.75" customHeight="1">
      <c r="A92" s="162" t="s">
        <v>282</v>
      </c>
      <c r="B92" s="314"/>
      <c r="C92" s="314"/>
      <c r="D92" s="323" t="s">
        <v>600</v>
      </c>
      <c r="E92" s="448" t="s">
        <v>601</v>
      </c>
      <c r="F92" s="323">
        <f t="shared" si="60"/>
        <v>3.891156463</v>
      </c>
      <c r="G92" s="403" t="s">
        <v>483</v>
      </c>
      <c r="H92" s="323">
        <f t="shared" si="61"/>
        <v>0.3988435374</v>
      </c>
      <c r="I92" s="323">
        <v>4.29</v>
      </c>
      <c r="J92" s="361">
        <f t="shared" si="62"/>
        <v>5.2338</v>
      </c>
      <c r="K92" s="341">
        <f t="shared" si="17"/>
        <v>5.447619048</v>
      </c>
      <c r="L92" s="342">
        <f t="shared" si="18"/>
        <v>6.646095238</v>
      </c>
      <c r="M92" s="314"/>
      <c r="N92" s="314"/>
      <c r="O92" s="314"/>
      <c r="P92" s="314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  <c r="AN92" s="321"/>
    </row>
    <row r="93" ht="15.75" customHeight="1">
      <c r="A93" s="162" t="s">
        <v>282</v>
      </c>
      <c r="B93" s="314"/>
      <c r="C93" s="314"/>
      <c r="D93" s="323" t="s">
        <v>602</v>
      </c>
      <c r="E93" s="448" t="s">
        <v>603</v>
      </c>
      <c r="F93" s="323">
        <f t="shared" si="60"/>
        <v>10.96598639</v>
      </c>
      <c r="G93" s="403" t="s">
        <v>483</v>
      </c>
      <c r="H93" s="323">
        <f t="shared" si="61"/>
        <v>1.124013605</v>
      </c>
      <c r="I93" s="323">
        <v>12.09</v>
      </c>
      <c r="J93" s="361">
        <f t="shared" si="62"/>
        <v>14.7498</v>
      </c>
      <c r="K93" s="341">
        <f t="shared" si="17"/>
        <v>15.35238095</v>
      </c>
      <c r="L93" s="342">
        <f t="shared" si="18"/>
        <v>18.72990476</v>
      </c>
      <c r="M93" s="314"/>
      <c r="N93" s="314"/>
      <c r="O93" s="314"/>
      <c r="P93" s="314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  <c r="AN93" s="321"/>
    </row>
    <row r="94" ht="15.75" customHeight="1">
      <c r="A94" s="162" t="s">
        <v>282</v>
      </c>
      <c r="B94" s="314"/>
      <c r="C94" s="314"/>
      <c r="D94" s="323" t="s">
        <v>604</v>
      </c>
      <c r="E94" s="448" t="s">
        <v>605</v>
      </c>
      <c r="F94" s="323">
        <f t="shared" si="60"/>
        <v>2.367346939</v>
      </c>
      <c r="G94" s="403" t="s">
        <v>483</v>
      </c>
      <c r="H94" s="323">
        <f t="shared" si="61"/>
        <v>0.2426530612</v>
      </c>
      <c r="I94" s="323">
        <v>2.61</v>
      </c>
      <c r="J94" s="361">
        <f t="shared" si="62"/>
        <v>3.1842</v>
      </c>
      <c r="K94" s="341">
        <f t="shared" si="17"/>
        <v>3.314285714</v>
      </c>
      <c r="L94" s="342">
        <f t="shared" si="18"/>
        <v>4.043428571</v>
      </c>
      <c r="M94" s="314"/>
      <c r="N94" s="314"/>
      <c r="O94" s="314"/>
      <c r="P94" s="314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  <c r="AN94" s="321"/>
    </row>
    <row r="95" ht="15.75" customHeight="1">
      <c r="A95" s="162" t="s">
        <v>282</v>
      </c>
      <c r="B95" s="314"/>
      <c r="C95" s="314"/>
      <c r="D95" s="323" t="s">
        <v>606</v>
      </c>
      <c r="E95" s="448" t="s">
        <v>607</v>
      </c>
      <c r="F95" s="323">
        <f t="shared" si="60"/>
        <v>2.403628118</v>
      </c>
      <c r="G95" s="403" t="s">
        <v>483</v>
      </c>
      <c r="H95" s="323">
        <f t="shared" si="61"/>
        <v>0.2463718821</v>
      </c>
      <c r="I95" s="403">
        <v>2.65</v>
      </c>
      <c r="J95" s="388">
        <f t="shared" si="62"/>
        <v>3.233</v>
      </c>
      <c r="K95" s="341">
        <f t="shared" si="17"/>
        <v>3.365079365</v>
      </c>
      <c r="L95" s="342">
        <f t="shared" si="18"/>
        <v>4.105396825</v>
      </c>
      <c r="M95" s="314"/>
      <c r="N95" s="314"/>
      <c r="O95" s="314"/>
      <c r="P95" s="314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</row>
    <row r="96" ht="15.75" customHeight="1">
      <c r="A96" s="162" t="s">
        <v>282</v>
      </c>
      <c r="B96" s="314"/>
      <c r="C96" s="314"/>
      <c r="D96" s="323" t="s">
        <v>608</v>
      </c>
      <c r="E96" s="401" t="s">
        <v>609</v>
      </c>
      <c r="F96" s="328">
        <f t="shared" si="60"/>
        <v>5.614512472</v>
      </c>
      <c r="G96" s="349" t="s">
        <v>483</v>
      </c>
      <c r="H96" s="349">
        <f t="shared" si="61"/>
        <v>0.5754875283</v>
      </c>
      <c r="I96" s="349">
        <v>6.19</v>
      </c>
      <c r="J96" s="372">
        <f t="shared" si="62"/>
        <v>7.5518</v>
      </c>
      <c r="K96" s="341">
        <f t="shared" si="17"/>
        <v>7.86031746</v>
      </c>
      <c r="L96" s="342">
        <f t="shared" si="18"/>
        <v>9.589587302</v>
      </c>
      <c r="M96" s="314"/>
      <c r="N96" s="314"/>
      <c r="O96" s="314"/>
      <c r="P96" s="314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</row>
    <row r="97" ht="15.75" customHeight="1">
      <c r="A97" s="314"/>
      <c r="B97" s="314"/>
      <c r="C97" s="314"/>
      <c r="D97" s="456"/>
      <c r="E97" s="452" t="s">
        <v>610</v>
      </c>
      <c r="F97" s="338"/>
      <c r="G97" s="403"/>
      <c r="H97" s="403"/>
      <c r="I97" s="323"/>
      <c r="J97" s="453"/>
      <c r="K97" s="341">
        <f t="shared" si="17"/>
        <v>0</v>
      </c>
      <c r="L97" s="342">
        <f t="shared" si="18"/>
        <v>0</v>
      </c>
      <c r="M97" s="314"/>
      <c r="N97" s="314"/>
      <c r="O97" s="314"/>
      <c r="P97" s="314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</row>
    <row r="98" ht="15.75" customHeight="1">
      <c r="A98" s="162" t="s">
        <v>282</v>
      </c>
      <c r="B98" s="314"/>
      <c r="C98" s="314"/>
      <c r="D98" s="323" t="s">
        <v>611</v>
      </c>
      <c r="E98" s="448" t="s">
        <v>612</v>
      </c>
      <c r="F98" s="403">
        <f t="shared" ref="F98:F115" si="63">I98/1.05/1.05</f>
        <v>0.1723356009</v>
      </c>
      <c r="G98" s="403" t="s">
        <v>483</v>
      </c>
      <c r="H98" s="403">
        <f t="shared" ref="H98:H115" si="64">I98-F98</f>
        <v>0.01766439909</v>
      </c>
      <c r="I98" s="323">
        <v>0.19</v>
      </c>
      <c r="J98" s="361">
        <f t="shared" ref="J98:J115" si="65">I98*1.22</f>
        <v>0.2318</v>
      </c>
      <c r="K98" s="341">
        <f t="shared" si="17"/>
        <v>0.2412698413</v>
      </c>
      <c r="L98" s="342">
        <f t="shared" si="18"/>
        <v>0.2943492063</v>
      </c>
      <c r="M98" s="314"/>
      <c r="N98" s="314"/>
      <c r="O98" s="314"/>
      <c r="P98" s="314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  <c r="AN98" s="321"/>
    </row>
    <row r="99" ht="15.75" customHeight="1">
      <c r="A99" s="162" t="s">
        <v>282</v>
      </c>
      <c r="B99" s="314"/>
      <c r="C99" s="314"/>
      <c r="D99" s="323" t="s">
        <v>613</v>
      </c>
      <c r="E99" s="448" t="s">
        <v>614</v>
      </c>
      <c r="F99" s="323">
        <f t="shared" si="63"/>
        <v>0.20861678</v>
      </c>
      <c r="G99" s="403" t="s">
        <v>483</v>
      </c>
      <c r="H99" s="323">
        <f t="shared" si="64"/>
        <v>0.02138321995</v>
      </c>
      <c r="I99" s="323">
        <v>0.23</v>
      </c>
      <c r="J99" s="361">
        <f t="shared" si="65"/>
        <v>0.2806</v>
      </c>
      <c r="K99" s="341">
        <f t="shared" si="17"/>
        <v>0.2920634921</v>
      </c>
      <c r="L99" s="342">
        <f t="shared" si="18"/>
        <v>0.3563174603</v>
      </c>
      <c r="M99" s="314"/>
      <c r="N99" s="314"/>
      <c r="O99" s="314"/>
      <c r="P99" s="314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  <c r="AN99" s="321"/>
    </row>
    <row r="100" ht="15.75" customHeight="1">
      <c r="A100" s="162" t="s">
        <v>282</v>
      </c>
      <c r="B100" s="314"/>
      <c r="C100" s="314"/>
      <c r="D100" s="323" t="s">
        <v>615</v>
      </c>
      <c r="E100" s="448" t="s">
        <v>616</v>
      </c>
      <c r="F100" s="323">
        <f t="shared" si="63"/>
        <v>8.063492063</v>
      </c>
      <c r="G100" s="403" t="s">
        <v>483</v>
      </c>
      <c r="H100" s="323">
        <f t="shared" si="64"/>
        <v>0.8265079365</v>
      </c>
      <c r="I100" s="323">
        <v>8.89</v>
      </c>
      <c r="J100" s="361">
        <f t="shared" si="65"/>
        <v>10.8458</v>
      </c>
      <c r="K100" s="341">
        <f t="shared" si="17"/>
        <v>11.28888889</v>
      </c>
      <c r="L100" s="342">
        <f t="shared" si="18"/>
        <v>13.77244444</v>
      </c>
      <c r="M100" s="314"/>
      <c r="N100" s="314"/>
      <c r="O100" s="314"/>
      <c r="P100" s="314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  <c r="AN100" s="321"/>
    </row>
    <row r="101" ht="15.75" customHeight="1">
      <c r="A101" s="162" t="s">
        <v>282</v>
      </c>
      <c r="B101" s="314"/>
      <c r="C101" s="314"/>
      <c r="D101" s="323" t="s">
        <v>617</v>
      </c>
      <c r="E101" s="448" t="s">
        <v>618</v>
      </c>
      <c r="F101" s="323">
        <f t="shared" si="63"/>
        <v>10.53968254</v>
      </c>
      <c r="G101" s="403" t="s">
        <v>483</v>
      </c>
      <c r="H101" s="323">
        <f t="shared" si="64"/>
        <v>1.08031746</v>
      </c>
      <c r="I101" s="323">
        <v>11.62</v>
      </c>
      <c r="J101" s="361">
        <f t="shared" si="65"/>
        <v>14.1764</v>
      </c>
      <c r="K101" s="341">
        <f t="shared" si="17"/>
        <v>14.75555556</v>
      </c>
      <c r="L101" s="342">
        <f t="shared" si="18"/>
        <v>18.00177778</v>
      </c>
      <c r="M101" s="314"/>
      <c r="N101" s="314"/>
      <c r="O101" s="314"/>
      <c r="P101" s="314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  <c r="AN101" s="321"/>
    </row>
    <row r="102" ht="15.75" customHeight="1">
      <c r="A102" s="162" t="s">
        <v>282</v>
      </c>
      <c r="B102" s="314"/>
      <c r="C102" s="314"/>
      <c r="D102" s="323" t="s">
        <v>619</v>
      </c>
      <c r="E102" s="448" t="s">
        <v>620</v>
      </c>
      <c r="F102" s="323">
        <f t="shared" si="63"/>
        <v>15.38321995</v>
      </c>
      <c r="G102" s="403" t="s">
        <v>483</v>
      </c>
      <c r="H102" s="323">
        <f t="shared" si="64"/>
        <v>1.576780045</v>
      </c>
      <c r="I102" s="323">
        <v>16.96</v>
      </c>
      <c r="J102" s="361">
        <f t="shared" si="65"/>
        <v>20.6912</v>
      </c>
      <c r="K102" s="341">
        <f t="shared" si="17"/>
        <v>21.53650794</v>
      </c>
      <c r="L102" s="342">
        <f t="shared" si="18"/>
        <v>26.27453968</v>
      </c>
      <c r="M102" s="314"/>
      <c r="N102" s="314"/>
      <c r="O102" s="314"/>
      <c r="P102" s="314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  <c r="AN102" s="321"/>
    </row>
    <row r="103" ht="15.75" customHeight="1">
      <c r="A103" s="162" t="s">
        <v>282</v>
      </c>
      <c r="B103" s="314"/>
      <c r="C103" s="314"/>
      <c r="D103" s="323" t="s">
        <v>621</v>
      </c>
      <c r="E103" s="448" t="s">
        <v>622</v>
      </c>
      <c r="F103" s="323">
        <f t="shared" si="63"/>
        <v>0</v>
      </c>
      <c r="G103" s="403" t="s">
        <v>483</v>
      </c>
      <c r="H103" s="323">
        <f t="shared" si="64"/>
        <v>0</v>
      </c>
      <c r="I103" s="323">
        <v>0.0</v>
      </c>
      <c r="J103" s="361">
        <f t="shared" si="65"/>
        <v>0</v>
      </c>
      <c r="K103" s="341">
        <f t="shared" si="17"/>
        <v>0</v>
      </c>
      <c r="L103" s="342">
        <f t="shared" si="18"/>
        <v>0</v>
      </c>
      <c r="M103" s="314"/>
      <c r="N103" s="314"/>
      <c r="O103" s="314"/>
      <c r="P103" s="314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  <c r="AN103" s="321"/>
    </row>
    <row r="104" ht="15.75" customHeight="1">
      <c r="A104" s="162" t="s">
        <v>282</v>
      </c>
      <c r="B104" s="314"/>
      <c r="C104" s="314"/>
      <c r="D104" s="323" t="s">
        <v>623</v>
      </c>
      <c r="E104" s="448" t="s">
        <v>624</v>
      </c>
      <c r="F104" s="323">
        <f t="shared" si="63"/>
        <v>6.367346939</v>
      </c>
      <c r="G104" s="403" t="s">
        <v>483</v>
      </c>
      <c r="H104" s="323">
        <f t="shared" si="64"/>
        <v>0.6526530612</v>
      </c>
      <c r="I104" s="323">
        <v>7.02</v>
      </c>
      <c r="J104" s="361">
        <f t="shared" si="65"/>
        <v>8.5644</v>
      </c>
      <c r="K104" s="341">
        <f t="shared" si="17"/>
        <v>8.914285714</v>
      </c>
      <c r="L104" s="342">
        <f t="shared" si="18"/>
        <v>10.87542857</v>
      </c>
      <c r="M104" s="314"/>
      <c r="N104" s="314"/>
      <c r="O104" s="314"/>
      <c r="P104" s="314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  <c r="AN104" s="321"/>
    </row>
    <row r="105" ht="15.75" customHeight="1">
      <c r="A105" s="162" t="s">
        <v>282</v>
      </c>
      <c r="B105" s="314"/>
      <c r="C105" s="314"/>
      <c r="D105" s="323" t="s">
        <v>625</v>
      </c>
      <c r="E105" s="448" t="s">
        <v>626</v>
      </c>
      <c r="F105" s="328">
        <f t="shared" si="63"/>
        <v>3.047619048</v>
      </c>
      <c r="G105" s="403" t="s">
        <v>483</v>
      </c>
      <c r="H105" s="323">
        <f t="shared" si="64"/>
        <v>0.3123809524</v>
      </c>
      <c r="I105" s="323">
        <v>3.36</v>
      </c>
      <c r="J105" s="361">
        <f t="shared" si="65"/>
        <v>4.0992</v>
      </c>
      <c r="K105" s="341">
        <f t="shared" si="17"/>
        <v>4.266666667</v>
      </c>
      <c r="L105" s="342">
        <f t="shared" si="18"/>
        <v>5.205333333</v>
      </c>
      <c r="M105" s="314"/>
      <c r="N105" s="314"/>
      <c r="O105" s="314"/>
      <c r="P105" s="314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  <c r="AN105" s="321"/>
    </row>
    <row r="106" ht="15.75" customHeight="1">
      <c r="A106" s="162" t="s">
        <v>282</v>
      </c>
      <c r="B106" s="314"/>
      <c r="C106" s="314"/>
      <c r="D106" s="323" t="s">
        <v>627</v>
      </c>
      <c r="E106" s="448" t="s">
        <v>628</v>
      </c>
      <c r="F106" s="323">
        <f t="shared" si="63"/>
        <v>8.099773243</v>
      </c>
      <c r="G106" s="403" t="s">
        <v>483</v>
      </c>
      <c r="H106" s="403">
        <f t="shared" si="64"/>
        <v>0.8302267574</v>
      </c>
      <c r="I106" s="323">
        <v>8.93</v>
      </c>
      <c r="J106" s="361">
        <f t="shared" si="65"/>
        <v>10.8946</v>
      </c>
      <c r="K106" s="341">
        <f t="shared" si="17"/>
        <v>11.33968254</v>
      </c>
      <c r="L106" s="342">
        <f t="shared" si="18"/>
        <v>13.8344127</v>
      </c>
      <c r="M106" s="314"/>
      <c r="N106" s="314"/>
      <c r="O106" s="314"/>
      <c r="P106" s="314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  <c r="AN106" s="321"/>
    </row>
    <row r="107" ht="15.75" customHeight="1">
      <c r="A107" s="162" t="s">
        <v>282</v>
      </c>
      <c r="B107" s="314"/>
      <c r="C107" s="314"/>
      <c r="D107" s="323" t="s">
        <v>629</v>
      </c>
      <c r="E107" s="448" t="s">
        <v>630</v>
      </c>
      <c r="F107" s="323">
        <f t="shared" si="63"/>
        <v>3.664399093</v>
      </c>
      <c r="G107" s="403" t="s">
        <v>483</v>
      </c>
      <c r="H107" s="323">
        <f t="shared" si="64"/>
        <v>0.375600907</v>
      </c>
      <c r="I107" s="323">
        <v>4.04</v>
      </c>
      <c r="J107" s="361">
        <f t="shared" si="65"/>
        <v>4.9288</v>
      </c>
      <c r="K107" s="341">
        <f t="shared" si="17"/>
        <v>5.13015873</v>
      </c>
      <c r="L107" s="342">
        <f t="shared" si="18"/>
        <v>6.258793651</v>
      </c>
      <c r="M107" s="314"/>
      <c r="N107" s="314"/>
      <c r="O107" s="314"/>
      <c r="P107" s="314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  <c r="AN107" s="321"/>
    </row>
    <row r="108" ht="15.75" customHeight="1">
      <c r="A108" s="162" t="s">
        <v>282</v>
      </c>
      <c r="B108" s="314"/>
      <c r="C108" s="314"/>
      <c r="D108" s="323" t="s">
        <v>631</v>
      </c>
      <c r="E108" s="448" t="s">
        <v>632</v>
      </c>
      <c r="F108" s="323">
        <f t="shared" si="63"/>
        <v>0</v>
      </c>
      <c r="G108" s="403" t="s">
        <v>483</v>
      </c>
      <c r="H108" s="323">
        <f t="shared" si="64"/>
        <v>0</v>
      </c>
      <c r="I108" s="323">
        <v>0.0</v>
      </c>
      <c r="J108" s="361">
        <f t="shared" si="65"/>
        <v>0</v>
      </c>
      <c r="K108" s="341">
        <f t="shared" si="17"/>
        <v>0</v>
      </c>
      <c r="L108" s="342">
        <f t="shared" si="18"/>
        <v>0</v>
      </c>
      <c r="M108" s="314"/>
      <c r="N108" s="314"/>
      <c r="O108" s="314"/>
      <c r="P108" s="314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  <c r="AN108" s="321"/>
    </row>
    <row r="109" ht="15.75" customHeight="1">
      <c r="A109" s="162" t="s">
        <v>282</v>
      </c>
      <c r="B109" s="314"/>
      <c r="C109" s="314"/>
      <c r="D109" s="323" t="s">
        <v>633</v>
      </c>
      <c r="E109" s="448" t="s">
        <v>634</v>
      </c>
      <c r="F109" s="323">
        <f t="shared" si="63"/>
        <v>3.873015873</v>
      </c>
      <c r="G109" s="403" t="s">
        <v>483</v>
      </c>
      <c r="H109" s="323">
        <f t="shared" si="64"/>
        <v>0.396984127</v>
      </c>
      <c r="I109" s="323">
        <v>4.27</v>
      </c>
      <c r="J109" s="361">
        <f t="shared" si="65"/>
        <v>5.2094</v>
      </c>
      <c r="K109" s="341">
        <f t="shared" si="17"/>
        <v>5.422222222</v>
      </c>
      <c r="L109" s="342">
        <f t="shared" si="18"/>
        <v>6.615111111</v>
      </c>
      <c r="M109" s="314"/>
      <c r="N109" s="314"/>
      <c r="O109" s="314"/>
      <c r="P109" s="314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  <c r="AN109" s="321"/>
    </row>
    <row r="110" ht="15.75" customHeight="1">
      <c r="A110" s="162" t="s">
        <v>282</v>
      </c>
      <c r="B110" s="314"/>
      <c r="C110" s="314"/>
      <c r="D110" s="323" t="s">
        <v>635</v>
      </c>
      <c r="E110" s="448" t="s">
        <v>636</v>
      </c>
      <c r="F110" s="323">
        <f t="shared" si="63"/>
        <v>16.6893424</v>
      </c>
      <c r="G110" s="323" t="s">
        <v>483</v>
      </c>
      <c r="H110" s="323">
        <f t="shared" si="64"/>
        <v>1.710657596</v>
      </c>
      <c r="I110" s="323">
        <v>18.4</v>
      </c>
      <c r="J110" s="361">
        <f t="shared" si="65"/>
        <v>22.448</v>
      </c>
      <c r="K110" s="341">
        <f t="shared" si="17"/>
        <v>23.36507937</v>
      </c>
      <c r="L110" s="342">
        <f t="shared" si="18"/>
        <v>28.50539683</v>
      </c>
      <c r="M110" s="314"/>
      <c r="N110" s="314"/>
      <c r="O110" s="314"/>
      <c r="P110" s="314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  <c r="AN110" s="321"/>
    </row>
    <row r="111" ht="15.75" customHeight="1">
      <c r="A111" s="162" t="s">
        <v>282</v>
      </c>
      <c r="B111" s="314"/>
      <c r="C111" s="314"/>
      <c r="D111" s="323" t="s">
        <v>637</v>
      </c>
      <c r="E111" s="401" t="s">
        <v>638</v>
      </c>
      <c r="F111" s="349">
        <f t="shared" si="63"/>
        <v>0</v>
      </c>
      <c r="G111" s="349" t="s">
        <v>483</v>
      </c>
      <c r="H111" s="349">
        <f t="shared" si="64"/>
        <v>0</v>
      </c>
      <c r="I111" s="328">
        <v>0.0</v>
      </c>
      <c r="J111" s="372">
        <f t="shared" si="65"/>
        <v>0</v>
      </c>
      <c r="K111" s="341">
        <f t="shared" si="17"/>
        <v>0</v>
      </c>
      <c r="L111" s="342">
        <f t="shared" si="18"/>
        <v>0</v>
      </c>
      <c r="M111" s="314"/>
      <c r="N111" s="314"/>
      <c r="O111" s="314"/>
      <c r="P111" s="314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  <c r="AN111" s="321"/>
    </row>
    <row r="112" ht="15.75" customHeight="1">
      <c r="A112" s="162" t="s">
        <v>282</v>
      </c>
      <c r="B112" s="314"/>
      <c r="C112" s="314"/>
      <c r="D112" s="323" t="s">
        <v>639</v>
      </c>
      <c r="E112" s="386" t="s">
        <v>640</v>
      </c>
      <c r="F112" s="403">
        <f t="shared" si="63"/>
        <v>3.528344671</v>
      </c>
      <c r="G112" s="403" t="s">
        <v>483</v>
      </c>
      <c r="H112" s="403">
        <f t="shared" si="64"/>
        <v>0.3616553288</v>
      </c>
      <c r="I112" s="338">
        <v>3.89</v>
      </c>
      <c r="J112" s="388">
        <f t="shared" si="65"/>
        <v>4.7458</v>
      </c>
      <c r="K112" s="341">
        <f t="shared" si="17"/>
        <v>4.93968254</v>
      </c>
      <c r="L112" s="342">
        <f t="shared" si="18"/>
        <v>6.026412698</v>
      </c>
      <c r="M112" s="314"/>
      <c r="N112" s="314"/>
      <c r="O112" s="314"/>
      <c r="P112" s="314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  <c r="AN112" s="321"/>
    </row>
    <row r="113" ht="15.75" customHeight="1">
      <c r="A113" s="162" t="s">
        <v>282</v>
      </c>
      <c r="B113" s="314"/>
      <c r="C113" s="314"/>
      <c r="D113" s="323" t="s">
        <v>641</v>
      </c>
      <c r="E113" s="448" t="s">
        <v>642</v>
      </c>
      <c r="F113" s="323">
        <f t="shared" si="63"/>
        <v>3.528344671</v>
      </c>
      <c r="G113" s="403" t="s">
        <v>483</v>
      </c>
      <c r="H113" s="323">
        <f t="shared" si="64"/>
        <v>0.3616553288</v>
      </c>
      <c r="I113" s="323">
        <v>3.89</v>
      </c>
      <c r="J113" s="361">
        <f t="shared" si="65"/>
        <v>4.7458</v>
      </c>
      <c r="K113" s="341">
        <f t="shared" si="17"/>
        <v>4.93968254</v>
      </c>
      <c r="L113" s="342">
        <f t="shared" si="18"/>
        <v>6.026412698</v>
      </c>
      <c r="M113" s="314"/>
      <c r="N113" s="314"/>
      <c r="O113" s="314"/>
      <c r="P113" s="314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  <c r="AN113" s="321"/>
    </row>
    <row r="114" ht="15.75" customHeight="1">
      <c r="A114" s="162" t="s">
        <v>282</v>
      </c>
      <c r="B114" s="314"/>
      <c r="C114" s="314"/>
      <c r="D114" s="323" t="s">
        <v>643</v>
      </c>
      <c r="E114" s="457" t="s">
        <v>644</v>
      </c>
      <c r="F114" s="328">
        <f t="shared" si="63"/>
        <v>3.528344671</v>
      </c>
      <c r="G114" s="328" t="s">
        <v>483</v>
      </c>
      <c r="H114" s="328">
        <f t="shared" si="64"/>
        <v>0.3616553288</v>
      </c>
      <c r="I114" s="328">
        <v>3.89</v>
      </c>
      <c r="J114" s="458">
        <f t="shared" si="65"/>
        <v>4.7458</v>
      </c>
      <c r="K114" s="341">
        <f t="shared" si="17"/>
        <v>4.93968254</v>
      </c>
      <c r="L114" s="342">
        <f t="shared" si="18"/>
        <v>6.026412698</v>
      </c>
      <c r="M114" s="314"/>
      <c r="N114" s="314"/>
      <c r="O114" s="314"/>
      <c r="P114" s="314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  <c r="AN114" s="321"/>
    </row>
    <row r="115" ht="15.75" customHeight="1">
      <c r="A115" s="162" t="s">
        <v>282</v>
      </c>
      <c r="B115" s="314"/>
      <c r="C115" s="314"/>
      <c r="D115" s="323" t="s">
        <v>643</v>
      </c>
      <c r="E115" s="457" t="s">
        <v>645</v>
      </c>
      <c r="F115" s="328">
        <f t="shared" si="63"/>
        <v>3.528344671</v>
      </c>
      <c r="G115" s="328" t="s">
        <v>483</v>
      </c>
      <c r="H115" s="328">
        <f t="shared" si="64"/>
        <v>0.3616553288</v>
      </c>
      <c r="I115" s="328">
        <v>3.89</v>
      </c>
      <c r="J115" s="458">
        <f t="shared" si="65"/>
        <v>4.7458</v>
      </c>
      <c r="K115" s="341">
        <f t="shared" si="17"/>
        <v>4.93968254</v>
      </c>
      <c r="L115" s="342">
        <f t="shared" si="18"/>
        <v>6.026412698</v>
      </c>
      <c r="M115" s="314"/>
      <c r="N115" s="314"/>
      <c r="O115" s="314"/>
      <c r="P115" s="314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  <c r="AN115" s="321"/>
    </row>
    <row r="116" ht="15.75" customHeight="1">
      <c r="A116" s="314"/>
      <c r="B116" s="314"/>
      <c r="C116" s="314"/>
      <c r="D116" s="323"/>
      <c r="E116" s="459" t="s">
        <v>646</v>
      </c>
      <c r="F116" s="338"/>
      <c r="G116" s="338"/>
      <c r="H116" s="338"/>
      <c r="I116" s="338"/>
      <c r="J116" s="454"/>
      <c r="K116" s="341">
        <f t="shared" si="17"/>
        <v>0</v>
      </c>
      <c r="L116" s="342">
        <f t="shared" si="18"/>
        <v>0</v>
      </c>
      <c r="M116" s="314"/>
      <c r="N116" s="314"/>
      <c r="O116" s="314"/>
      <c r="P116" s="314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  <c r="AN116" s="321"/>
    </row>
    <row r="117" ht="27.0" customHeight="1">
      <c r="A117" s="162" t="s">
        <v>282</v>
      </c>
      <c r="B117" s="314"/>
      <c r="C117" s="314"/>
      <c r="D117" s="323" t="s">
        <v>647</v>
      </c>
      <c r="E117" s="401" t="s">
        <v>648</v>
      </c>
      <c r="F117" s="349">
        <f>I117/1.05/1.05</f>
        <v>12.57142857</v>
      </c>
      <c r="G117" s="349" t="s">
        <v>483</v>
      </c>
      <c r="H117" s="349">
        <f>I117-F117</f>
        <v>1.288571429</v>
      </c>
      <c r="I117" s="349">
        <v>13.86</v>
      </c>
      <c r="J117" s="372">
        <f>I117*1.22</f>
        <v>16.9092</v>
      </c>
      <c r="K117" s="341">
        <f t="shared" si="17"/>
        <v>17.6</v>
      </c>
      <c r="L117" s="342">
        <f t="shared" si="18"/>
        <v>21.472</v>
      </c>
      <c r="M117" s="422"/>
      <c r="N117" s="314"/>
      <c r="O117" s="314"/>
      <c r="P117" s="314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  <c r="AN117" s="321"/>
    </row>
    <row r="118" ht="15.75" customHeight="1">
      <c r="A118" s="314"/>
      <c r="B118" s="314"/>
      <c r="C118" s="314"/>
      <c r="D118" s="323"/>
      <c r="E118" s="460" t="s">
        <v>649</v>
      </c>
      <c r="F118" s="338"/>
      <c r="G118" s="444"/>
      <c r="H118" s="338"/>
      <c r="I118" s="338"/>
      <c r="J118" s="461"/>
      <c r="K118" s="341">
        <f t="shared" si="17"/>
        <v>0</v>
      </c>
      <c r="L118" s="342">
        <f t="shared" si="18"/>
        <v>0</v>
      </c>
      <c r="M118" s="314"/>
      <c r="N118" s="314"/>
      <c r="O118" s="314"/>
      <c r="P118" s="314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  <c r="AN118" s="321"/>
    </row>
    <row r="119" ht="27.0" customHeight="1">
      <c r="A119" s="162" t="s">
        <v>282</v>
      </c>
      <c r="B119" s="314"/>
      <c r="C119" s="314"/>
      <c r="D119" s="323" t="s">
        <v>650</v>
      </c>
      <c r="E119" s="448" t="s">
        <v>651</v>
      </c>
      <c r="F119" s="403">
        <f t="shared" ref="F119:F120" si="66">I119/1.05/1.05</f>
        <v>18.21315193</v>
      </c>
      <c r="G119" s="323" t="s">
        <v>483</v>
      </c>
      <c r="H119" s="403">
        <f t="shared" ref="H119:H120" si="67">I119-F119</f>
        <v>1.866848073</v>
      </c>
      <c r="I119" s="403">
        <v>20.08</v>
      </c>
      <c r="J119" s="361">
        <f t="shared" ref="J119:J120" si="68">I119*1.22</f>
        <v>24.4976</v>
      </c>
      <c r="K119" s="341">
        <f t="shared" si="17"/>
        <v>25.4984127</v>
      </c>
      <c r="L119" s="342">
        <f t="shared" si="18"/>
        <v>31.10806349</v>
      </c>
      <c r="M119" s="314"/>
      <c r="N119" s="314"/>
      <c r="O119" s="314"/>
      <c r="P119" s="314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</row>
    <row r="120" ht="27.0" customHeight="1">
      <c r="A120" s="162" t="s">
        <v>282</v>
      </c>
      <c r="B120" s="314"/>
      <c r="C120" s="314"/>
      <c r="D120" s="323" t="s">
        <v>652</v>
      </c>
      <c r="E120" s="401" t="s">
        <v>653</v>
      </c>
      <c r="F120" s="349">
        <f t="shared" si="66"/>
        <v>18.21315193</v>
      </c>
      <c r="G120" s="349" t="s">
        <v>483</v>
      </c>
      <c r="H120" s="349">
        <f t="shared" si="67"/>
        <v>1.866848073</v>
      </c>
      <c r="I120" s="349">
        <v>20.08</v>
      </c>
      <c r="J120" s="372">
        <f t="shared" si="68"/>
        <v>24.4976</v>
      </c>
      <c r="K120" s="341">
        <f t="shared" si="17"/>
        <v>25.4984127</v>
      </c>
      <c r="L120" s="342">
        <f t="shared" si="18"/>
        <v>31.10806349</v>
      </c>
      <c r="M120" s="314"/>
      <c r="N120" s="314"/>
      <c r="O120" s="314"/>
      <c r="P120" s="314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</row>
    <row r="121" ht="15.75" customHeight="1">
      <c r="A121" s="314"/>
      <c r="B121" s="314"/>
      <c r="C121" s="314"/>
      <c r="D121" s="323"/>
      <c r="E121" s="452" t="s">
        <v>654</v>
      </c>
      <c r="F121" s="338"/>
      <c r="G121" s="403"/>
      <c r="H121" s="403"/>
      <c r="I121" s="323"/>
      <c r="J121" s="453"/>
      <c r="K121" s="341">
        <f t="shared" si="17"/>
        <v>0</v>
      </c>
      <c r="L121" s="342">
        <f t="shared" si="18"/>
        <v>0</v>
      </c>
      <c r="M121" s="314"/>
      <c r="N121" s="314"/>
      <c r="O121" s="314"/>
      <c r="P121" s="314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  <c r="AN121" s="321"/>
    </row>
    <row r="122" ht="27.0" customHeight="1">
      <c r="A122" s="162" t="s">
        <v>282</v>
      </c>
      <c r="B122" s="314"/>
      <c r="C122" s="314"/>
      <c r="D122" s="323" t="s">
        <v>469</v>
      </c>
      <c r="E122" s="448" t="s">
        <v>655</v>
      </c>
      <c r="F122" s="403">
        <f t="shared" ref="F122:F133" si="69">I122/1.05/1.05</f>
        <v>0.8072562358</v>
      </c>
      <c r="G122" s="323" t="s">
        <v>483</v>
      </c>
      <c r="H122" s="403">
        <f t="shared" ref="H122:H133" si="70">I122-F122</f>
        <v>0.08274376417</v>
      </c>
      <c r="I122" s="323">
        <v>0.89</v>
      </c>
      <c r="J122" s="453">
        <f t="shared" ref="J122:J133" si="71">I122*1.22</f>
        <v>1.0858</v>
      </c>
      <c r="K122" s="341">
        <f t="shared" si="17"/>
        <v>1.13015873</v>
      </c>
      <c r="L122" s="342">
        <f t="shared" si="18"/>
        <v>1.378793651</v>
      </c>
      <c r="M122" s="314"/>
      <c r="N122" s="314"/>
      <c r="O122" s="314"/>
      <c r="P122" s="314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  <c r="AN122" s="321"/>
    </row>
    <row r="123" ht="15.75" customHeight="1">
      <c r="A123" s="162" t="s">
        <v>282</v>
      </c>
      <c r="B123" s="314"/>
      <c r="C123" s="314"/>
      <c r="D123" s="323" t="s">
        <v>656</v>
      </c>
      <c r="E123" s="457" t="s">
        <v>657</v>
      </c>
      <c r="F123" s="444">
        <f t="shared" si="69"/>
        <v>0.7256235828</v>
      </c>
      <c r="G123" s="328" t="s">
        <v>483</v>
      </c>
      <c r="H123" s="444">
        <f t="shared" si="70"/>
        <v>0.07437641723</v>
      </c>
      <c r="I123" s="328">
        <v>0.8</v>
      </c>
      <c r="J123" s="462">
        <f t="shared" si="71"/>
        <v>0.976</v>
      </c>
      <c r="K123" s="341">
        <f t="shared" si="17"/>
        <v>1.015873016</v>
      </c>
      <c r="L123" s="342">
        <f t="shared" si="18"/>
        <v>1.239365079</v>
      </c>
      <c r="M123" s="314"/>
      <c r="N123" s="314"/>
      <c r="O123" s="314"/>
      <c r="P123" s="314">
        <f>160*F122</f>
        <v>129.1609977</v>
      </c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  <c r="AN123" s="321"/>
    </row>
    <row r="124" ht="15.75" customHeight="1">
      <c r="A124" s="162" t="s">
        <v>282</v>
      </c>
      <c r="B124" s="314"/>
      <c r="C124" s="314"/>
      <c r="D124" s="323" t="s">
        <v>658</v>
      </c>
      <c r="E124" s="412" t="s">
        <v>659</v>
      </c>
      <c r="F124" s="338">
        <f t="shared" si="69"/>
        <v>7.174603175</v>
      </c>
      <c r="G124" s="338" t="s">
        <v>483</v>
      </c>
      <c r="H124" s="338">
        <f t="shared" si="70"/>
        <v>0.7353968254</v>
      </c>
      <c r="I124" s="338">
        <v>7.91</v>
      </c>
      <c r="J124" s="356">
        <f t="shared" si="71"/>
        <v>9.6502</v>
      </c>
      <c r="K124" s="341">
        <f t="shared" si="17"/>
        <v>10.04444444</v>
      </c>
      <c r="L124" s="342">
        <f t="shared" si="18"/>
        <v>12.25422222</v>
      </c>
      <c r="M124" s="314"/>
      <c r="N124" s="314"/>
      <c r="O124" s="314"/>
      <c r="P124" s="314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  <c r="AN124" s="321"/>
    </row>
    <row r="125" ht="15.75" customHeight="1">
      <c r="A125" s="162" t="s">
        <v>282</v>
      </c>
      <c r="B125" s="314"/>
      <c r="C125" s="314"/>
      <c r="D125" s="323" t="s">
        <v>660</v>
      </c>
      <c r="E125" s="448" t="s">
        <v>661</v>
      </c>
      <c r="F125" s="403">
        <f t="shared" si="69"/>
        <v>54.65759637</v>
      </c>
      <c r="G125" s="323" t="s">
        <v>483</v>
      </c>
      <c r="H125" s="403">
        <f t="shared" si="70"/>
        <v>5.602403628</v>
      </c>
      <c r="I125" s="323">
        <v>60.26</v>
      </c>
      <c r="J125" s="361">
        <f t="shared" si="71"/>
        <v>73.5172</v>
      </c>
      <c r="K125" s="341">
        <f t="shared" si="17"/>
        <v>76.52063492</v>
      </c>
      <c r="L125" s="342">
        <f t="shared" si="18"/>
        <v>93.3551746</v>
      </c>
      <c r="M125" s="314"/>
      <c r="N125" s="314"/>
      <c r="O125" s="314"/>
      <c r="P125" s="314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  <c r="AN125" s="321"/>
    </row>
    <row r="126" ht="15.75" customHeight="1">
      <c r="A126" s="162" t="s">
        <v>282</v>
      </c>
      <c r="B126" s="314"/>
      <c r="C126" s="314"/>
      <c r="D126" s="323" t="s">
        <v>662</v>
      </c>
      <c r="E126" s="448" t="s">
        <v>663</v>
      </c>
      <c r="F126" s="403">
        <f t="shared" si="69"/>
        <v>36.39002268</v>
      </c>
      <c r="G126" s="323" t="s">
        <v>483</v>
      </c>
      <c r="H126" s="403">
        <f t="shared" si="70"/>
        <v>3.729977324</v>
      </c>
      <c r="I126" s="323">
        <v>40.12</v>
      </c>
      <c r="J126" s="361">
        <f t="shared" si="71"/>
        <v>48.9464</v>
      </c>
      <c r="K126" s="341">
        <f t="shared" si="17"/>
        <v>50.94603175</v>
      </c>
      <c r="L126" s="342">
        <f t="shared" si="18"/>
        <v>62.15415873</v>
      </c>
      <c r="M126" s="314"/>
      <c r="N126" s="314"/>
      <c r="O126" s="314"/>
      <c r="P126" s="314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  <c r="AN126" s="321"/>
    </row>
    <row r="127" ht="15.75" customHeight="1">
      <c r="A127" s="162" t="s">
        <v>282</v>
      </c>
      <c r="B127" s="314"/>
      <c r="C127" s="314"/>
      <c r="D127" s="323" t="s">
        <v>664</v>
      </c>
      <c r="E127" s="448" t="s">
        <v>665</v>
      </c>
      <c r="F127" s="403">
        <f t="shared" si="69"/>
        <v>25.98639456</v>
      </c>
      <c r="G127" s="323" t="s">
        <v>483</v>
      </c>
      <c r="H127" s="403">
        <f t="shared" si="70"/>
        <v>2.663605442</v>
      </c>
      <c r="I127" s="323">
        <v>28.65</v>
      </c>
      <c r="J127" s="361">
        <f t="shared" si="71"/>
        <v>34.953</v>
      </c>
      <c r="K127" s="341">
        <f t="shared" si="17"/>
        <v>36.38095238</v>
      </c>
      <c r="L127" s="342">
        <f t="shared" si="18"/>
        <v>44.3847619</v>
      </c>
      <c r="M127" s="314"/>
      <c r="N127" s="314"/>
      <c r="O127" s="314"/>
      <c r="P127" s="314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  <c r="AN127" s="321"/>
    </row>
    <row r="128" ht="15.75" customHeight="1">
      <c r="A128" s="162" t="s">
        <v>282</v>
      </c>
      <c r="B128" s="314"/>
      <c r="C128" s="314"/>
      <c r="D128" s="323" t="s">
        <v>666</v>
      </c>
      <c r="E128" s="448" t="s">
        <v>667</v>
      </c>
      <c r="F128" s="403">
        <f t="shared" si="69"/>
        <v>20.12698413</v>
      </c>
      <c r="G128" s="323" t="s">
        <v>483</v>
      </c>
      <c r="H128" s="403">
        <f t="shared" si="70"/>
        <v>2.063015873</v>
      </c>
      <c r="I128" s="323">
        <v>22.19</v>
      </c>
      <c r="J128" s="361">
        <f t="shared" si="71"/>
        <v>27.0718</v>
      </c>
      <c r="K128" s="341">
        <f t="shared" si="17"/>
        <v>28.17777778</v>
      </c>
      <c r="L128" s="342">
        <f t="shared" si="18"/>
        <v>34.37688889</v>
      </c>
      <c r="M128" s="314"/>
      <c r="N128" s="314"/>
      <c r="O128" s="314"/>
      <c r="P128" s="314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  <c r="AN128" s="321"/>
    </row>
    <row r="129" ht="15.75" customHeight="1">
      <c r="A129" s="162" t="s">
        <v>282</v>
      </c>
      <c r="B129" s="314"/>
      <c r="C129" s="314"/>
      <c r="D129" s="323" t="s">
        <v>668</v>
      </c>
      <c r="E129" s="448" t="s">
        <v>669</v>
      </c>
      <c r="F129" s="403">
        <f t="shared" si="69"/>
        <v>39.76417234</v>
      </c>
      <c r="G129" s="323" t="s">
        <v>483</v>
      </c>
      <c r="H129" s="403">
        <f t="shared" si="70"/>
        <v>4.075827664</v>
      </c>
      <c r="I129" s="323">
        <v>43.84</v>
      </c>
      <c r="J129" s="361">
        <f t="shared" si="71"/>
        <v>53.4848</v>
      </c>
      <c r="K129" s="341">
        <f t="shared" si="17"/>
        <v>55.66984127</v>
      </c>
      <c r="L129" s="342">
        <f t="shared" si="18"/>
        <v>67.91720635</v>
      </c>
      <c r="M129" s="314"/>
      <c r="N129" s="314"/>
      <c r="O129" s="314"/>
      <c r="P129" s="314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  <c r="AN129" s="321"/>
    </row>
    <row r="130" ht="15.75" customHeight="1">
      <c r="A130" s="162" t="s">
        <v>282</v>
      </c>
      <c r="B130" s="314"/>
      <c r="C130" s="314"/>
      <c r="D130" s="323" t="s">
        <v>670</v>
      </c>
      <c r="E130" s="448" t="s">
        <v>671</v>
      </c>
      <c r="F130" s="403">
        <f t="shared" si="69"/>
        <v>41.2154195</v>
      </c>
      <c r="G130" s="323" t="s">
        <v>483</v>
      </c>
      <c r="H130" s="403">
        <f t="shared" si="70"/>
        <v>4.224580499</v>
      </c>
      <c r="I130" s="323">
        <v>45.44</v>
      </c>
      <c r="J130" s="361">
        <f t="shared" si="71"/>
        <v>55.4368</v>
      </c>
      <c r="K130" s="341">
        <f t="shared" si="17"/>
        <v>57.7015873</v>
      </c>
      <c r="L130" s="342">
        <f t="shared" si="18"/>
        <v>70.39593651</v>
      </c>
      <c r="M130" s="314"/>
      <c r="N130" s="314"/>
      <c r="O130" s="314"/>
      <c r="P130" s="314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  <c r="AN130" s="321"/>
    </row>
    <row r="131" ht="15.75" customHeight="1">
      <c r="A131" s="162" t="s">
        <v>282</v>
      </c>
      <c r="B131" s="314"/>
      <c r="C131" s="314"/>
      <c r="D131" s="323" t="s">
        <v>672</v>
      </c>
      <c r="E131" s="448" t="s">
        <v>673</v>
      </c>
      <c r="F131" s="403">
        <f t="shared" si="69"/>
        <v>0.2721088435</v>
      </c>
      <c r="G131" s="323" t="s">
        <v>483</v>
      </c>
      <c r="H131" s="403">
        <f t="shared" si="70"/>
        <v>0.02789115646</v>
      </c>
      <c r="I131" s="323">
        <v>0.3</v>
      </c>
      <c r="J131" s="361">
        <f t="shared" si="71"/>
        <v>0.366</v>
      </c>
      <c r="K131" s="341">
        <f t="shared" si="17"/>
        <v>0.380952381</v>
      </c>
      <c r="L131" s="342">
        <f t="shared" si="18"/>
        <v>0.4647619048</v>
      </c>
      <c r="M131" s="314"/>
      <c r="N131" s="314"/>
      <c r="O131" s="314"/>
      <c r="P131" s="314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  <c r="AN131" s="321"/>
    </row>
    <row r="132" ht="15.75" customHeight="1">
      <c r="A132" s="162" t="s">
        <v>282</v>
      </c>
      <c r="B132" s="314"/>
      <c r="C132" s="314"/>
      <c r="D132" s="323" t="s">
        <v>674</v>
      </c>
      <c r="E132" s="448" t="s">
        <v>675</v>
      </c>
      <c r="F132" s="403">
        <f t="shared" si="69"/>
        <v>0.3628117914</v>
      </c>
      <c r="G132" s="323" t="s">
        <v>483</v>
      </c>
      <c r="H132" s="403">
        <f t="shared" si="70"/>
        <v>0.03718820862</v>
      </c>
      <c r="I132" s="323">
        <v>0.4</v>
      </c>
      <c r="J132" s="361">
        <f t="shared" si="71"/>
        <v>0.488</v>
      </c>
      <c r="K132" s="341">
        <f t="shared" si="17"/>
        <v>0.5079365079</v>
      </c>
      <c r="L132" s="342">
        <f t="shared" si="18"/>
        <v>0.6196825397</v>
      </c>
      <c r="M132" s="314"/>
      <c r="N132" s="314"/>
      <c r="O132" s="314"/>
      <c r="P132" s="314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  <c r="AN132" s="321"/>
    </row>
    <row r="133" ht="15.75" customHeight="1">
      <c r="A133" s="162" t="s">
        <v>282</v>
      </c>
      <c r="B133" s="314"/>
      <c r="C133" s="314"/>
      <c r="D133" s="323" t="s">
        <v>676</v>
      </c>
      <c r="E133" s="448" t="s">
        <v>677</v>
      </c>
      <c r="F133" s="403">
        <f t="shared" si="69"/>
        <v>0.4263038549</v>
      </c>
      <c r="G133" s="323" t="s">
        <v>483</v>
      </c>
      <c r="H133" s="403">
        <f t="shared" si="70"/>
        <v>0.04369614512</v>
      </c>
      <c r="I133" s="323">
        <v>0.47</v>
      </c>
      <c r="J133" s="361">
        <f t="shared" si="71"/>
        <v>0.5734</v>
      </c>
      <c r="K133" s="341">
        <f t="shared" si="17"/>
        <v>0.5968253968</v>
      </c>
      <c r="L133" s="342">
        <f t="shared" si="18"/>
        <v>0.7281269841</v>
      </c>
      <c r="M133" s="314"/>
      <c r="N133" s="314"/>
      <c r="O133" s="314"/>
      <c r="P133" s="314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  <c r="AN133" s="321"/>
    </row>
    <row r="134" ht="15.75" customHeight="1">
      <c r="A134" s="314"/>
      <c r="B134" s="314"/>
      <c r="C134" s="314"/>
      <c r="D134" s="323"/>
      <c r="E134" s="459" t="s">
        <v>678</v>
      </c>
      <c r="F134" s="338"/>
      <c r="G134" s="338"/>
      <c r="H134" s="338"/>
      <c r="I134" s="338"/>
      <c r="J134" s="454"/>
      <c r="K134" s="341">
        <f t="shared" si="17"/>
        <v>0</v>
      </c>
      <c r="L134" s="342">
        <f t="shared" si="18"/>
        <v>0</v>
      </c>
      <c r="M134" s="314"/>
      <c r="N134" s="314"/>
      <c r="O134" s="314"/>
      <c r="P134" s="314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  <c r="AN134" s="321"/>
    </row>
    <row r="135" ht="15.75" customHeight="1">
      <c r="A135" s="162" t="s">
        <v>282</v>
      </c>
      <c r="B135" s="314"/>
      <c r="C135" s="314"/>
      <c r="D135" s="323" t="s">
        <v>679</v>
      </c>
      <c r="E135" s="401" t="s">
        <v>680</v>
      </c>
      <c r="F135" s="349">
        <f>I135/1.05/1.05</f>
        <v>0</v>
      </c>
      <c r="G135" s="349" t="s">
        <v>483</v>
      </c>
      <c r="H135" s="349">
        <f>I135-F135</f>
        <v>0</v>
      </c>
      <c r="I135" s="349">
        <v>0.0</v>
      </c>
      <c r="J135" s="372">
        <f>I135*1.22</f>
        <v>0</v>
      </c>
      <c r="K135" s="341">
        <f t="shared" si="17"/>
        <v>0</v>
      </c>
      <c r="L135" s="342">
        <f t="shared" si="18"/>
        <v>0</v>
      </c>
      <c r="M135" s="314"/>
      <c r="N135" s="314"/>
      <c r="O135" s="314"/>
      <c r="P135" s="314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  <c r="AN135" s="321"/>
    </row>
    <row r="136" ht="15.75" customHeight="1">
      <c r="A136" s="314"/>
      <c r="B136" s="314"/>
      <c r="C136" s="314"/>
      <c r="D136" s="323"/>
      <c r="E136" s="460" t="s">
        <v>681</v>
      </c>
      <c r="F136" s="338"/>
      <c r="G136" s="444"/>
      <c r="H136" s="338"/>
      <c r="I136" s="338"/>
      <c r="J136" s="461"/>
      <c r="K136" s="341">
        <f t="shared" si="17"/>
        <v>0</v>
      </c>
      <c r="L136" s="342">
        <f t="shared" si="18"/>
        <v>0</v>
      </c>
      <c r="M136" s="314"/>
      <c r="N136" s="314"/>
      <c r="O136" s="314"/>
      <c r="P136" s="314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  <c r="AN136" s="321"/>
    </row>
    <row r="137" ht="15.75" customHeight="1">
      <c r="A137" s="162" t="s">
        <v>282</v>
      </c>
      <c r="B137" s="314"/>
      <c r="C137" s="314"/>
      <c r="D137" s="323" t="s">
        <v>682</v>
      </c>
      <c r="E137" s="448" t="s">
        <v>683</v>
      </c>
      <c r="F137" s="403">
        <f t="shared" ref="F137:F141" si="72">I137/1.05/1.05</f>
        <v>18.82993197</v>
      </c>
      <c r="G137" s="323" t="s">
        <v>483</v>
      </c>
      <c r="H137" s="403">
        <f t="shared" ref="H137:H141" si="73">I137-F137</f>
        <v>1.930068027</v>
      </c>
      <c r="I137" s="403">
        <v>20.76</v>
      </c>
      <c r="J137" s="361">
        <f t="shared" ref="J137:J141" si="74">I137*1.22</f>
        <v>25.3272</v>
      </c>
      <c r="K137" s="341">
        <f t="shared" si="17"/>
        <v>26.36190476</v>
      </c>
      <c r="L137" s="342">
        <f t="shared" si="18"/>
        <v>32.16152381</v>
      </c>
      <c r="M137" s="314"/>
      <c r="N137" s="314"/>
      <c r="O137" s="314"/>
      <c r="P137" s="314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  <c r="AN137" s="321"/>
    </row>
    <row r="138" ht="27.0" customHeight="1">
      <c r="A138" s="162" t="s">
        <v>282</v>
      </c>
      <c r="B138" s="314"/>
      <c r="C138" s="314"/>
      <c r="D138" s="323" t="s">
        <v>684</v>
      </c>
      <c r="E138" s="448" t="s">
        <v>685</v>
      </c>
      <c r="F138" s="403">
        <f t="shared" si="72"/>
        <v>24.04535147</v>
      </c>
      <c r="G138" s="323" t="s">
        <v>483</v>
      </c>
      <c r="H138" s="403">
        <f t="shared" si="73"/>
        <v>2.464648526</v>
      </c>
      <c r="I138" s="403">
        <v>26.51</v>
      </c>
      <c r="J138" s="361">
        <f t="shared" si="74"/>
        <v>32.3422</v>
      </c>
      <c r="K138" s="341">
        <f t="shared" si="17"/>
        <v>33.66349206</v>
      </c>
      <c r="L138" s="342">
        <f t="shared" si="18"/>
        <v>41.06946032</v>
      </c>
      <c r="M138" s="314"/>
      <c r="N138" s="314"/>
      <c r="O138" s="314"/>
      <c r="P138" s="314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  <c r="AN138" s="321"/>
    </row>
    <row r="139" ht="15.75" customHeight="1">
      <c r="A139" s="162" t="s">
        <v>282</v>
      </c>
      <c r="B139" s="314"/>
      <c r="C139" s="314"/>
      <c r="D139" s="323" t="s">
        <v>686</v>
      </c>
      <c r="E139" s="448" t="s">
        <v>687</v>
      </c>
      <c r="F139" s="403">
        <f t="shared" si="72"/>
        <v>14.34920635</v>
      </c>
      <c r="G139" s="323" t="s">
        <v>483</v>
      </c>
      <c r="H139" s="403">
        <f t="shared" si="73"/>
        <v>1.470793651</v>
      </c>
      <c r="I139" s="403">
        <v>15.82</v>
      </c>
      <c r="J139" s="361">
        <f t="shared" si="74"/>
        <v>19.3004</v>
      </c>
      <c r="K139" s="341">
        <f t="shared" si="17"/>
        <v>20.08888889</v>
      </c>
      <c r="L139" s="342">
        <f t="shared" si="18"/>
        <v>24.50844444</v>
      </c>
      <c r="M139" s="314"/>
      <c r="N139" s="314"/>
      <c r="O139" s="314"/>
      <c r="P139" s="314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  <c r="AN139" s="321"/>
    </row>
    <row r="140" ht="15.75" customHeight="1">
      <c r="A140" s="162" t="s">
        <v>282</v>
      </c>
      <c r="B140" s="314"/>
      <c r="C140" s="314"/>
      <c r="D140" s="323" t="s">
        <v>688</v>
      </c>
      <c r="E140" s="448" t="s">
        <v>689</v>
      </c>
      <c r="F140" s="403">
        <f t="shared" si="72"/>
        <v>18.6031746</v>
      </c>
      <c r="G140" s="323" t="s">
        <v>483</v>
      </c>
      <c r="H140" s="403">
        <f t="shared" si="73"/>
        <v>1.906825397</v>
      </c>
      <c r="I140" s="403">
        <v>20.51</v>
      </c>
      <c r="J140" s="361">
        <f t="shared" si="74"/>
        <v>25.0222</v>
      </c>
      <c r="K140" s="341">
        <f t="shared" si="17"/>
        <v>26.04444444</v>
      </c>
      <c r="L140" s="342">
        <f t="shared" si="18"/>
        <v>31.77422222</v>
      </c>
      <c r="M140" s="314"/>
      <c r="N140" s="314"/>
      <c r="O140" s="314"/>
      <c r="P140" s="314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  <c r="AN140" s="321"/>
    </row>
    <row r="141" ht="15.75" customHeight="1">
      <c r="A141" s="162" t="s">
        <v>282</v>
      </c>
      <c r="B141" s="314"/>
      <c r="C141" s="314"/>
      <c r="D141" s="323" t="s">
        <v>690</v>
      </c>
      <c r="E141" s="401" t="s">
        <v>691</v>
      </c>
      <c r="F141" s="349">
        <f t="shared" si="72"/>
        <v>3.201814059</v>
      </c>
      <c r="G141" s="349" t="s">
        <v>483</v>
      </c>
      <c r="H141" s="349">
        <f t="shared" si="73"/>
        <v>0.328185941</v>
      </c>
      <c r="I141" s="349">
        <v>3.53</v>
      </c>
      <c r="J141" s="372">
        <f t="shared" si="74"/>
        <v>4.3066</v>
      </c>
      <c r="K141" s="341">
        <f t="shared" si="17"/>
        <v>4.482539683</v>
      </c>
      <c r="L141" s="342">
        <f t="shared" si="18"/>
        <v>5.468698413</v>
      </c>
      <c r="M141" s="314"/>
      <c r="N141" s="314"/>
      <c r="O141" s="314"/>
      <c r="P141" s="314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  <c r="AN141" s="321"/>
    </row>
    <row r="142" ht="15.75" customHeight="1">
      <c r="A142" s="162" t="s">
        <v>282</v>
      </c>
      <c r="B142" s="314"/>
      <c r="C142" s="314"/>
      <c r="D142" s="323"/>
      <c r="E142" s="463" t="s">
        <v>692</v>
      </c>
      <c r="F142" s="178"/>
      <c r="G142" s="178"/>
      <c r="H142" s="178"/>
      <c r="I142" s="178"/>
      <c r="J142" s="179"/>
      <c r="K142" s="341">
        <f t="shared" si="17"/>
        <v>0</v>
      </c>
      <c r="L142" s="342">
        <f t="shared" si="18"/>
        <v>0</v>
      </c>
      <c r="M142" s="314"/>
      <c r="N142" s="314"/>
      <c r="O142" s="314"/>
      <c r="P142" s="314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  <c r="AN142" s="321"/>
    </row>
    <row r="143" ht="15.75" customHeight="1">
      <c r="A143" s="314"/>
      <c r="B143" s="314"/>
      <c r="C143" s="314"/>
      <c r="D143" s="327"/>
      <c r="E143" s="314"/>
      <c r="F143" s="314"/>
      <c r="G143" s="314"/>
      <c r="H143" s="314"/>
      <c r="I143" s="314"/>
      <c r="J143" s="314"/>
      <c r="K143" s="341">
        <f t="shared" si="17"/>
        <v>0</v>
      </c>
      <c r="L143" s="342">
        <f t="shared" si="18"/>
        <v>0</v>
      </c>
      <c r="M143" s="314"/>
      <c r="N143" s="314"/>
      <c r="O143" s="314"/>
      <c r="P143" s="314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  <c r="AN143" s="321"/>
    </row>
    <row r="144" ht="15.75" customHeight="1">
      <c r="A144" s="314"/>
      <c r="B144" s="314"/>
      <c r="C144" s="314"/>
      <c r="D144" s="327"/>
      <c r="E144" s="314"/>
      <c r="F144" s="314"/>
      <c r="G144" s="314"/>
      <c r="H144" s="314"/>
      <c r="I144" s="314"/>
      <c r="J144" s="314"/>
      <c r="K144" s="341">
        <f t="shared" si="17"/>
        <v>0</v>
      </c>
      <c r="L144" s="342">
        <f t="shared" si="18"/>
        <v>0</v>
      </c>
      <c r="M144" s="314"/>
      <c r="N144" s="314"/>
      <c r="O144" s="314"/>
      <c r="P144" s="314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  <c r="AN144" s="321"/>
    </row>
    <row r="145" ht="34.5" customHeight="1">
      <c r="A145" s="314"/>
      <c r="B145" s="314"/>
      <c r="C145" s="314"/>
      <c r="D145" s="445"/>
      <c r="E145" s="464" t="s">
        <v>693</v>
      </c>
      <c r="F145" s="465"/>
      <c r="G145" s="465"/>
      <c r="H145" s="465"/>
      <c r="I145" s="465"/>
      <c r="J145" s="466"/>
      <c r="K145" s="341">
        <f t="shared" si="17"/>
        <v>0</v>
      </c>
      <c r="L145" s="342">
        <f t="shared" si="18"/>
        <v>0</v>
      </c>
      <c r="M145" s="314"/>
      <c r="N145" s="314"/>
      <c r="O145" s="314"/>
      <c r="P145" s="314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  <c r="AN145" s="321"/>
    </row>
    <row r="146" ht="15.75" customHeight="1">
      <c r="A146" s="314"/>
      <c r="B146" s="314"/>
      <c r="C146" s="314"/>
      <c r="D146" s="323"/>
      <c r="E146" s="437" t="s">
        <v>283</v>
      </c>
      <c r="F146" s="438" t="s">
        <v>476</v>
      </c>
      <c r="G146" s="439" t="s">
        <v>285</v>
      </c>
      <c r="H146" s="438" t="s">
        <v>286</v>
      </c>
      <c r="I146" s="440" t="s">
        <v>287</v>
      </c>
      <c r="J146" s="441" t="s">
        <v>288</v>
      </c>
      <c r="K146" s="341" t="str">
        <f t="shared" si="17"/>
        <v>#VALUE!</v>
      </c>
      <c r="L146" s="342" t="str">
        <f t="shared" si="18"/>
        <v>#VALUE!</v>
      </c>
      <c r="M146" s="314"/>
      <c r="N146" s="314"/>
      <c r="O146" s="314"/>
      <c r="P146" s="314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  <c r="AN146" s="321"/>
    </row>
    <row r="147" ht="15.75" customHeight="1">
      <c r="A147" s="314"/>
      <c r="B147" s="314"/>
      <c r="C147" s="314"/>
      <c r="D147" s="467"/>
      <c r="E147" s="335" t="s">
        <v>694</v>
      </c>
      <c r="F147" s="338"/>
      <c r="G147" s="338"/>
      <c r="H147" s="338"/>
      <c r="I147" s="338"/>
      <c r="J147" s="454"/>
      <c r="K147" s="341">
        <f t="shared" si="17"/>
        <v>0</v>
      </c>
      <c r="L147" s="342">
        <f t="shared" si="18"/>
        <v>0</v>
      </c>
      <c r="M147" s="314"/>
      <c r="N147" s="314"/>
      <c r="O147" s="314"/>
      <c r="P147" s="314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  <c r="AN147" s="321"/>
    </row>
    <row r="148" ht="15.75" customHeight="1">
      <c r="A148" s="162" t="s">
        <v>282</v>
      </c>
      <c r="B148" s="314"/>
      <c r="C148" s="314"/>
      <c r="D148" s="467" t="s">
        <v>695</v>
      </c>
      <c r="E148" s="448" t="s">
        <v>696</v>
      </c>
      <c r="F148" s="403">
        <f t="shared" ref="F148:F153" si="75">I148/1.05/1.05</f>
        <v>16.19047619</v>
      </c>
      <c r="G148" s="323" t="s">
        <v>483</v>
      </c>
      <c r="H148" s="403">
        <f t="shared" ref="H148:H153" si="76">I148-F148</f>
        <v>1.65952381</v>
      </c>
      <c r="I148" s="323">
        <v>17.85</v>
      </c>
      <c r="J148" s="361">
        <f t="shared" ref="J148:J153" si="77">I148*1.22</f>
        <v>21.777</v>
      </c>
      <c r="K148" s="341">
        <f t="shared" si="17"/>
        <v>22.66666667</v>
      </c>
      <c r="L148" s="342">
        <f t="shared" si="18"/>
        <v>27.65333333</v>
      </c>
      <c r="M148" s="314"/>
      <c r="N148" s="314"/>
      <c r="O148" s="314"/>
      <c r="P148" s="314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  <c r="AN148" s="321"/>
    </row>
    <row r="149" ht="15.75" customHeight="1">
      <c r="A149" s="162" t="s">
        <v>282</v>
      </c>
      <c r="B149" s="314"/>
      <c r="C149" s="314"/>
      <c r="D149" s="467" t="s">
        <v>697</v>
      </c>
      <c r="E149" s="448" t="s">
        <v>698</v>
      </c>
      <c r="F149" s="403">
        <f t="shared" si="75"/>
        <v>34.48526077</v>
      </c>
      <c r="G149" s="323" t="s">
        <v>483</v>
      </c>
      <c r="H149" s="403">
        <f t="shared" si="76"/>
        <v>3.534739229</v>
      </c>
      <c r="I149" s="323">
        <v>38.02</v>
      </c>
      <c r="J149" s="361">
        <f t="shared" si="77"/>
        <v>46.3844</v>
      </c>
      <c r="K149" s="341">
        <f t="shared" si="17"/>
        <v>48.27936508</v>
      </c>
      <c r="L149" s="342">
        <f t="shared" si="18"/>
        <v>58.9008254</v>
      </c>
      <c r="M149" s="314"/>
      <c r="N149" s="314"/>
      <c r="O149" s="314"/>
      <c r="P149" s="314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  <c r="AN149" s="321"/>
    </row>
    <row r="150" ht="15.75" customHeight="1">
      <c r="A150" s="162" t="s">
        <v>282</v>
      </c>
      <c r="B150" s="314"/>
      <c r="C150" s="314"/>
      <c r="D150" s="467" t="s">
        <v>699</v>
      </c>
      <c r="E150" s="448" t="s">
        <v>700</v>
      </c>
      <c r="F150" s="403">
        <f t="shared" si="75"/>
        <v>19.138322</v>
      </c>
      <c r="G150" s="323" t="s">
        <v>483</v>
      </c>
      <c r="H150" s="403">
        <f t="shared" si="76"/>
        <v>1.961678005</v>
      </c>
      <c r="I150" s="323">
        <v>21.1</v>
      </c>
      <c r="J150" s="361">
        <f t="shared" si="77"/>
        <v>25.742</v>
      </c>
      <c r="K150" s="341">
        <f t="shared" si="17"/>
        <v>26.79365079</v>
      </c>
      <c r="L150" s="342">
        <f t="shared" si="18"/>
        <v>32.68825397</v>
      </c>
      <c r="M150" s="314"/>
      <c r="N150" s="314"/>
      <c r="O150" s="314"/>
      <c r="P150" s="314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  <c r="AN150" s="321"/>
    </row>
    <row r="151" ht="15.75" customHeight="1">
      <c r="A151" s="162" t="s">
        <v>282</v>
      </c>
      <c r="B151" s="314"/>
      <c r="C151" s="314"/>
      <c r="D151" s="467" t="s">
        <v>701</v>
      </c>
      <c r="E151" s="448" t="s">
        <v>702</v>
      </c>
      <c r="F151" s="403">
        <f t="shared" si="75"/>
        <v>30.30385488</v>
      </c>
      <c r="G151" s="323" t="s">
        <v>483</v>
      </c>
      <c r="H151" s="403">
        <f t="shared" si="76"/>
        <v>3.106145125</v>
      </c>
      <c r="I151" s="323">
        <v>33.41</v>
      </c>
      <c r="J151" s="361">
        <f t="shared" si="77"/>
        <v>40.7602</v>
      </c>
      <c r="K151" s="341">
        <f t="shared" si="17"/>
        <v>42.42539683</v>
      </c>
      <c r="L151" s="342">
        <f t="shared" si="18"/>
        <v>51.75898413</v>
      </c>
      <c r="M151" s="314"/>
      <c r="N151" s="314"/>
      <c r="O151" s="314"/>
      <c r="P151" s="314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  <c r="AN151" s="321"/>
    </row>
    <row r="152" ht="15.75" customHeight="1">
      <c r="A152" s="162" t="s">
        <v>282</v>
      </c>
      <c r="B152" s="314"/>
      <c r="C152" s="314"/>
      <c r="D152" s="467" t="s">
        <v>703</v>
      </c>
      <c r="E152" s="448" t="s">
        <v>704</v>
      </c>
      <c r="F152" s="403">
        <f t="shared" si="75"/>
        <v>89.97732426</v>
      </c>
      <c r="G152" s="323" t="s">
        <v>483</v>
      </c>
      <c r="H152" s="403">
        <f t="shared" si="76"/>
        <v>9.222675737</v>
      </c>
      <c r="I152" s="323">
        <v>99.2</v>
      </c>
      <c r="J152" s="361">
        <f t="shared" si="77"/>
        <v>121.024</v>
      </c>
      <c r="K152" s="341">
        <f t="shared" si="17"/>
        <v>125.968254</v>
      </c>
      <c r="L152" s="342">
        <f t="shared" si="18"/>
        <v>153.6812698</v>
      </c>
      <c r="M152" s="314"/>
      <c r="N152" s="314"/>
      <c r="O152" s="314"/>
      <c r="P152" s="314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  <c r="AN152" s="321"/>
    </row>
    <row r="153" ht="15.75" customHeight="1">
      <c r="A153" s="162" t="s">
        <v>282</v>
      </c>
      <c r="B153" s="314"/>
      <c r="C153" s="314"/>
      <c r="D153" s="467" t="s">
        <v>705</v>
      </c>
      <c r="E153" s="448" t="s">
        <v>706</v>
      </c>
      <c r="F153" s="403">
        <f t="shared" si="75"/>
        <v>89.97732426</v>
      </c>
      <c r="G153" s="323" t="s">
        <v>483</v>
      </c>
      <c r="H153" s="403">
        <f t="shared" si="76"/>
        <v>9.222675737</v>
      </c>
      <c r="I153" s="323">
        <v>99.2</v>
      </c>
      <c r="J153" s="361">
        <f t="shared" si="77"/>
        <v>121.024</v>
      </c>
      <c r="K153" s="341">
        <f t="shared" si="17"/>
        <v>125.968254</v>
      </c>
      <c r="L153" s="342">
        <f t="shared" si="18"/>
        <v>153.6812698</v>
      </c>
      <c r="M153" s="314"/>
      <c r="N153" s="314"/>
      <c r="O153" s="314"/>
      <c r="P153" s="314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  <c r="AN153" s="321"/>
    </row>
    <row r="154" ht="15.75" customHeight="1">
      <c r="A154" s="314"/>
      <c r="B154" s="314"/>
      <c r="C154" s="314"/>
      <c r="D154" s="467"/>
      <c r="E154" s="468" t="s">
        <v>707</v>
      </c>
      <c r="F154" s="403"/>
      <c r="G154" s="323"/>
      <c r="H154" s="403"/>
      <c r="I154" s="323"/>
      <c r="J154" s="453"/>
      <c r="K154" s="341">
        <f t="shared" si="17"/>
        <v>0</v>
      </c>
      <c r="L154" s="342">
        <f t="shared" si="18"/>
        <v>0</v>
      </c>
      <c r="M154" s="314"/>
      <c r="N154" s="314"/>
      <c r="O154" s="314"/>
      <c r="P154" s="314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  <c r="AN154" s="321"/>
    </row>
    <row r="155" ht="15.75" customHeight="1">
      <c r="A155" s="162" t="s">
        <v>282</v>
      </c>
      <c r="B155" s="314"/>
      <c r="C155" s="314"/>
      <c r="D155" s="467" t="s">
        <v>708</v>
      </c>
      <c r="E155" s="448" t="s">
        <v>709</v>
      </c>
      <c r="F155" s="403">
        <f t="shared" ref="F155:F161" si="78">I155/1.05/1.05</f>
        <v>49.32426304</v>
      </c>
      <c r="G155" s="323" t="s">
        <v>483</v>
      </c>
      <c r="H155" s="403">
        <f t="shared" ref="H155:H161" si="79">I155-F155</f>
        <v>5.055736961</v>
      </c>
      <c r="I155" s="323">
        <v>54.38</v>
      </c>
      <c r="J155" s="361">
        <f t="shared" ref="J155:J161" si="80">I155*1.22</f>
        <v>66.3436</v>
      </c>
      <c r="K155" s="341">
        <f t="shared" si="17"/>
        <v>69.05396825</v>
      </c>
      <c r="L155" s="342">
        <f t="shared" si="18"/>
        <v>84.24584127</v>
      </c>
      <c r="M155" s="314"/>
      <c r="N155" s="314"/>
      <c r="O155" s="314"/>
      <c r="P155" s="314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  <c r="AN155" s="321"/>
    </row>
    <row r="156" ht="15.75" customHeight="1">
      <c r="A156" s="162" t="s">
        <v>282</v>
      </c>
      <c r="B156" s="314"/>
      <c r="C156" s="314"/>
      <c r="D156" s="467" t="s">
        <v>710</v>
      </c>
      <c r="E156" s="448" t="s">
        <v>711</v>
      </c>
      <c r="F156" s="403">
        <f t="shared" si="78"/>
        <v>72.54421769</v>
      </c>
      <c r="G156" s="323" t="s">
        <v>483</v>
      </c>
      <c r="H156" s="403">
        <f t="shared" si="79"/>
        <v>7.435782313</v>
      </c>
      <c r="I156" s="323">
        <v>79.98</v>
      </c>
      <c r="J156" s="361">
        <f t="shared" si="80"/>
        <v>97.5756</v>
      </c>
      <c r="K156" s="341">
        <f t="shared" si="17"/>
        <v>101.5619048</v>
      </c>
      <c r="L156" s="342">
        <f t="shared" si="18"/>
        <v>123.9055238</v>
      </c>
      <c r="M156" s="314"/>
      <c r="N156" s="314"/>
      <c r="O156" s="314"/>
      <c r="P156" s="314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  <c r="AN156" s="321"/>
    </row>
    <row r="157" ht="15.75" customHeight="1">
      <c r="A157" s="162" t="s">
        <v>282</v>
      </c>
      <c r="B157" s="314"/>
      <c r="C157" s="314"/>
      <c r="D157" s="467" t="s">
        <v>712</v>
      </c>
      <c r="E157" s="448" t="s">
        <v>713</v>
      </c>
      <c r="F157" s="403">
        <f t="shared" si="78"/>
        <v>90.2675737</v>
      </c>
      <c r="G157" s="323" t="s">
        <v>483</v>
      </c>
      <c r="H157" s="403">
        <f t="shared" si="79"/>
        <v>9.252426304</v>
      </c>
      <c r="I157" s="323">
        <v>99.52</v>
      </c>
      <c r="J157" s="361">
        <f t="shared" si="80"/>
        <v>121.4144</v>
      </c>
      <c r="K157" s="341">
        <f t="shared" si="17"/>
        <v>126.3746032</v>
      </c>
      <c r="L157" s="342">
        <f t="shared" si="18"/>
        <v>154.1770159</v>
      </c>
      <c r="M157" s="314"/>
      <c r="N157" s="314"/>
      <c r="O157" s="314"/>
      <c r="P157" s="314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  <c r="AN157" s="321"/>
    </row>
    <row r="158" ht="15.75" customHeight="1">
      <c r="A158" s="162" t="s">
        <v>282</v>
      </c>
      <c r="B158" s="314"/>
      <c r="C158" s="314"/>
      <c r="D158" s="467" t="s">
        <v>714</v>
      </c>
      <c r="E158" s="448" t="s">
        <v>715</v>
      </c>
      <c r="F158" s="403">
        <f t="shared" si="78"/>
        <v>107.6553288</v>
      </c>
      <c r="G158" s="323" t="s">
        <v>483</v>
      </c>
      <c r="H158" s="403">
        <f t="shared" si="79"/>
        <v>11.0346712</v>
      </c>
      <c r="I158" s="323">
        <v>118.69</v>
      </c>
      <c r="J158" s="361">
        <f t="shared" si="80"/>
        <v>144.8018</v>
      </c>
      <c r="K158" s="341">
        <f t="shared" si="17"/>
        <v>150.7174603</v>
      </c>
      <c r="L158" s="342">
        <f t="shared" si="18"/>
        <v>183.8753016</v>
      </c>
      <c r="M158" s="314"/>
      <c r="N158" s="314"/>
      <c r="O158" s="314"/>
      <c r="P158" s="314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  <c r="AN158" s="321"/>
    </row>
    <row r="159" ht="15.75" customHeight="1">
      <c r="A159" s="162" t="s">
        <v>282</v>
      </c>
      <c r="B159" s="314"/>
      <c r="C159" s="314"/>
      <c r="D159" s="467" t="s">
        <v>716</v>
      </c>
      <c r="E159" s="448" t="s">
        <v>717</v>
      </c>
      <c r="F159" s="403">
        <f t="shared" si="78"/>
        <v>46.57596372</v>
      </c>
      <c r="G159" s="323" t="s">
        <v>483</v>
      </c>
      <c r="H159" s="403">
        <f t="shared" si="79"/>
        <v>4.774036281</v>
      </c>
      <c r="I159" s="323">
        <v>51.35</v>
      </c>
      <c r="J159" s="361">
        <f t="shared" si="80"/>
        <v>62.647</v>
      </c>
      <c r="K159" s="341">
        <f t="shared" si="17"/>
        <v>65.20634921</v>
      </c>
      <c r="L159" s="342">
        <f t="shared" si="18"/>
        <v>79.55174603</v>
      </c>
      <c r="M159" s="314"/>
      <c r="N159" s="314"/>
      <c r="O159" s="314"/>
      <c r="P159" s="314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  <c r="AN159" s="321"/>
    </row>
    <row r="160" ht="15.75" customHeight="1">
      <c r="A160" s="162" t="s">
        <v>282</v>
      </c>
      <c r="B160" s="314"/>
      <c r="C160" s="314"/>
      <c r="D160" s="467" t="s">
        <v>718</v>
      </c>
      <c r="E160" s="448" t="s">
        <v>719</v>
      </c>
      <c r="F160" s="403">
        <f t="shared" si="78"/>
        <v>69.69614512</v>
      </c>
      <c r="G160" s="323" t="s">
        <v>483</v>
      </c>
      <c r="H160" s="403">
        <f t="shared" si="79"/>
        <v>7.143854875</v>
      </c>
      <c r="I160" s="323">
        <v>76.84</v>
      </c>
      <c r="J160" s="361">
        <f t="shared" si="80"/>
        <v>93.7448</v>
      </c>
      <c r="K160" s="341">
        <f t="shared" si="17"/>
        <v>97.57460317</v>
      </c>
      <c r="L160" s="342">
        <f t="shared" si="18"/>
        <v>119.0410159</v>
      </c>
      <c r="M160" s="314"/>
      <c r="N160" s="314"/>
      <c r="O160" s="314"/>
      <c r="P160" s="314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  <c r="AN160" s="321"/>
    </row>
    <row r="161" ht="15.75" customHeight="1">
      <c r="A161" s="162" t="s">
        <v>282</v>
      </c>
      <c r="B161" s="314"/>
      <c r="C161" s="314"/>
      <c r="D161" s="467" t="s">
        <v>720</v>
      </c>
      <c r="E161" s="401" t="s">
        <v>721</v>
      </c>
      <c r="F161" s="426">
        <f t="shared" si="78"/>
        <v>87.02947846</v>
      </c>
      <c r="G161" s="349" t="s">
        <v>483</v>
      </c>
      <c r="H161" s="426">
        <f t="shared" si="79"/>
        <v>8.920521542</v>
      </c>
      <c r="I161" s="349">
        <v>95.95</v>
      </c>
      <c r="J161" s="372">
        <f t="shared" si="80"/>
        <v>117.059</v>
      </c>
      <c r="K161" s="341">
        <f t="shared" si="17"/>
        <v>121.8412698</v>
      </c>
      <c r="L161" s="342">
        <f t="shared" si="18"/>
        <v>148.6463492</v>
      </c>
      <c r="M161" s="314"/>
      <c r="N161" s="314"/>
      <c r="O161" s="314"/>
      <c r="P161" s="314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  <c r="AN161" s="321"/>
    </row>
    <row r="162" ht="15.75" customHeight="1">
      <c r="A162" s="314"/>
      <c r="B162" s="314"/>
      <c r="C162" s="314"/>
      <c r="D162" s="327"/>
      <c r="E162" s="322"/>
      <c r="F162" s="327"/>
      <c r="G162" s="327"/>
      <c r="H162" s="327"/>
      <c r="I162" s="327"/>
      <c r="J162" s="327"/>
      <c r="K162" s="341">
        <f t="shared" si="17"/>
        <v>0</v>
      </c>
      <c r="L162" s="342">
        <f t="shared" si="18"/>
        <v>0</v>
      </c>
      <c r="M162" s="314"/>
      <c r="N162" s="314"/>
      <c r="O162" s="314"/>
      <c r="P162" s="314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  <c r="AN162" s="321"/>
    </row>
    <row r="163" ht="15.75" customHeight="1">
      <c r="A163" s="314"/>
      <c r="B163" s="314"/>
      <c r="C163" s="314"/>
      <c r="D163" s="327"/>
      <c r="E163" s="322"/>
      <c r="F163" s="327"/>
      <c r="G163" s="327"/>
      <c r="H163" s="327"/>
      <c r="I163" s="327"/>
      <c r="J163" s="327"/>
      <c r="K163" s="341">
        <f t="shared" si="17"/>
        <v>0</v>
      </c>
      <c r="L163" s="342">
        <f t="shared" si="18"/>
        <v>0</v>
      </c>
      <c r="M163" s="314"/>
      <c r="N163" s="314"/>
      <c r="O163" s="314"/>
      <c r="P163" s="314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  <c r="AN163" s="321"/>
    </row>
    <row r="164" ht="33.0" customHeight="1">
      <c r="A164" s="314"/>
      <c r="B164" s="314"/>
      <c r="C164" s="314"/>
      <c r="D164" s="445"/>
      <c r="E164" s="324" t="s">
        <v>722</v>
      </c>
      <c r="F164" s="178"/>
      <c r="G164" s="178"/>
      <c r="H164" s="178"/>
      <c r="I164" s="178"/>
      <c r="J164" s="179"/>
      <c r="K164" s="341">
        <f t="shared" si="17"/>
        <v>0</v>
      </c>
      <c r="L164" s="342">
        <f t="shared" si="18"/>
        <v>0</v>
      </c>
      <c r="M164" s="314"/>
      <c r="N164" s="314"/>
      <c r="O164" s="314"/>
      <c r="P164" s="314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  <c r="AN164" s="321"/>
    </row>
    <row r="165" ht="15.75" customHeight="1">
      <c r="A165" s="314"/>
      <c r="B165" s="314"/>
      <c r="C165" s="314"/>
      <c r="D165" s="323"/>
      <c r="E165" s="469" t="s">
        <v>283</v>
      </c>
      <c r="F165" s="317" t="s">
        <v>476</v>
      </c>
      <c r="G165" s="470" t="s">
        <v>285</v>
      </c>
      <c r="H165" s="317" t="s">
        <v>286</v>
      </c>
      <c r="I165" s="471" t="s">
        <v>287</v>
      </c>
      <c r="J165" s="318" t="s">
        <v>288</v>
      </c>
      <c r="K165" s="341" t="str">
        <f t="shared" si="17"/>
        <v>#VALUE!</v>
      </c>
      <c r="L165" s="342" t="str">
        <f t="shared" si="18"/>
        <v>#VALUE!</v>
      </c>
      <c r="M165" s="314"/>
      <c r="N165" s="314"/>
      <c r="O165" s="314"/>
      <c r="P165" s="314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  <c r="AN165" s="321"/>
    </row>
    <row r="166" ht="15.75" customHeight="1">
      <c r="A166" s="314"/>
      <c r="B166" s="314"/>
      <c r="C166" s="314"/>
      <c r="D166" s="323"/>
      <c r="E166" s="472" t="s">
        <v>723</v>
      </c>
      <c r="F166" s="444"/>
      <c r="G166" s="445"/>
      <c r="H166" s="403"/>
      <c r="I166" s="446"/>
      <c r="J166" s="447"/>
      <c r="K166" s="341">
        <f t="shared" si="17"/>
        <v>0</v>
      </c>
      <c r="L166" s="342">
        <f t="shared" si="18"/>
        <v>0</v>
      </c>
      <c r="M166" s="314"/>
      <c r="N166" s="314"/>
      <c r="O166" s="314"/>
      <c r="P166" s="314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  <c r="AN166" s="321"/>
    </row>
    <row r="167" ht="15.75" customHeight="1">
      <c r="A167" s="162" t="s">
        <v>282</v>
      </c>
      <c r="B167" s="314"/>
      <c r="C167" s="314"/>
      <c r="D167" s="323" t="s">
        <v>724</v>
      </c>
      <c r="E167" s="448" t="s">
        <v>725</v>
      </c>
      <c r="F167" s="323">
        <f t="shared" ref="F167:F171" si="81">(I167/1.05)/1.05</f>
        <v>2.575963719</v>
      </c>
      <c r="G167" s="403" t="s">
        <v>483</v>
      </c>
      <c r="H167" s="323">
        <f t="shared" ref="H167:H175" si="82">I167-F167</f>
        <v>0.2640362812</v>
      </c>
      <c r="I167" s="323">
        <v>2.84</v>
      </c>
      <c r="J167" s="361">
        <f t="shared" ref="J167:J175" si="83">I167*1.22</f>
        <v>3.4648</v>
      </c>
      <c r="K167" s="341">
        <f t="shared" si="17"/>
        <v>3.606349206</v>
      </c>
      <c r="L167" s="342">
        <f t="shared" si="18"/>
        <v>4.399746032</v>
      </c>
      <c r="M167" s="314"/>
      <c r="N167" s="314"/>
      <c r="O167" s="314"/>
      <c r="P167" s="314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  <c r="AN167" s="321"/>
    </row>
    <row r="168" ht="15.75" customHeight="1">
      <c r="A168" s="162" t="s">
        <v>282</v>
      </c>
      <c r="B168" s="314"/>
      <c r="C168" s="314"/>
      <c r="D168" s="323" t="s">
        <v>726</v>
      </c>
      <c r="E168" s="448" t="s">
        <v>727</v>
      </c>
      <c r="F168" s="323">
        <f t="shared" si="81"/>
        <v>2.975056689</v>
      </c>
      <c r="G168" s="403" t="s">
        <v>483</v>
      </c>
      <c r="H168" s="323">
        <f t="shared" si="82"/>
        <v>0.3049433107</v>
      </c>
      <c r="I168" s="323">
        <v>3.28</v>
      </c>
      <c r="J168" s="361">
        <f t="shared" si="83"/>
        <v>4.0016</v>
      </c>
      <c r="K168" s="341">
        <f t="shared" si="17"/>
        <v>4.165079365</v>
      </c>
      <c r="L168" s="342">
        <f t="shared" si="18"/>
        <v>5.081396825</v>
      </c>
      <c r="M168" s="314"/>
      <c r="N168" s="314"/>
      <c r="O168" s="314"/>
      <c r="P168" s="314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  <c r="AN168" s="321"/>
    </row>
    <row r="169" ht="15.75" customHeight="1">
      <c r="A169" s="162" t="s">
        <v>282</v>
      </c>
      <c r="B169" s="314"/>
      <c r="C169" s="314"/>
      <c r="D169" s="323" t="s">
        <v>728</v>
      </c>
      <c r="E169" s="448" t="s">
        <v>729</v>
      </c>
      <c r="F169" s="323">
        <f t="shared" si="81"/>
        <v>3.428571429</v>
      </c>
      <c r="G169" s="403" t="s">
        <v>483</v>
      </c>
      <c r="H169" s="323">
        <f t="shared" si="82"/>
        <v>0.3514285714</v>
      </c>
      <c r="I169" s="323">
        <v>3.78</v>
      </c>
      <c r="J169" s="361">
        <f t="shared" si="83"/>
        <v>4.6116</v>
      </c>
      <c r="K169" s="341">
        <f t="shared" si="17"/>
        <v>4.8</v>
      </c>
      <c r="L169" s="342">
        <f t="shared" si="18"/>
        <v>5.856</v>
      </c>
      <c r="M169" s="314"/>
      <c r="N169" s="314"/>
      <c r="O169" s="314"/>
      <c r="P169" s="314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  <c r="AN169" s="321"/>
    </row>
    <row r="170" ht="15.75" customHeight="1">
      <c r="A170" s="162" t="s">
        <v>282</v>
      </c>
      <c r="B170" s="314"/>
      <c r="C170" s="314"/>
      <c r="D170" s="323" t="s">
        <v>730</v>
      </c>
      <c r="E170" s="457" t="s">
        <v>731</v>
      </c>
      <c r="F170" s="323">
        <f t="shared" si="81"/>
        <v>3.963718821</v>
      </c>
      <c r="G170" s="403" t="s">
        <v>483</v>
      </c>
      <c r="H170" s="323">
        <f t="shared" si="82"/>
        <v>0.4062811791</v>
      </c>
      <c r="I170" s="323">
        <v>4.37</v>
      </c>
      <c r="J170" s="361">
        <f t="shared" si="83"/>
        <v>5.3314</v>
      </c>
      <c r="K170" s="341">
        <f t="shared" si="17"/>
        <v>5.549206349</v>
      </c>
      <c r="L170" s="342">
        <f t="shared" si="18"/>
        <v>6.770031746</v>
      </c>
      <c r="M170" s="314"/>
      <c r="N170" s="314"/>
      <c r="O170" s="314"/>
      <c r="P170" s="314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  <c r="AN170" s="321"/>
    </row>
    <row r="171" ht="15.75" customHeight="1">
      <c r="A171" s="162" t="s">
        <v>282</v>
      </c>
      <c r="B171" s="314"/>
      <c r="C171" s="314"/>
      <c r="D171" s="323" t="s">
        <v>732</v>
      </c>
      <c r="E171" s="412" t="s">
        <v>733</v>
      </c>
      <c r="F171" s="323">
        <f t="shared" si="81"/>
        <v>2.857142857</v>
      </c>
      <c r="G171" s="403" t="s">
        <v>483</v>
      </c>
      <c r="H171" s="323">
        <f t="shared" si="82"/>
        <v>0.2928571429</v>
      </c>
      <c r="I171" s="323">
        <v>3.15</v>
      </c>
      <c r="J171" s="361">
        <f t="shared" si="83"/>
        <v>3.843</v>
      </c>
      <c r="K171" s="341">
        <f t="shared" si="17"/>
        <v>4</v>
      </c>
      <c r="L171" s="342">
        <f t="shared" si="18"/>
        <v>4.88</v>
      </c>
      <c r="M171" s="314"/>
      <c r="N171" s="314"/>
      <c r="O171" s="314"/>
      <c r="P171" s="314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  <c r="AN171" s="321"/>
    </row>
    <row r="172" ht="15.75" customHeight="1">
      <c r="A172" s="162" t="s">
        <v>282</v>
      </c>
      <c r="B172" s="314"/>
      <c r="C172" s="314"/>
      <c r="D172" s="323" t="s">
        <v>734</v>
      </c>
      <c r="E172" s="448" t="s">
        <v>735</v>
      </c>
      <c r="F172" s="323">
        <f t="shared" ref="F172:F175" si="84">I172/1.05/1.05</f>
        <v>3.292517007</v>
      </c>
      <c r="G172" s="403" t="s">
        <v>483</v>
      </c>
      <c r="H172" s="323">
        <f t="shared" si="82"/>
        <v>0.3374829932</v>
      </c>
      <c r="I172" s="323">
        <v>3.63</v>
      </c>
      <c r="J172" s="361">
        <f t="shared" si="83"/>
        <v>4.4286</v>
      </c>
      <c r="K172" s="341">
        <f t="shared" si="17"/>
        <v>4.60952381</v>
      </c>
      <c r="L172" s="342">
        <f t="shared" si="18"/>
        <v>5.623619048</v>
      </c>
      <c r="M172" s="314"/>
      <c r="N172" s="314"/>
      <c r="O172" s="314"/>
      <c r="P172" s="314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  <c r="AN172" s="321"/>
    </row>
    <row r="173" ht="15.75" customHeight="1">
      <c r="A173" s="162" t="s">
        <v>282</v>
      </c>
      <c r="B173" s="314"/>
      <c r="C173" s="314"/>
      <c r="D173" s="323" t="s">
        <v>732</v>
      </c>
      <c r="E173" s="448" t="s">
        <v>736</v>
      </c>
      <c r="F173" s="323">
        <f t="shared" si="84"/>
        <v>3.79138322</v>
      </c>
      <c r="G173" s="403" t="s">
        <v>483</v>
      </c>
      <c r="H173" s="323">
        <f t="shared" si="82"/>
        <v>0.38861678</v>
      </c>
      <c r="I173" s="323">
        <v>4.18</v>
      </c>
      <c r="J173" s="361">
        <f t="shared" si="83"/>
        <v>5.0996</v>
      </c>
      <c r="K173" s="341">
        <f t="shared" si="17"/>
        <v>5.307936508</v>
      </c>
      <c r="L173" s="342">
        <f t="shared" si="18"/>
        <v>6.47568254</v>
      </c>
      <c r="M173" s="314"/>
      <c r="N173" s="314"/>
      <c r="O173" s="314"/>
      <c r="P173" s="314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  <c r="AN173" s="321"/>
    </row>
    <row r="174" ht="15.75" customHeight="1">
      <c r="A174" s="162" t="s">
        <v>282</v>
      </c>
      <c r="B174" s="314"/>
      <c r="C174" s="314"/>
      <c r="D174" s="323" t="s">
        <v>734</v>
      </c>
      <c r="E174" s="401" t="s">
        <v>737</v>
      </c>
      <c r="F174" s="349">
        <f t="shared" si="84"/>
        <v>4.380952381</v>
      </c>
      <c r="G174" s="426" t="s">
        <v>483</v>
      </c>
      <c r="H174" s="349">
        <f t="shared" si="82"/>
        <v>0.449047619</v>
      </c>
      <c r="I174" s="349">
        <v>4.83</v>
      </c>
      <c r="J174" s="372">
        <f t="shared" si="83"/>
        <v>5.8926</v>
      </c>
      <c r="K174" s="341">
        <f t="shared" si="17"/>
        <v>6.133333333</v>
      </c>
      <c r="L174" s="342">
        <f t="shared" si="18"/>
        <v>7.482666667</v>
      </c>
      <c r="M174" s="314"/>
      <c r="N174" s="314"/>
      <c r="O174" s="314"/>
      <c r="P174" s="314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  <c r="AN174" s="321"/>
    </row>
    <row r="175" ht="15.75" customHeight="1">
      <c r="A175" s="162" t="s">
        <v>282</v>
      </c>
      <c r="B175" s="314"/>
      <c r="C175" s="314"/>
      <c r="D175" s="323" t="s">
        <v>734</v>
      </c>
      <c r="E175" s="401" t="s">
        <v>738</v>
      </c>
      <c r="F175" s="349">
        <f t="shared" si="84"/>
        <v>5.968253968</v>
      </c>
      <c r="G175" s="426" t="s">
        <v>483</v>
      </c>
      <c r="H175" s="349">
        <f t="shared" si="82"/>
        <v>0.6117460317</v>
      </c>
      <c r="I175" s="349">
        <v>6.58</v>
      </c>
      <c r="J175" s="372">
        <f t="shared" si="83"/>
        <v>8.0276</v>
      </c>
      <c r="K175" s="341">
        <f t="shared" si="17"/>
        <v>8.355555556</v>
      </c>
      <c r="L175" s="342">
        <f t="shared" si="18"/>
        <v>10.19377778</v>
      </c>
      <c r="M175" s="314"/>
      <c r="N175" s="314"/>
      <c r="O175" s="314"/>
      <c r="P175" s="314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  <c r="AN175" s="321"/>
    </row>
    <row r="176" ht="15.75" customHeight="1">
      <c r="A176" s="314"/>
      <c r="B176" s="314"/>
      <c r="C176" s="314"/>
      <c r="D176" s="323"/>
      <c r="E176" s="473" t="s">
        <v>739</v>
      </c>
      <c r="F176" s="338"/>
      <c r="G176" s="338"/>
      <c r="H176" s="338"/>
      <c r="I176" s="338"/>
      <c r="J176" s="454"/>
      <c r="K176" s="341">
        <f t="shared" si="17"/>
        <v>0</v>
      </c>
      <c r="L176" s="342">
        <f t="shared" si="18"/>
        <v>0</v>
      </c>
      <c r="M176" s="314"/>
      <c r="N176" s="314"/>
      <c r="O176" s="314"/>
      <c r="P176" s="314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  <c r="AN176" s="321"/>
    </row>
    <row r="177" ht="15.75" customHeight="1">
      <c r="A177" s="162" t="s">
        <v>282</v>
      </c>
      <c r="B177" s="314"/>
      <c r="C177" s="314"/>
      <c r="D177" s="323" t="s">
        <v>740</v>
      </c>
      <c r="E177" s="448" t="s">
        <v>741</v>
      </c>
      <c r="F177" s="323">
        <f t="shared" ref="F177:F184" si="85">I177/1.05/1.05</f>
        <v>2.802721088</v>
      </c>
      <c r="G177" s="403" t="s">
        <v>483</v>
      </c>
      <c r="H177" s="323">
        <f t="shared" ref="H177:H184" si="86">I177-F177</f>
        <v>0.2872789116</v>
      </c>
      <c r="I177" s="323">
        <v>3.09</v>
      </c>
      <c r="J177" s="361">
        <f t="shared" ref="J177:J184" si="87">I177*1.22</f>
        <v>3.7698</v>
      </c>
      <c r="K177" s="341">
        <f t="shared" si="17"/>
        <v>3.923809524</v>
      </c>
      <c r="L177" s="342">
        <f t="shared" si="18"/>
        <v>4.787047619</v>
      </c>
      <c r="M177" s="314"/>
      <c r="N177" s="314"/>
      <c r="O177" s="314"/>
      <c r="P177" s="314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  <c r="AN177" s="321"/>
    </row>
    <row r="178" ht="15.75" customHeight="1">
      <c r="A178" s="162" t="s">
        <v>282</v>
      </c>
      <c r="B178" s="314"/>
      <c r="C178" s="314"/>
      <c r="D178" s="323" t="s">
        <v>742</v>
      </c>
      <c r="F178" s="323">
        <f t="shared" si="85"/>
        <v>3.700680272</v>
      </c>
      <c r="G178" s="403" t="s">
        <v>483</v>
      </c>
      <c r="H178" s="323">
        <f t="shared" si="86"/>
        <v>0.3793197279</v>
      </c>
      <c r="I178" s="323">
        <v>4.08</v>
      </c>
      <c r="J178" s="361">
        <f t="shared" si="87"/>
        <v>4.9776</v>
      </c>
      <c r="K178" s="341">
        <f t="shared" si="17"/>
        <v>5.180952381</v>
      </c>
      <c r="L178" s="342">
        <f t="shared" si="18"/>
        <v>6.320761905</v>
      </c>
      <c r="M178" s="314"/>
      <c r="N178" s="314"/>
      <c r="O178" s="314"/>
      <c r="P178" s="314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  <c r="AN178" s="321"/>
    </row>
    <row r="179" ht="15.75" customHeight="1">
      <c r="A179" s="162" t="s">
        <v>282</v>
      </c>
      <c r="B179" s="314"/>
      <c r="C179" s="314"/>
      <c r="D179" s="323" t="s">
        <v>743</v>
      </c>
      <c r="E179" s="448" t="s">
        <v>744</v>
      </c>
      <c r="F179" s="323">
        <f t="shared" si="85"/>
        <v>2.684807256</v>
      </c>
      <c r="G179" s="403" t="s">
        <v>483</v>
      </c>
      <c r="H179" s="323">
        <f t="shared" si="86"/>
        <v>0.2751927438</v>
      </c>
      <c r="I179" s="323">
        <v>2.96</v>
      </c>
      <c r="J179" s="361">
        <f t="shared" si="87"/>
        <v>3.6112</v>
      </c>
      <c r="K179" s="341">
        <f t="shared" si="17"/>
        <v>3.758730159</v>
      </c>
      <c r="L179" s="342">
        <f t="shared" si="18"/>
        <v>4.585650794</v>
      </c>
      <c r="M179" s="314"/>
      <c r="N179" s="314"/>
      <c r="O179" s="314"/>
      <c r="P179" s="314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  <c r="AN179" s="321"/>
    </row>
    <row r="180" ht="15.75" customHeight="1">
      <c r="A180" s="162" t="s">
        <v>282</v>
      </c>
      <c r="B180" s="314"/>
      <c r="C180" s="314"/>
      <c r="D180" s="323" t="s">
        <v>745</v>
      </c>
      <c r="E180" s="448" t="s">
        <v>746</v>
      </c>
      <c r="F180" s="323">
        <f t="shared" si="85"/>
        <v>3.092970522</v>
      </c>
      <c r="G180" s="403" t="s">
        <v>483</v>
      </c>
      <c r="H180" s="323">
        <f t="shared" si="86"/>
        <v>0.3170294785</v>
      </c>
      <c r="I180" s="323">
        <v>3.41</v>
      </c>
      <c r="J180" s="361">
        <f t="shared" si="87"/>
        <v>4.1602</v>
      </c>
      <c r="K180" s="341">
        <f t="shared" si="17"/>
        <v>4.33015873</v>
      </c>
      <c r="L180" s="342">
        <f t="shared" si="18"/>
        <v>5.282793651</v>
      </c>
      <c r="M180" s="314"/>
      <c r="N180" s="314"/>
      <c r="O180" s="314"/>
      <c r="P180" s="314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  <c r="AN180" s="321"/>
    </row>
    <row r="181" ht="15.75" customHeight="1">
      <c r="A181" s="162" t="s">
        <v>282</v>
      </c>
      <c r="B181" s="314"/>
      <c r="C181" s="314"/>
      <c r="D181" s="323" t="s">
        <v>747</v>
      </c>
      <c r="E181" s="448" t="s">
        <v>748</v>
      </c>
      <c r="F181" s="323">
        <f t="shared" si="85"/>
        <v>3.546485261</v>
      </c>
      <c r="G181" s="403" t="s">
        <v>483</v>
      </c>
      <c r="H181" s="323">
        <f t="shared" si="86"/>
        <v>0.3635147392</v>
      </c>
      <c r="I181" s="323">
        <v>3.91</v>
      </c>
      <c r="J181" s="361">
        <f t="shared" si="87"/>
        <v>4.7702</v>
      </c>
      <c r="K181" s="341">
        <f t="shared" si="17"/>
        <v>4.965079365</v>
      </c>
      <c r="L181" s="342">
        <f t="shared" si="18"/>
        <v>6.057396825</v>
      </c>
      <c r="M181" s="314"/>
      <c r="N181" s="314"/>
      <c r="O181" s="314"/>
      <c r="P181" s="314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  <c r="AN181" s="321"/>
    </row>
    <row r="182" ht="15.75" customHeight="1">
      <c r="A182" s="162" t="s">
        <v>282</v>
      </c>
      <c r="B182" s="314"/>
      <c r="C182" s="314"/>
      <c r="D182" s="323" t="s">
        <v>749</v>
      </c>
      <c r="E182" s="448" t="s">
        <v>750</v>
      </c>
      <c r="F182" s="323">
        <f t="shared" si="85"/>
        <v>4.090702948</v>
      </c>
      <c r="G182" s="403" t="s">
        <v>483</v>
      </c>
      <c r="H182" s="323">
        <f t="shared" si="86"/>
        <v>0.4192970522</v>
      </c>
      <c r="I182" s="323">
        <v>4.51</v>
      </c>
      <c r="J182" s="361">
        <f t="shared" si="87"/>
        <v>5.5022</v>
      </c>
      <c r="K182" s="341">
        <f t="shared" si="17"/>
        <v>5.726984127</v>
      </c>
      <c r="L182" s="342">
        <f t="shared" si="18"/>
        <v>6.986920635</v>
      </c>
      <c r="M182" s="314"/>
      <c r="N182" s="314"/>
      <c r="O182" s="314"/>
      <c r="P182" s="314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  <c r="AN182" s="321"/>
    </row>
    <row r="183" ht="15.75" customHeight="1">
      <c r="A183" s="162" t="s">
        <v>282</v>
      </c>
      <c r="B183" s="314"/>
      <c r="C183" s="314"/>
      <c r="D183" s="323" t="s">
        <v>751</v>
      </c>
      <c r="E183" s="448" t="s">
        <v>752</v>
      </c>
      <c r="F183" s="323">
        <f t="shared" si="85"/>
        <v>5.360544218</v>
      </c>
      <c r="G183" s="403" t="s">
        <v>483</v>
      </c>
      <c r="H183" s="323">
        <f t="shared" si="86"/>
        <v>0.5494557823</v>
      </c>
      <c r="I183" s="323">
        <v>5.91</v>
      </c>
      <c r="J183" s="361">
        <f t="shared" si="87"/>
        <v>7.2102</v>
      </c>
      <c r="K183" s="341">
        <f t="shared" si="17"/>
        <v>7.504761905</v>
      </c>
      <c r="L183" s="342">
        <f t="shared" si="18"/>
        <v>9.155809524</v>
      </c>
      <c r="M183" s="314"/>
      <c r="N183" s="314"/>
      <c r="O183" s="314"/>
      <c r="P183" s="314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  <c r="AN183" s="321"/>
    </row>
    <row r="184" ht="15.75" customHeight="1">
      <c r="A184" s="162" t="s">
        <v>282</v>
      </c>
      <c r="B184" s="314"/>
      <c r="C184" s="314"/>
      <c r="D184" s="323" t="s">
        <v>753</v>
      </c>
      <c r="E184" s="401" t="s">
        <v>754</v>
      </c>
      <c r="F184" s="349">
        <f t="shared" si="85"/>
        <v>5.551020408</v>
      </c>
      <c r="G184" s="426" t="s">
        <v>483</v>
      </c>
      <c r="H184" s="349">
        <f t="shared" si="86"/>
        <v>0.5689795918</v>
      </c>
      <c r="I184" s="349">
        <v>6.12</v>
      </c>
      <c r="J184" s="372">
        <f t="shared" si="87"/>
        <v>7.4664</v>
      </c>
      <c r="K184" s="341">
        <f t="shared" si="17"/>
        <v>7.771428571</v>
      </c>
      <c r="L184" s="342">
        <f t="shared" si="18"/>
        <v>9.481142857</v>
      </c>
      <c r="M184" s="314"/>
      <c r="N184" s="314"/>
      <c r="O184" s="314"/>
      <c r="P184" s="314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  <c r="AN184" s="321"/>
    </row>
    <row r="185" ht="15.75" customHeight="1">
      <c r="A185" s="314"/>
      <c r="B185" s="314"/>
      <c r="C185" s="314"/>
      <c r="D185" s="467"/>
      <c r="E185" s="473" t="s">
        <v>755</v>
      </c>
      <c r="F185" s="474"/>
      <c r="G185" s="475"/>
      <c r="H185" s="338"/>
      <c r="I185" s="476"/>
      <c r="J185" s="477"/>
      <c r="K185" s="341">
        <f t="shared" si="17"/>
        <v>0</v>
      </c>
      <c r="L185" s="342">
        <f t="shared" si="18"/>
        <v>0</v>
      </c>
      <c r="M185" s="314"/>
      <c r="N185" s="314"/>
      <c r="O185" s="314"/>
      <c r="P185" s="314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  <c r="AN185" s="321"/>
    </row>
    <row r="186" ht="15.75" customHeight="1">
      <c r="A186" s="162" t="s">
        <v>282</v>
      </c>
      <c r="B186" s="314"/>
      <c r="C186" s="314"/>
      <c r="D186" s="467" t="s">
        <v>756</v>
      </c>
      <c r="E186" s="448" t="s">
        <v>757</v>
      </c>
      <c r="F186" s="323">
        <f t="shared" ref="F186:F193" si="88">(I186/1.05)/1.05</f>
        <v>2.321995465</v>
      </c>
      <c r="G186" s="403" t="s">
        <v>483</v>
      </c>
      <c r="H186" s="323">
        <f t="shared" ref="H186:H193" si="89">I186-F186</f>
        <v>0.2380045351</v>
      </c>
      <c r="I186" s="323">
        <v>2.56</v>
      </c>
      <c r="J186" s="361">
        <f t="shared" ref="J186:J193" si="90">I186*1.22</f>
        <v>3.1232</v>
      </c>
      <c r="K186" s="341">
        <f t="shared" si="17"/>
        <v>3.250793651</v>
      </c>
      <c r="L186" s="342">
        <f t="shared" si="18"/>
        <v>3.965968254</v>
      </c>
      <c r="M186" s="314"/>
      <c r="N186" s="314"/>
      <c r="O186" s="314"/>
      <c r="P186" s="314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  <c r="AN186" s="321"/>
    </row>
    <row r="187" ht="15.75" customHeight="1">
      <c r="A187" s="162" t="s">
        <v>282</v>
      </c>
      <c r="B187" s="314"/>
      <c r="C187" s="314"/>
      <c r="D187" s="467" t="s">
        <v>758</v>
      </c>
      <c r="E187" s="448" t="s">
        <v>759</v>
      </c>
      <c r="F187" s="323">
        <f t="shared" si="88"/>
        <v>2.675736961</v>
      </c>
      <c r="G187" s="403" t="s">
        <v>483</v>
      </c>
      <c r="H187" s="323">
        <f t="shared" si="89"/>
        <v>0.2742630385</v>
      </c>
      <c r="I187" s="323">
        <v>2.95</v>
      </c>
      <c r="J187" s="361">
        <f t="shared" si="90"/>
        <v>3.599</v>
      </c>
      <c r="K187" s="341">
        <f t="shared" si="17"/>
        <v>3.746031746</v>
      </c>
      <c r="L187" s="342">
        <f t="shared" si="18"/>
        <v>4.57015873</v>
      </c>
      <c r="M187" s="314"/>
      <c r="N187" s="314"/>
      <c r="O187" s="314"/>
      <c r="P187" s="314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  <c r="AN187" s="321"/>
    </row>
    <row r="188" ht="15.75" customHeight="1">
      <c r="A188" s="162" t="s">
        <v>282</v>
      </c>
      <c r="B188" s="314"/>
      <c r="C188" s="314"/>
      <c r="D188" s="467" t="s">
        <v>760</v>
      </c>
      <c r="E188" s="448" t="s">
        <v>761</v>
      </c>
      <c r="F188" s="323">
        <f t="shared" si="88"/>
        <v>2.566893424</v>
      </c>
      <c r="G188" s="403" t="s">
        <v>483</v>
      </c>
      <c r="H188" s="323">
        <f t="shared" si="89"/>
        <v>0.263106576</v>
      </c>
      <c r="I188" s="323">
        <v>2.83</v>
      </c>
      <c r="J188" s="361">
        <f t="shared" si="90"/>
        <v>3.4526</v>
      </c>
      <c r="K188" s="341">
        <f t="shared" si="17"/>
        <v>3.593650794</v>
      </c>
      <c r="L188" s="342">
        <f t="shared" si="18"/>
        <v>4.384253968</v>
      </c>
      <c r="M188" s="314"/>
      <c r="N188" s="314"/>
      <c r="O188" s="314"/>
      <c r="P188" s="314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  <c r="AN188" s="321"/>
    </row>
    <row r="189" ht="15.75" customHeight="1">
      <c r="A189" s="162" t="s">
        <v>282</v>
      </c>
      <c r="B189" s="314"/>
      <c r="C189" s="314"/>
      <c r="D189" s="467" t="s">
        <v>762</v>
      </c>
      <c r="E189" s="448" t="s">
        <v>763</v>
      </c>
      <c r="F189" s="323">
        <f t="shared" si="88"/>
        <v>2.965986395</v>
      </c>
      <c r="G189" s="403" t="s">
        <v>483</v>
      </c>
      <c r="H189" s="323">
        <f t="shared" si="89"/>
        <v>0.3040136054</v>
      </c>
      <c r="I189" s="323">
        <v>3.27</v>
      </c>
      <c r="J189" s="361">
        <f t="shared" si="90"/>
        <v>3.9894</v>
      </c>
      <c r="K189" s="341">
        <f t="shared" si="17"/>
        <v>4.152380952</v>
      </c>
      <c r="L189" s="342">
        <f t="shared" si="18"/>
        <v>5.065904762</v>
      </c>
      <c r="M189" s="314"/>
      <c r="N189" s="314"/>
      <c r="O189" s="314"/>
      <c r="P189" s="314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  <c r="AN189" s="321"/>
    </row>
    <row r="190" ht="15.75" customHeight="1">
      <c r="A190" s="162" t="s">
        <v>282</v>
      </c>
      <c r="B190" s="314"/>
      <c r="C190" s="314"/>
      <c r="D190" s="467" t="s">
        <v>758</v>
      </c>
      <c r="E190" s="448" t="s">
        <v>764</v>
      </c>
      <c r="F190" s="323">
        <f t="shared" si="88"/>
        <v>2.321995465</v>
      </c>
      <c r="G190" s="403" t="s">
        <v>483</v>
      </c>
      <c r="H190" s="323">
        <f t="shared" si="89"/>
        <v>0.2380045351</v>
      </c>
      <c r="I190" s="323">
        <v>2.56</v>
      </c>
      <c r="J190" s="361">
        <f t="shared" si="90"/>
        <v>3.1232</v>
      </c>
      <c r="K190" s="341">
        <f t="shared" si="17"/>
        <v>3.250793651</v>
      </c>
      <c r="L190" s="342">
        <f t="shared" si="18"/>
        <v>3.965968254</v>
      </c>
      <c r="M190" s="314"/>
      <c r="N190" s="314"/>
      <c r="O190" s="314"/>
      <c r="P190" s="314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  <c r="AN190" s="321"/>
    </row>
    <row r="191" ht="15.75" customHeight="1">
      <c r="A191" s="162" t="s">
        <v>282</v>
      </c>
      <c r="B191" s="314"/>
      <c r="C191" s="314"/>
      <c r="D191" s="467" t="s">
        <v>758</v>
      </c>
      <c r="E191" s="448" t="s">
        <v>764</v>
      </c>
      <c r="F191" s="323">
        <f t="shared" si="88"/>
        <v>2.675736961</v>
      </c>
      <c r="G191" s="403" t="s">
        <v>483</v>
      </c>
      <c r="H191" s="323">
        <f t="shared" si="89"/>
        <v>0.2742630385</v>
      </c>
      <c r="I191" s="323">
        <v>2.95</v>
      </c>
      <c r="J191" s="361">
        <f t="shared" si="90"/>
        <v>3.599</v>
      </c>
      <c r="K191" s="341">
        <f t="shared" si="17"/>
        <v>3.746031746</v>
      </c>
      <c r="L191" s="342">
        <f t="shared" si="18"/>
        <v>4.57015873</v>
      </c>
      <c r="M191" s="314"/>
      <c r="N191" s="314"/>
      <c r="O191" s="314"/>
      <c r="P191" s="314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  <c r="AN191" s="321"/>
    </row>
    <row r="192" ht="15.75" customHeight="1">
      <c r="A192" s="162" t="s">
        <v>282</v>
      </c>
      <c r="B192" s="314"/>
      <c r="C192" s="314"/>
      <c r="D192" s="467" t="s">
        <v>760</v>
      </c>
      <c r="E192" s="448" t="s">
        <v>765</v>
      </c>
      <c r="F192" s="323">
        <f t="shared" si="88"/>
        <v>2.566893424</v>
      </c>
      <c r="G192" s="403" t="s">
        <v>483</v>
      </c>
      <c r="H192" s="323">
        <f t="shared" si="89"/>
        <v>0.263106576</v>
      </c>
      <c r="I192" s="323">
        <v>2.83</v>
      </c>
      <c r="J192" s="361">
        <f t="shared" si="90"/>
        <v>3.4526</v>
      </c>
      <c r="K192" s="341">
        <f t="shared" si="17"/>
        <v>3.593650794</v>
      </c>
      <c r="L192" s="342">
        <f t="shared" si="18"/>
        <v>4.384253968</v>
      </c>
      <c r="M192" s="314"/>
      <c r="N192" s="314"/>
      <c r="O192" s="314"/>
      <c r="P192" s="314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  <c r="AN192" s="321"/>
    </row>
    <row r="193" ht="15.75" customHeight="1">
      <c r="A193" s="162" t="s">
        <v>282</v>
      </c>
      <c r="B193" s="314"/>
      <c r="C193" s="314"/>
      <c r="D193" s="467" t="s">
        <v>766</v>
      </c>
      <c r="E193" s="401" t="s">
        <v>767</v>
      </c>
      <c r="F193" s="349">
        <f t="shared" si="88"/>
        <v>2.965986395</v>
      </c>
      <c r="G193" s="349" t="s">
        <v>483</v>
      </c>
      <c r="H193" s="349">
        <f t="shared" si="89"/>
        <v>0.3040136054</v>
      </c>
      <c r="I193" s="349">
        <v>3.27</v>
      </c>
      <c r="J193" s="372">
        <f t="shared" si="90"/>
        <v>3.9894</v>
      </c>
      <c r="K193" s="341">
        <f t="shared" si="17"/>
        <v>4.152380952</v>
      </c>
      <c r="L193" s="342">
        <f t="shared" si="18"/>
        <v>5.065904762</v>
      </c>
      <c r="M193" s="314"/>
      <c r="N193" s="314"/>
      <c r="O193" s="314"/>
      <c r="P193" s="314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  <c r="AN193" s="321"/>
    </row>
    <row r="194" ht="15.75" customHeight="1">
      <c r="A194" s="314"/>
      <c r="B194" s="314"/>
      <c r="C194" s="314"/>
      <c r="D194" s="327"/>
      <c r="E194" s="314"/>
      <c r="F194" s="314"/>
      <c r="G194" s="314"/>
      <c r="H194" s="314"/>
      <c r="I194" s="314"/>
      <c r="J194" s="314"/>
      <c r="K194" s="341">
        <f t="shared" si="17"/>
        <v>0</v>
      </c>
      <c r="L194" s="342">
        <f t="shared" si="18"/>
        <v>0</v>
      </c>
      <c r="M194" s="314"/>
      <c r="N194" s="314"/>
      <c r="O194" s="314"/>
      <c r="P194" s="314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  <c r="AN194" s="321"/>
    </row>
    <row r="195" ht="15.75" customHeight="1">
      <c r="A195" s="314"/>
      <c r="B195" s="314"/>
      <c r="C195" s="314"/>
      <c r="D195" s="327"/>
      <c r="E195" s="314"/>
      <c r="F195" s="314"/>
      <c r="G195" s="314"/>
      <c r="H195" s="314"/>
      <c r="I195" s="314"/>
      <c r="J195" s="314"/>
      <c r="K195" s="341">
        <f t="shared" si="17"/>
        <v>0</v>
      </c>
      <c r="L195" s="342">
        <f t="shared" si="18"/>
        <v>0</v>
      </c>
      <c r="M195" s="314"/>
      <c r="N195" s="314"/>
      <c r="O195" s="314"/>
      <c r="P195" s="314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  <c r="AN195" s="321"/>
    </row>
    <row r="196" ht="27.0" customHeight="1">
      <c r="A196" s="314"/>
      <c r="B196" s="314"/>
      <c r="C196" s="314"/>
      <c r="D196" s="467"/>
      <c r="E196" s="324" t="s">
        <v>768</v>
      </c>
      <c r="F196" s="178"/>
      <c r="G196" s="178"/>
      <c r="H196" s="178"/>
      <c r="I196" s="178"/>
      <c r="J196" s="179"/>
      <c r="K196" s="341">
        <f t="shared" si="17"/>
        <v>0</v>
      </c>
      <c r="L196" s="342">
        <f t="shared" si="18"/>
        <v>0</v>
      </c>
      <c r="M196" s="314"/>
      <c r="N196" s="314"/>
      <c r="O196" s="314"/>
      <c r="P196" s="314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  <c r="AN196" s="321"/>
    </row>
    <row r="197" ht="15.75" customHeight="1">
      <c r="A197" s="314"/>
      <c r="B197" s="314"/>
      <c r="C197" s="314"/>
      <c r="D197" s="467"/>
      <c r="E197" s="478" t="s">
        <v>283</v>
      </c>
      <c r="F197" s="330" t="s">
        <v>476</v>
      </c>
      <c r="G197" s="479" t="s">
        <v>285</v>
      </c>
      <c r="H197" s="330" t="s">
        <v>286</v>
      </c>
      <c r="I197" s="480" t="s">
        <v>287</v>
      </c>
      <c r="J197" s="331" t="s">
        <v>288</v>
      </c>
      <c r="K197" s="341" t="str">
        <f t="shared" si="17"/>
        <v>#VALUE!</v>
      </c>
      <c r="L197" s="342" t="str">
        <f t="shared" si="18"/>
        <v>#VALUE!</v>
      </c>
      <c r="M197" s="314"/>
      <c r="N197" s="314"/>
      <c r="O197" s="314"/>
      <c r="P197" s="314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  <c r="AN197" s="321"/>
    </row>
    <row r="198" ht="15.75" customHeight="1">
      <c r="A198" s="314"/>
      <c r="B198" s="314"/>
      <c r="C198" s="314"/>
      <c r="D198" s="467"/>
      <c r="E198" s="335" t="s">
        <v>769</v>
      </c>
      <c r="F198" s="474" t="s">
        <v>770</v>
      </c>
      <c r="G198" s="475"/>
      <c r="H198" s="338"/>
      <c r="I198" s="476" t="s">
        <v>771</v>
      </c>
      <c r="J198" s="477"/>
      <c r="K198" s="341" t="str">
        <f t="shared" si="17"/>
        <v>#VALUE!</v>
      </c>
      <c r="L198" s="342" t="str">
        <f t="shared" si="18"/>
        <v>#VALUE!</v>
      </c>
      <c r="M198" s="314"/>
      <c r="N198" s="314"/>
      <c r="O198" s="314"/>
      <c r="P198" s="314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  <c r="AN198" s="321"/>
    </row>
    <row r="199" ht="15.75" customHeight="1">
      <c r="A199" s="162" t="s">
        <v>282</v>
      </c>
      <c r="B199" s="314"/>
      <c r="C199" s="481"/>
      <c r="D199" s="482" t="s">
        <v>772</v>
      </c>
      <c r="E199" s="483" t="s">
        <v>773</v>
      </c>
      <c r="F199" s="323">
        <f t="shared" ref="F199:F205" si="91">(I199/1.05)/1.05</f>
        <v>6.857142857</v>
      </c>
      <c r="G199" s="403" t="s">
        <v>483</v>
      </c>
      <c r="H199" s="323">
        <f t="shared" ref="H199:H215" si="92">I199-F199</f>
        <v>0.7028571429</v>
      </c>
      <c r="I199" s="323">
        <v>7.56</v>
      </c>
      <c r="J199" s="453">
        <f t="shared" ref="J199:J215" si="93">I199*1.22</f>
        <v>9.2232</v>
      </c>
      <c r="K199" s="341">
        <f t="shared" si="17"/>
        <v>9.6</v>
      </c>
      <c r="L199" s="342">
        <f t="shared" si="18"/>
        <v>11.712</v>
      </c>
      <c r="M199" s="484"/>
      <c r="N199" s="484"/>
      <c r="O199" s="484"/>
      <c r="P199" s="484"/>
      <c r="Q199" s="485"/>
      <c r="R199" s="485"/>
      <c r="S199" s="485"/>
      <c r="T199" s="485"/>
      <c r="U199" s="485"/>
      <c r="V199" s="485"/>
      <c r="W199" s="485"/>
      <c r="X199" s="485"/>
      <c r="Y199" s="485"/>
      <c r="Z199" s="485"/>
      <c r="AA199" s="485"/>
      <c r="AB199" s="485"/>
      <c r="AC199" s="485"/>
      <c r="AD199" s="485"/>
      <c r="AE199" s="485"/>
      <c r="AF199" s="485"/>
      <c r="AG199" s="485"/>
      <c r="AH199" s="485"/>
      <c r="AI199" s="485"/>
      <c r="AJ199" s="485"/>
      <c r="AK199" s="485"/>
      <c r="AL199" s="485"/>
      <c r="AM199" s="485"/>
      <c r="AN199" s="485"/>
    </row>
    <row r="200" ht="15.75" customHeight="1">
      <c r="A200" s="162" t="s">
        <v>282</v>
      </c>
      <c r="B200" s="314"/>
      <c r="C200" s="322"/>
      <c r="D200" s="467" t="s">
        <v>772</v>
      </c>
      <c r="E200" s="483" t="s">
        <v>774</v>
      </c>
      <c r="F200" s="323">
        <f t="shared" si="91"/>
        <v>8.253968254</v>
      </c>
      <c r="G200" s="403" t="s">
        <v>483</v>
      </c>
      <c r="H200" s="323">
        <f t="shared" si="92"/>
        <v>0.846031746</v>
      </c>
      <c r="I200" s="323">
        <v>9.1</v>
      </c>
      <c r="J200" s="453">
        <f t="shared" si="93"/>
        <v>11.102</v>
      </c>
      <c r="K200" s="341">
        <f t="shared" si="17"/>
        <v>11.55555556</v>
      </c>
      <c r="L200" s="342">
        <f t="shared" si="18"/>
        <v>14.09777778</v>
      </c>
      <c r="M200" s="314"/>
      <c r="N200" s="314"/>
      <c r="O200" s="314"/>
      <c r="P200" s="314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  <c r="AN200" s="321"/>
    </row>
    <row r="201" ht="15.75" customHeight="1">
      <c r="A201" s="162" t="s">
        <v>282</v>
      </c>
      <c r="B201" s="314"/>
      <c r="C201" s="322"/>
      <c r="D201" s="467" t="s">
        <v>775</v>
      </c>
      <c r="E201" s="483" t="s">
        <v>776</v>
      </c>
      <c r="F201" s="323">
        <f t="shared" si="91"/>
        <v>9.904761905</v>
      </c>
      <c r="G201" s="403" t="s">
        <v>483</v>
      </c>
      <c r="H201" s="323">
        <f t="shared" si="92"/>
        <v>1.015238095</v>
      </c>
      <c r="I201" s="323">
        <v>10.92</v>
      </c>
      <c r="J201" s="453">
        <f t="shared" si="93"/>
        <v>13.3224</v>
      </c>
      <c r="K201" s="341">
        <f t="shared" si="17"/>
        <v>13.86666667</v>
      </c>
      <c r="L201" s="342">
        <f t="shared" si="18"/>
        <v>16.91733333</v>
      </c>
      <c r="M201" s="314"/>
      <c r="N201" s="314"/>
      <c r="O201" s="314"/>
      <c r="P201" s="314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  <c r="AN201" s="321"/>
    </row>
    <row r="202" ht="15.75" customHeight="1">
      <c r="A202" s="162" t="s">
        <v>282</v>
      </c>
      <c r="B202" s="314"/>
      <c r="C202" s="322"/>
      <c r="D202" s="467" t="s">
        <v>775</v>
      </c>
      <c r="E202" s="483" t="s">
        <v>777</v>
      </c>
      <c r="F202" s="323">
        <f t="shared" si="91"/>
        <v>7.673469388</v>
      </c>
      <c r="G202" s="403" t="s">
        <v>483</v>
      </c>
      <c r="H202" s="323">
        <f t="shared" si="92"/>
        <v>0.7865306122</v>
      </c>
      <c r="I202" s="323">
        <v>8.46</v>
      </c>
      <c r="J202" s="453">
        <f t="shared" si="93"/>
        <v>10.3212</v>
      </c>
      <c r="K202" s="341">
        <f t="shared" si="17"/>
        <v>10.74285714</v>
      </c>
      <c r="L202" s="342">
        <f t="shared" si="18"/>
        <v>13.10628571</v>
      </c>
      <c r="M202" s="314"/>
      <c r="N202" s="314"/>
      <c r="O202" s="314"/>
      <c r="P202" s="314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  <c r="AN202" s="321"/>
    </row>
    <row r="203" ht="15.75" customHeight="1">
      <c r="A203" s="162" t="s">
        <v>282</v>
      </c>
      <c r="B203" s="314"/>
      <c r="C203" s="322"/>
      <c r="D203" s="467" t="s">
        <v>778</v>
      </c>
      <c r="E203" s="483" t="s">
        <v>779</v>
      </c>
      <c r="F203" s="323">
        <f t="shared" si="91"/>
        <v>11.14739229</v>
      </c>
      <c r="G203" s="403" t="s">
        <v>483</v>
      </c>
      <c r="H203" s="323">
        <f t="shared" si="92"/>
        <v>1.14260771</v>
      </c>
      <c r="I203" s="323">
        <v>12.29</v>
      </c>
      <c r="J203" s="453">
        <f t="shared" si="93"/>
        <v>14.9938</v>
      </c>
      <c r="K203" s="341">
        <f t="shared" si="17"/>
        <v>15.60634921</v>
      </c>
      <c r="L203" s="342">
        <f t="shared" si="18"/>
        <v>19.03974603</v>
      </c>
      <c r="M203" s="314"/>
      <c r="N203" s="314"/>
      <c r="O203" s="314"/>
      <c r="P203" s="314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  <c r="AN203" s="321"/>
    </row>
    <row r="204" ht="15.75" customHeight="1">
      <c r="A204" s="162" t="s">
        <v>282</v>
      </c>
      <c r="B204" s="314"/>
      <c r="C204" s="322"/>
      <c r="D204" s="467" t="s">
        <v>780</v>
      </c>
      <c r="E204" s="483" t="s">
        <v>781</v>
      </c>
      <c r="F204" s="323">
        <f t="shared" si="91"/>
        <v>12.39002268</v>
      </c>
      <c r="G204" s="403" t="s">
        <v>483</v>
      </c>
      <c r="H204" s="323">
        <f t="shared" si="92"/>
        <v>1.269977324</v>
      </c>
      <c r="I204" s="323">
        <v>13.66</v>
      </c>
      <c r="J204" s="453">
        <f t="shared" si="93"/>
        <v>16.6652</v>
      </c>
      <c r="K204" s="341">
        <f t="shared" si="17"/>
        <v>17.34603175</v>
      </c>
      <c r="L204" s="342">
        <f t="shared" si="18"/>
        <v>21.16215873</v>
      </c>
      <c r="M204" s="314"/>
      <c r="N204" s="314"/>
      <c r="O204" s="314"/>
      <c r="P204" s="314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  <c r="AN204" s="321"/>
    </row>
    <row r="205" ht="15.75" customHeight="1">
      <c r="A205" s="162" t="s">
        <v>282</v>
      </c>
      <c r="B205" s="314"/>
      <c r="C205" s="322"/>
      <c r="D205" s="467" t="s">
        <v>782</v>
      </c>
      <c r="E205" s="483" t="s">
        <v>783</v>
      </c>
      <c r="F205" s="328">
        <f t="shared" si="91"/>
        <v>12.39002268</v>
      </c>
      <c r="G205" s="444" t="s">
        <v>483</v>
      </c>
      <c r="H205" s="328">
        <f t="shared" si="92"/>
        <v>1.269977324</v>
      </c>
      <c r="I205" s="328">
        <v>13.66</v>
      </c>
      <c r="J205" s="486">
        <f t="shared" si="93"/>
        <v>16.6652</v>
      </c>
      <c r="K205" s="341">
        <f t="shared" si="17"/>
        <v>17.34603175</v>
      </c>
      <c r="L205" s="342">
        <f t="shared" si="18"/>
        <v>21.16215873</v>
      </c>
      <c r="M205" s="314"/>
      <c r="N205" s="314"/>
      <c r="O205" s="314"/>
      <c r="P205" s="314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  <c r="AN205" s="321"/>
    </row>
    <row r="206" ht="15.75" customHeight="1">
      <c r="A206" s="162" t="s">
        <v>282</v>
      </c>
      <c r="B206" s="314"/>
      <c r="C206" s="322"/>
      <c r="D206" s="467" t="s">
        <v>784</v>
      </c>
      <c r="E206" s="487" t="s">
        <v>785</v>
      </c>
      <c r="F206" s="323">
        <f t="shared" ref="F206:F215" si="94">I206/1.05/1.05</f>
        <v>16.50793651</v>
      </c>
      <c r="G206" s="323" t="s">
        <v>483</v>
      </c>
      <c r="H206" s="323">
        <f t="shared" si="92"/>
        <v>1.692063492</v>
      </c>
      <c r="I206" s="323">
        <v>18.2</v>
      </c>
      <c r="J206" s="453">
        <f t="shared" si="93"/>
        <v>22.204</v>
      </c>
      <c r="K206" s="341">
        <f t="shared" si="17"/>
        <v>23.11111111</v>
      </c>
      <c r="L206" s="342">
        <f t="shared" si="18"/>
        <v>28.19555556</v>
      </c>
      <c r="M206" s="314"/>
      <c r="N206" s="314"/>
      <c r="O206" s="314"/>
      <c r="P206" s="314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  <c r="AN206" s="321"/>
    </row>
    <row r="207" ht="15.75" customHeight="1">
      <c r="A207" s="162" t="s">
        <v>282</v>
      </c>
      <c r="B207" s="314"/>
      <c r="C207" s="322"/>
      <c r="D207" s="467" t="s">
        <v>786</v>
      </c>
      <c r="E207" s="487" t="s">
        <v>787</v>
      </c>
      <c r="F207" s="323">
        <f t="shared" si="94"/>
        <v>3.718820862</v>
      </c>
      <c r="G207" s="323" t="s">
        <v>483</v>
      </c>
      <c r="H207" s="323">
        <f t="shared" si="92"/>
        <v>0.3811791383</v>
      </c>
      <c r="I207" s="323">
        <v>4.1</v>
      </c>
      <c r="J207" s="453">
        <f t="shared" si="93"/>
        <v>5.002</v>
      </c>
      <c r="K207" s="341">
        <f t="shared" si="17"/>
        <v>5.206349206</v>
      </c>
      <c r="L207" s="342">
        <f t="shared" si="18"/>
        <v>6.351746032</v>
      </c>
      <c r="M207" s="314"/>
      <c r="N207" s="314"/>
      <c r="O207" s="314"/>
      <c r="P207" s="314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  <c r="AN207" s="321"/>
    </row>
    <row r="208" ht="15.75" customHeight="1">
      <c r="A208" s="162" t="s">
        <v>282</v>
      </c>
      <c r="B208" s="314"/>
      <c r="C208" s="322"/>
      <c r="D208" s="467"/>
      <c r="E208" s="487" t="s">
        <v>788</v>
      </c>
      <c r="F208" s="323">
        <f t="shared" si="94"/>
        <v>4.64399093</v>
      </c>
      <c r="G208" s="323" t="s">
        <v>483</v>
      </c>
      <c r="H208" s="323">
        <f t="shared" si="92"/>
        <v>0.4760090703</v>
      </c>
      <c r="I208" s="328">
        <v>5.12</v>
      </c>
      <c r="J208" s="453">
        <f t="shared" si="93"/>
        <v>6.2464</v>
      </c>
      <c r="K208" s="341">
        <f t="shared" si="17"/>
        <v>6.501587302</v>
      </c>
      <c r="L208" s="342">
        <f t="shared" si="18"/>
        <v>7.931936508</v>
      </c>
      <c r="M208" s="314"/>
      <c r="N208" s="314"/>
      <c r="O208" s="314"/>
      <c r="P208" s="314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  <c r="AN208" s="321"/>
    </row>
    <row r="209" ht="15.75" customHeight="1">
      <c r="A209" s="162" t="s">
        <v>282</v>
      </c>
      <c r="B209" s="314"/>
      <c r="C209" s="322"/>
      <c r="D209" s="467"/>
      <c r="E209" s="487" t="s">
        <v>789</v>
      </c>
      <c r="F209" s="323">
        <f t="shared" si="94"/>
        <v>5.560090703</v>
      </c>
      <c r="G209" s="323" t="s">
        <v>483</v>
      </c>
      <c r="H209" s="323">
        <f t="shared" si="92"/>
        <v>0.5699092971</v>
      </c>
      <c r="I209" s="328">
        <v>6.13</v>
      </c>
      <c r="J209" s="453">
        <f t="shared" si="93"/>
        <v>7.4786</v>
      </c>
      <c r="K209" s="341">
        <f t="shared" si="17"/>
        <v>7.784126984</v>
      </c>
      <c r="L209" s="342">
        <f t="shared" si="18"/>
        <v>9.496634921</v>
      </c>
      <c r="M209" s="314"/>
      <c r="N209" s="314"/>
      <c r="O209" s="314"/>
      <c r="P209" s="314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  <c r="AN209" s="321"/>
    </row>
    <row r="210" ht="15.75" customHeight="1">
      <c r="A210" s="162" t="s">
        <v>282</v>
      </c>
      <c r="B210" s="314"/>
      <c r="C210" s="322"/>
      <c r="D210" s="467"/>
      <c r="E210" s="487" t="s">
        <v>790</v>
      </c>
      <c r="F210" s="323">
        <f t="shared" si="94"/>
        <v>6.648526077</v>
      </c>
      <c r="G210" s="323" t="s">
        <v>483</v>
      </c>
      <c r="H210" s="323">
        <f t="shared" si="92"/>
        <v>0.6814739229</v>
      </c>
      <c r="I210" s="328">
        <v>7.33</v>
      </c>
      <c r="J210" s="453">
        <f t="shared" si="93"/>
        <v>8.9426</v>
      </c>
      <c r="K210" s="341">
        <f t="shared" si="17"/>
        <v>9.307936508</v>
      </c>
      <c r="L210" s="342">
        <f t="shared" si="18"/>
        <v>11.35568254</v>
      </c>
      <c r="M210" s="314"/>
      <c r="N210" s="314"/>
      <c r="O210" s="314"/>
      <c r="P210" s="314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  <c r="AN210" s="321"/>
    </row>
    <row r="211" ht="15.75" customHeight="1">
      <c r="A211" s="162" t="s">
        <v>282</v>
      </c>
      <c r="B211" s="314"/>
      <c r="C211" s="322"/>
      <c r="D211" s="467"/>
      <c r="E211" s="487" t="s">
        <v>791</v>
      </c>
      <c r="F211" s="323">
        <f t="shared" si="94"/>
        <v>6.648526077</v>
      </c>
      <c r="G211" s="323" t="s">
        <v>483</v>
      </c>
      <c r="H211" s="323">
        <f t="shared" si="92"/>
        <v>0.6814739229</v>
      </c>
      <c r="I211" s="328">
        <v>7.33</v>
      </c>
      <c r="J211" s="453">
        <f t="shared" si="93"/>
        <v>8.9426</v>
      </c>
      <c r="K211" s="341">
        <f t="shared" si="17"/>
        <v>9.307936508</v>
      </c>
      <c r="L211" s="342">
        <f t="shared" si="18"/>
        <v>11.35568254</v>
      </c>
      <c r="M211" s="314"/>
      <c r="N211" s="314"/>
      <c r="O211" s="314"/>
      <c r="P211" s="314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  <c r="AN211" s="321"/>
    </row>
    <row r="212" ht="15.75" customHeight="1">
      <c r="A212" s="162" t="s">
        <v>282</v>
      </c>
      <c r="B212" s="314"/>
      <c r="C212" s="322"/>
      <c r="D212" s="467"/>
      <c r="E212" s="487" t="s">
        <v>792</v>
      </c>
      <c r="F212" s="323">
        <f t="shared" si="94"/>
        <v>6.648526077</v>
      </c>
      <c r="G212" s="323" t="s">
        <v>483</v>
      </c>
      <c r="H212" s="323">
        <f t="shared" si="92"/>
        <v>0.6814739229</v>
      </c>
      <c r="I212" s="328">
        <v>7.33</v>
      </c>
      <c r="J212" s="453">
        <f t="shared" si="93"/>
        <v>8.9426</v>
      </c>
      <c r="K212" s="341">
        <f t="shared" si="17"/>
        <v>9.307936508</v>
      </c>
      <c r="L212" s="342">
        <f t="shared" si="18"/>
        <v>11.35568254</v>
      </c>
      <c r="M212" s="314"/>
      <c r="N212" s="314"/>
      <c r="O212" s="314"/>
      <c r="P212" s="314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  <c r="AN212" s="321"/>
    </row>
    <row r="213" ht="15.75" customHeight="1">
      <c r="A213" s="162" t="s">
        <v>282</v>
      </c>
      <c r="B213" s="314"/>
      <c r="C213" s="322"/>
      <c r="D213" s="467"/>
      <c r="E213" s="487" t="s">
        <v>793</v>
      </c>
      <c r="F213" s="323">
        <f t="shared" si="94"/>
        <v>8.462585034</v>
      </c>
      <c r="G213" s="323" t="s">
        <v>483</v>
      </c>
      <c r="H213" s="323">
        <f t="shared" si="92"/>
        <v>0.867414966</v>
      </c>
      <c r="I213" s="328">
        <v>9.33</v>
      </c>
      <c r="J213" s="453">
        <f t="shared" si="93"/>
        <v>11.3826</v>
      </c>
      <c r="K213" s="341">
        <f t="shared" si="17"/>
        <v>11.84761905</v>
      </c>
      <c r="L213" s="342">
        <f t="shared" si="18"/>
        <v>14.45409524</v>
      </c>
      <c r="M213" s="314"/>
      <c r="N213" s="314"/>
      <c r="O213" s="314"/>
      <c r="P213" s="314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  <c r="AN213" s="321"/>
    </row>
    <row r="214" ht="15.75" customHeight="1">
      <c r="A214" s="162" t="s">
        <v>282</v>
      </c>
      <c r="B214" s="314"/>
      <c r="C214" s="322"/>
      <c r="D214" s="467"/>
      <c r="E214" s="487"/>
      <c r="F214" s="323">
        <f t="shared" si="94"/>
        <v>0</v>
      </c>
      <c r="G214" s="323" t="s">
        <v>483</v>
      </c>
      <c r="H214" s="323">
        <f t="shared" si="92"/>
        <v>0</v>
      </c>
      <c r="I214" s="328"/>
      <c r="J214" s="453">
        <f t="shared" si="93"/>
        <v>0</v>
      </c>
      <c r="K214" s="341">
        <f t="shared" si="17"/>
        <v>0</v>
      </c>
      <c r="L214" s="342">
        <f t="shared" si="18"/>
        <v>0</v>
      </c>
      <c r="M214" s="314"/>
      <c r="N214" s="314"/>
      <c r="O214" s="314"/>
      <c r="P214" s="314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  <c r="AN214" s="321"/>
    </row>
    <row r="215" ht="15.75" customHeight="1">
      <c r="A215" s="162" t="s">
        <v>282</v>
      </c>
      <c r="B215" s="314"/>
      <c r="C215" s="322"/>
      <c r="D215" s="467"/>
      <c r="E215" s="488"/>
      <c r="F215" s="349">
        <f t="shared" si="94"/>
        <v>0</v>
      </c>
      <c r="G215" s="349" t="s">
        <v>483</v>
      </c>
      <c r="H215" s="349">
        <f t="shared" si="92"/>
        <v>0</v>
      </c>
      <c r="I215" s="349"/>
      <c r="J215" s="489">
        <f t="shared" si="93"/>
        <v>0</v>
      </c>
      <c r="K215" s="341">
        <f t="shared" si="17"/>
        <v>0</v>
      </c>
      <c r="L215" s="342">
        <f t="shared" si="18"/>
        <v>0</v>
      </c>
      <c r="M215" s="314"/>
      <c r="N215" s="314"/>
      <c r="O215" s="314"/>
      <c r="P215" s="314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  <c r="AN215" s="321"/>
    </row>
    <row r="216" ht="15.75" customHeight="1">
      <c r="A216" s="314"/>
      <c r="B216" s="314"/>
      <c r="C216" s="314"/>
      <c r="D216" s="314"/>
      <c r="E216" s="490"/>
      <c r="F216" s="314"/>
      <c r="G216" s="314"/>
      <c r="H216" s="314"/>
      <c r="I216" s="314"/>
      <c r="J216" s="314"/>
      <c r="K216" s="341">
        <f t="shared" si="17"/>
        <v>0</v>
      </c>
      <c r="L216" s="342">
        <f t="shared" si="18"/>
        <v>0</v>
      </c>
      <c r="M216" s="314"/>
      <c r="N216" s="314"/>
      <c r="O216" s="314"/>
      <c r="P216" s="314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  <c r="AN216" s="321"/>
    </row>
    <row r="217" ht="15.75" customHeight="1">
      <c r="A217" s="314"/>
      <c r="B217" s="314"/>
      <c r="C217" s="314"/>
      <c r="D217" s="314"/>
      <c r="E217" s="490"/>
      <c r="F217" s="314"/>
      <c r="G217" s="314"/>
      <c r="H217" s="314"/>
      <c r="I217" s="314"/>
      <c r="J217" s="314"/>
      <c r="K217" s="341">
        <f t="shared" si="17"/>
        <v>0</v>
      </c>
      <c r="L217" s="342">
        <f t="shared" si="18"/>
        <v>0</v>
      </c>
      <c r="M217" s="314"/>
      <c r="N217" s="314"/>
      <c r="O217" s="314"/>
      <c r="P217" s="314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  <c r="AN217" s="321"/>
    </row>
    <row r="218" ht="32.25" customHeight="1">
      <c r="A218" s="314"/>
      <c r="B218" s="314"/>
      <c r="C218" s="314"/>
      <c r="D218" s="323"/>
      <c r="E218" s="324" t="s">
        <v>794</v>
      </c>
      <c r="F218" s="178"/>
      <c r="G218" s="178"/>
      <c r="H218" s="178"/>
      <c r="I218" s="178"/>
      <c r="J218" s="179"/>
      <c r="K218" s="341">
        <f t="shared" si="17"/>
        <v>0</v>
      </c>
      <c r="L218" s="342">
        <f t="shared" si="18"/>
        <v>0</v>
      </c>
      <c r="M218" s="314"/>
      <c r="N218" s="314"/>
      <c r="O218" s="314"/>
      <c r="P218" s="314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  <c r="AN218" s="321"/>
    </row>
    <row r="219" ht="15.75" customHeight="1">
      <c r="A219" s="314"/>
      <c r="B219" s="314"/>
      <c r="C219" s="314"/>
      <c r="D219" s="323"/>
      <c r="E219" s="469" t="s">
        <v>283</v>
      </c>
      <c r="F219" s="317" t="s">
        <v>476</v>
      </c>
      <c r="G219" s="470" t="s">
        <v>285</v>
      </c>
      <c r="H219" s="317" t="s">
        <v>286</v>
      </c>
      <c r="I219" s="471" t="s">
        <v>287</v>
      </c>
      <c r="J219" s="318" t="s">
        <v>288</v>
      </c>
      <c r="K219" s="341" t="str">
        <f t="shared" si="17"/>
        <v>#VALUE!</v>
      </c>
      <c r="L219" s="342" t="str">
        <f t="shared" si="18"/>
        <v>#VALUE!</v>
      </c>
      <c r="M219" s="314"/>
      <c r="N219" s="314"/>
      <c r="O219" s="314"/>
      <c r="P219" s="314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  <c r="AN219" s="321"/>
    </row>
    <row r="220" ht="15.75" customHeight="1">
      <c r="A220" s="314"/>
      <c r="B220" s="314"/>
      <c r="C220" s="314"/>
      <c r="D220" s="323"/>
      <c r="E220" s="491" t="s">
        <v>795</v>
      </c>
      <c r="F220" s="444"/>
      <c r="G220" s="445"/>
      <c r="H220" s="403"/>
      <c r="I220" s="446"/>
      <c r="J220" s="447"/>
      <c r="K220" s="341">
        <f t="shared" si="17"/>
        <v>0</v>
      </c>
      <c r="L220" s="342">
        <f t="shared" si="18"/>
        <v>0</v>
      </c>
      <c r="M220" s="314"/>
      <c r="N220" s="314"/>
      <c r="O220" s="314"/>
      <c r="P220" s="314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  <c r="AN220" s="321"/>
    </row>
    <row r="221" ht="15.75" customHeight="1">
      <c r="A221" s="162" t="s">
        <v>282</v>
      </c>
      <c r="B221" s="314"/>
      <c r="C221" s="322"/>
      <c r="D221" s="467" t="s">
        <v>796</v>
      </c>
      <c r="E221" s="492" t="s">
        <v>797</v>
      </c>
      <c r="F221" s="323">
        <f t="shared" ref="F221:F267" si="95">(I221/1.05)/1.05</f>
        <v>7.700680272</v>
      </c>
      <c r="G221" s="403" t="s">
        <v>483</v>
      </c>
      <c r="H221" s="323">
        <f t="shared" ref="H221:H276" si="96">I221-F221</f>
        <v>0.7893197279</v>
      </c>
      <c r="I221" s="323">
        <v>8.49</v>
      </c>
      <c r="J221" s="361">
        <f t="shared" ref="J221:J276" si="97">I221*1.22</f>
        <v>10.3578</v>
      </c>
      <c r="K221" s="341">
        <f t="shared" si="17"/>
        <v>10.78095238</v>
      </c>
      <c r="L221" s="342">
        <f t="shared" si="18"/>
        <v>13.1527619</v>
      </c>
      <c r="M221" s="314"/>
      <c r="N221" s="314"/>
      <c r="O221" s="314"/>
      <c r="P221" s="314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  <c r="AN221" s="321"/>
    </row>
    <row r="222" ht="15.75" customHeight="1">
      <c r="A222" s="162" t="s">
        <v>282</v>
      </c>
      <c r="B222" s="314"/>
      <c r="C222" s="322"/>
      <c r="D222" s="467" t="s">
        <v>798</v>
      </c>
      <c r="E222" s="492" t="s">
        <v>799</v>
      </c>
      <c r="F222" s="323">
        <f t="shared" si="95"/>
        <v>9.115646259</v>
      </c>
      <c r="G222" s="403" t="s">
        <v>483</v>
      </c>
      <c r="H222" s="323">
        <f t="shared" si="96"/>
        <v>0.9343537415</v>
      </c>
      <c r="I222" s="323">
        <v>10.05</v>
      </c>
      <c r="J222" s="361">
        <f t="shared" si="97"/>
        <v>12.261</v>
      </c>
      <c r="K222" s="341">
        <f t="shared" si="17"/>
        <v>12.76190476</v>
      </c>
      <c r="L222" s="342">
        <f t="shared" si="18"/>
        <v>15.56952381</v>
      </c>
      <c r="M222" s="314"/>
      <c r="N222" s="314"/>
      <c r="O222" s="314"/>
      <c r="P222" s="314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  <c r="AN222" s="321"/>
    </row>
    <row r="223" ht="15.75" customHeight="1">
      <c r="A223" s="162" t="s">
        <v>282</v>
      </c>
      <c r="B223" s="314"/>
      <c r="C223" s="322"/>
      <c r="D223" s="467" t="s">
        <v>800</v>
      </c>
      <c r="E223" s="492" t="s">
        <v>801</v>
      </c>
      <c r="F223" s="323">
        <f t="shared" si="95"/>
        <v>12.11791383</v>
      </c>
      <c r="G223" s="403" t="s">
        <v>483</v>
      </c>
      <c r="H223" s="323">
        <f t="shared" si="96"/>
        <v>1.242086168</v>
      </c>
      <c r="I223" s="323">
        <v>13.36</v>
      </c>
      <c r="J223" s="361">
        <f t="shared" si="97"/>
        <v>16.2992</v>
      </c>
      <c r="K223" s="341">
        <f t="shared" si="17"/>
        <v>16.96507937</v>
      </c>
      <c r="L223" s="342">
        <f t="shared" si="18"/>
        <v>20.69739683</v>
      </c>
      <c r="M223" s="314"/>
      <c r="N223" s="314"/>
      <c r="O223" s="314"/>
      <c r="P223" s="314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  <c r="AN223" s="321"/>
    </row>
    <row r="224" ht="15.75" customHeight="1">
      <c r="A224" s="162" t="s">
        <v>282</v>
      </c>
      <c r="B224" s="314"/>
      <c r="C224" s="322"/>
      <c r="D224" s="467" t="s">
        <v>802</v>
      </c>
      <c r="E224" s="492" t="s">
        <v>803</v>
      </c>
      <c r="F224" s="323">
        <f t="shared" si="95"/>
        <v>15.70068027</v>
      </c>
      <c r="G224" s="403" t="s">
        <v>483</v>
      </c>
      <c r="H224" s="323">
        <f t="shared" si="96"/>
        <v>1.609319728</v>
      </c>
      <c r="I224" s="323">
        <v>17.31</v>
      </c>
      <c r="J224" s="361">
        <f t="shared" si="97"/>
        <v>21.1182</v>
      </c>
      <c r="K224" s="341">
        <f t="shared" si="17"/>
        <v>21.98095238</v>
      </c>
      <c r="L224" s="342">
        <f t="shared" si="18"/>
        <v>26.8167619</v>
      </c>
      <c r="M224" s="314"/>
      <c r="N224" s="314"/>
      <c r="O224" s="314"/>
      <c r="P224" s="314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  <c r="AN224" s="321"/>
    </row>
    <row r="225" ht="15.75" customHeight="1">
      <c r="A225" s="162" t="s">
        <v>282</v>
      </c>
      <c r="B225" s="314"/>
      <c r="C225" s="322"/>
      <c r="D225" s="467" t="s">
        <v>804</v>
      </c>
      <c r="E225" s="492" t="s">
        <v>805</v>
      </c>
      <c r="F225" s="323">
        <f t="shared" si="95"/>
        <v>18.53968254</v>
      </c>
      <c r="G225" s="403" t="s">
        <v>483</v>
      </c>
      <c r="H225" s="323">
        <f t="shared" si="96"/>
        <v>1.90031746</v>
      </c>
      <c r="I225" s="323">
        <v>20.44</v>
      </c>
      <c r="J225" s="361">
        <f t="shared" si="97"/>
        <v>24.9368</v>
      </c>
      <c r="K225" s="341">
        <f t="shared" si="17"/>
        <v>25.95555556</v>
      </c>
      <c r="L225" s="342">
        <f t="shared" si="18"/>
        <v>31.66577778</v>
      </c>
      <c r="M225" s="314"/>
      <c r="N225" s="314"/>
      <c r="O225" s="314"/>
      <c r="P225" s="314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  <c r="AN225" s="321"/>
    </row>
    <row r="226" ht="15.75" customHeight="1">
      <c r="A226" s="162" t="s">
        <v>282</v>
      </c>
      <c r="B226" s="314"/>
      <c r="C226" s="322"/>
      <c r="D226" s="467" t="s">
        <v>806</v>
      </c>
      <c r="E226" s="492" t="s">
        <v>807</v>
      </c>
      <c r="F226" s="323">
        <f t="shared" si="95"/>
        <v>25.64172336</v>
      </c>
      <c r="G226" s="403" t="s">
        <v>483</v>
      </c>
      <c r="H226" s="323">
        <f t="shared" si="96"/>
        <v>2.628276644</v>
      </c>
      <c r="I226" s="323">
        <v>28.27</v>
      </c>
      <c r="J226" s="361">
        <f t="shared" si="97"/>
        <v>34.4894</v>
      </c>
      <c r="K226" s="341">
        <f t="shared" si="17"/>
        <v>35.8984127</v>
      </c>
      <c r="L226" s="342">
        <f t="shared" si="18"/>
        <v>43.79606349</v>
      </c>
      <c r="M226" s="314"/>
      <c r="N226" s="314"/>
      <c r="O226" s="314"/>
      <c r="P226" s="314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  <c r="AN226" s="321"/>
    </row>
    <row r="227" ht="15.75" customHeight="1">
      <c r="A227" s="162" t="s">
        <v>282</v>
      </c>
      <c r="B227" s="314"/>
      <c r="C227" s="322"/>
      <c r="D227" s="467" t="s">
        <v>808</v>
      </c>
      <c r="E227" s="493" t="s">
        <v>809</v>
      </c>
      <c r="F227" s="349">
        <f t="shared" si="95"/>
        <v>32.22675737</v>
      </c>
      <c r="G227" s="426" t="s">
        <v>483</v>
      </c>
      <c r="H227" s="349">
        <f t="shared" si="96"/>
        <v>3.30324263</v>
      </c>
      <c r="I227" s="349">
        <v>35.53</v>
      </c>
      <c r="J227" s="372">
        <f t="shared" si="97"/>
        <v>43.3466</v>
      </c>
      <c r="K227" s="341">
        <f t="shared" si="17"/>
        <v>45.11746032</v>
      </c>
      <c r="L227" s="342">
        <f t="shared" si="18"/>
        <v>55.04330159</v>
      </c>
      <c r="M227" s="314"/>
      <c r="N227" s="314"/>
      <c r="O227" s="314"/>
      <c r="P227" s="314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  <c r="AN227" s="321"/>
    </row>
    <row r="228" ht="15.75" customHeight="1">
      <c r="A228" s="162" t="s">
        <v>282</v>
      </c>
      <c r="B228" s="314"/>
      <c r="C228" s="322"/>
      <c r="D228" s="467" t="s">
        <v>810</v>
      </c>
      <c r="E228" s="494" t="s">
        <v>811</v>
      </c>
      <c r="F228" s="403">
        <f t="shared" si="95"/>
        <v>11.51927438</v>
      </c>
      <c r="G228" s="403" t="s">
        <v>483</v>
      </c>
      <c r="H228" s="403">
        <f t="shared" si="96"/>
        <v>1.180725624</v>
      </c>
      <c r="I228" s="403">
        <v>12.7</v>
      </c>
      <c r="J228" s="415">
        <f t="shared" si="97"/>
        <v>15.494</v>
      </c>
      <c r="K228" s="341">
        <f t="shared" si="17"/>
        <v>16.12698413</v>
      </c>
      <c r="L228" s="342">
        <f t="shared" si="18"/>
        <v>19.67492063</v>
      </c>
      <c r="M228" s="314"/>
      <c r="N228" s="314"/>
      <c r="O228" s="314"/>
      <c r="P228" s="314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  <c r="AN228" s="321"/>
    </row>
    <row r="229" ht="15.75" customHeight="1">
      <c r="A229" s="162" t="s">
        <v>282</v>
      </c>
      <c r="B229" s="314"/>
      <c r="C229" s="322"/>
      <c r="D229" s="467" t="s">
        <v>812</v>
      </c>
      <c r="E229" s="492" t="s">
        <v>813</v>
      </c>
      <c r="F229" s="323">
        <f t="shared" si="95"/>
        <v>15.8185941</v>
      </c>
      <c r="G229" s="403" t="s">
        <v>483</v>
      </c>
      <c r="H229" s="323">
        <f t="shared" si="96"/>
        <v>1.621405896</v>
      </c>
      <c r="I229" s="323">
        <v>17.44</v>
      </c>
      <c r="J229" s="361">
        <f t="shared" si="97"/>
        <v>21.2768</v>
      </c>
      <c r="K229" s="341">
        <f t="shared" si="17"/>
        <v>22.14603175</v>
      </c>
      <c r="L229" s="342">
        <f t="shared" si="18"/>
        <v>27.01815873</v>
      </c>
      <c r="M229" s="314"/>
      <c r="N229" s="314"/>
      <c r="O229" s="314"/>
      <c r="P229" s="314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  <c r="AN229" s="321"/>
    </row>
    <row r="230" ht="15.75" customHeight="1">
      <c r="A230" s="162" t="s">
        <v>282</v>
      </c>
      <c r="B230" s="314"/>
      <c r="C230" s="322"/>
      <c r="D230" s="467" t="s">
        <v>814</v>
      </c>
      <c r="E230" s="492" t="s">
        <v>815</v>
      </c>
      <c r="F230" s="323">
        <f t="shared" si="95"/>
        <v>20.61678005</v>
      </c>
      <c r="G230" s="403" t="s">
        <v>483</v>
      </c>
      <c r="H230" s="323">
        <f t="shared" si="96"/>
        <v>2.113219955</v>
      </c>
      <c r="I230" s="323">
        <v>22.73</v>
      </c>
      <c r="J230" s="361">
        <f t="shared" si="97"/>
        <v>27.7306</v>
      </c>
      <c r="K230" s="341">
        <f t="shared" si="17"/>
        <v>28.86349206</v>
      </c>
      <c r="L230" s="342">
        <f t="shared" si="18"/>
        <v>35.21346032</v>
      </c>
      <c r="M230" s="314"/>
      <c r="N230" s="314"/>
      <c r="O230" s="314"/>
      <c r="P230" s="314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  <c r="AN230" s="321"/>
    </row>
    <row r="231" ht="15.75" customHeight="1">
      <c r="A231" s="162" t="s">
        <v>282</v>
      </c>
      <c r="B231" s="314"/>
      <c r="C231" s="322"/>
      <c r="D231" s="467" t="s">
        <v>816</v>
      </c>
      <c r="E231" s="492" t="s">
        <v>817</v>
      </c>
      <c r="F231" s="323">
        <f t="shared" si="95"/>
        <v>24.72562358</v>
      </c>
      <c r="G231" s="403" t="s">
        <v>483</v>
      </c>
      <c r="H231" s="323">
        <f t="shared" si="96"/>
        <v>2.534376417</v>
      </c>
      <c r="I231" s="323">
        <v>27.26</v>
      </c>
      <c r="J231" s="361">
        <f t="shared" si="97"/>
        <v>33.2572</v>
      </c>
      <c r="K231" s="341">
        <f t="shared" si="17"/>
        <v>34.61587302</v>
      </c>
      <c r="L231" s="342">
        <f t="shared" si="18"/>
        <v>42.23136508</v>
      </c>
      <c r="M231" s="314"/>
      <c r="N231" s="314"/>
      <c r="O231" s="314"/>
      <c r="P231" s="314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  <c r="AN231" s="321"/>
    </row>
    <row r="232" ht="15.75" customHeight="1">
      <c r="A232" s="162" t="s">
        <v>282</v>
      </c>
      <c r="B232" s="314"/>
      <c r="C232" s="322"/>
      <c r="D232" s="467" t="s">
        <v>818</v>
      </c>
      <c r="E232" s="492" t="s">
        <v>819</v>
      </c>
      <c r="F232" s="323">
        <f t="shared" si="95"/>
        <v>32.97052154</v>
      </c>
      <c r="G232" s="403" t="s">
        <v>483</v>
      </c>
      <c r="H232" s="323">
        <f t="shared" si="96"/>
        <v>3.379478458</v>
      </c>
      <c r="I232" s="323">
        <v>36.35</v>
      </c>
      <c r="J232" s="361">
        <f t="shared" si="97"/>
        <v>44.347</v>
      </c>
      <c r="K232" s="341">
        <f t="shared" si="17"/>
        <v>46.15873016</v>
      </c>
      <c r="L232" s="342">
        <f t="shared" si="18"/>
        <v>56.31365079</v>
      </c>
      <c r="M232" s="314"/>
      <c r="N232" s="314"/>
      <c r="O232" s="314"/>
      <c r="P232" s="314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  <c r="AN232" s="321"/>
    </row>
    <row r="233" ht="15.75" customHeight="1">
      <c r="A233" s="162" t="s">
        <v>282</v>
      </c>
      <c r="B233" s="314"/>
      <c r="C233" s="322"/>
      <c r="D233" s="467" t="s">
        <v>820</v>
      </c>
      <c r="E233" s="493" t="s">
        <v>821</v>
      </c>
      <c r="F233" s="349">
        <f t="shared" si="95"/>
        <v>42.62131519</v>
      </c>
      <c r="G233" s="426" t="s">
        <v>483</v>
      </c>
      <c r="H233" s="349">
        <f t="shared" si="96"/>
        <v>4.368684807</v>
      </c>
      <c r="I233" s="349">
        <v>46.99</v>
      </c>
      <c r="J233" s="372">
        <f t="shared" si="97"/>
        <v>57.3278</v>
      </c>
      <c r="K233" s="341">
        <f t="shared" si="17"/>
        <v>59.66984127</v>
      </c>
      <c r="L233" s="342">
        <f t="shared" si="18"/>
        <v>72.79720635</v>
      </c>
      <c r="M233" s="314"/>
      <c r="N233" s="314"/>
      <c r="O233" s="314"/>
      <c r="P233" s="314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  <c r="AN233" s="321"/>
    </row>
    <row r="234" ht="15.75" customHeight="1">
      <c r="A234" s="162" t="s">
        <v>282</v>
      </c>
      <c r="B234" s="314"/>
      <c r="C234" s="322"/>
      <c r="D234" s="467" t="s">
        <v>822</v>
      </c>
      <c r="E234" s="492" t="s">
        <v>823</v>
      </c>
      <c r="F234" s="403">
        <f t="shared" si="95"/>
        <v>23.26530612</v>
      </c>
      <c r="G234" s="403" t="s">
        <v>483</v>
      </c>
      <c r="H234" s="403">
        <f t="shared" si="96"/>
        <v>2.384693878</v>
      </c>
      <c r="I234" s="403">
        <v>25.65</v>
      </c>
      <c r="J234" s="415">
        <f t="shared" si="97"/>
        <v>31.293</v>
      </c>
      <c r="K234" s="341">
        <f t="shared" si="17"/>
        <v>32.57142857</v>
      </c>
      <c r="L234" s="342">
        <f t="shared" si="18"/>
        <v>39.73714286</v>
      </c>
      <c r="M234" s="314"/>
      <c r="N234" s="314"/>
      <c r="O234" s="314"/>
      <c r="P234" s="314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  <c r="AN234" s="321"/>
    </row>
    <row r="235" ht="15.75" customHeight="1">
      <c r="A235" s="162" t="s">
        <v>282</v>
      </c>
      <c r="B235" s="314"/>
      <c r="C235" s="322"/>
      <c r="D235" s="467" t="s">
        <v>824</v>
      </c>
      <c r="E235" s="492" t="s">
        <v>825</v>
      </c>
      <c r="F235" s="323">
        <f t="shared" si="95"/>
        <v>29.87755102</v>
      </c>
      <c r="G235" s="403" t="s">
        <v>483</v>
      </c>
      <c r="H235" s="323">
        <f t="shared" si="96"/>
        <v>3.06244898</v>
      </c>
      <c r="I235" s="323">
        <v>32.94</v>
      </c>
      <c r="J235" s="361">
        <f t="shared" si="97"/>
        <v>40.1868</v>
      </c>
      <c r="K235" s="341">
        <f t="shared" si="17"/>
        <v>41.82857143</v>
      </c>
      <c r="L235" s="342">
        <f t="shared" si="18"/>
        <v>51.03085714</v>
      </c>
      <c r="M235" s="314"/>
      <c r="N235" s="314"/>
      <c r="O235" s="314"/>
      <c r="P235" s="314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  <c r="AN235" s="321"/>
    </row>
    <row r="236" ht="15.75" customHeight="1">
      <c r="A236" s="162" t="s">
        <v>282</v>
      </c>
      <c r="B236" s="314"/>
      <c r="C236" s="322"/>
      <c r="D236" s="467" t="s">
        <v>826</v>
      </c>
      <c r="E236" s="493" t="s">
        <v>827</v>
      </c>
      <c r="F236" s="349">
        <f t="shared" si="95"/>
        <v>49.66893424</v>
      </c>
      <c r="G236" s="426" t="s">
        <v>483</v>
      </c>
      <c r="H236" s="349">
        <f t="shared" si="96"/>
        <v>5.09106576</v>
      </c>
      <c r="I236" s="349">
        <v>54.76</v>
      </c>
      <c r="J236" s="372">
        <f t="shared" si="97"/>
        <v>66.8072</v>
      </c>
      <c r="K236" s="341">
        <f t="shared" si="17"/>
        <v>69.53650794</v>
      </c>
      <c r="L236" s="342">
        <f t="shared" si="18"/>
        <v>84.83453968</v>
      </c>
      <c r="M236" s="314"/>
      <c r="N236" s="314"/>
      <c r="O236" s="314"/>
      <c r="P236" s="314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  <c r="AN236" s="321"/>
    </row>
    <row r="237" ht="15.75" customHeight="1">
      <c r="A237" s="162" t="s">
        <v>282</v>
      </c>
      <c r="B237" s="314"/>
      <c r="C237" s="322"/>
      <c r="D237" s="467" t="s">
        <v>828</v>
      </c>
      <c r="E237" s="495" t="s">
        <v>829</v>
      </c>
      <c r="F237" s="323">
        <f t="shared" si="95"/>
        <v>11.70068027</v>
      </c>
      <c r="G237" s="403" t="s">
        <v>483</v>
      </c>
      <c r="H237" s="323">
        <f t="shared" si="96"/>
        <v>1.199319728</v>
      </c>
      <c r="I237" s="323">
        <v>12.9</v>
      </c>
      <c r="J237" s="361">
        <f t="shared" si="97"/>
        <v>15.738</v>
      </c>
      <c r="K237" s="341">
        <f t="shared" si="17"/>
        <v>16.38095238</v>
      </c>
      <c r="L237" s="342">
        <f t="shared" si="18"/>
        <v>19.9847619</v>
      </c>
      <c r="M237" s="314"/>
      <c r="N237" s="314"/>
      <c r="O237" s="314"/>
      <c r="P237" s="314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  <c r="AN237" s="321"/>
    </row>
    <row r="238" ht="15.75" customHeight="1">
      <c r="A238" s="162" t="s">
        <v>282</v>
      </c>
      <c r="B238" s="314"/>
      <c r="C238" s="322"/>
      <c r="D238" s="467" t="s">
        <v>830</v>
      </c>
      <c r="E238" s="495" t="s">
        <v>831</v>
      </c>
      <c r="F238" s="323">
        <f t="shared" si="95"/>
        <v>14.9569161</v>
      </c>
      <c r="G238" s="403" t="s">
        <v>483</v>
      </c>
      <c r="H238" s="323">
        <f t="shared" si="96"/>
        <v>1.5330839</v>
      </c>
      <c r="I238" s="323">
        <v>16.49</v>
      </c>
      <c r="J238" s="361">
        <f t="shared" si="97"/>
        <v>20.1178</v>
      </c>
      <c r="K238" s="341">
        <f t="shared" si="17"/>
        <v>20.93968254</v>
      </c>
      <c r="L238" s="342">
        <f t="shared" si="18"/>
        <v>25.5464127</v>
      </c>
      <c r="M238" s="314"/>
      <c r="N238" s="314"/>
      <c r="O238" s="314"/>
      <c r="P238" s="314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  <c r="AN238" s="321"/>
    </row>
    <row r="239" ht="15.75" customHeight="1">
      <c r="A239" s="162" t="s">
        <v>282</v>
      </c>
      <c r="B239" s="314"/>
      <c r="C239" s="322"/>
      <c r="D239" s="467" t="s">
        <v>832</v>
      </c>
      <c r="E239" s="495" t="s">
        <v>833</v>
      </c>
      <c r="F239" s="323">
        <f t="shared" si="95"/>
        <v>18.17687075</v>
      </c>
      <c r="G239" s="403" t="s">
        <v>483</v>
      </c>
      <c r="H239" s="323">
        <f t="shared" si="96"/>
        <v>1.863129252</v>
      </c>
      <c r="I239" s="323">
        <v>20.04</v>
      </c>
      <c r="J239" s="361">
        <f t="shared" si="97"/>
        <v>24.4488</v>
      </c>
      <c r="K239" s="341">
        <f t="shared" si="17"/>
        <v>25.44761905</v>
      </c>
      <c r="L239" s="342">
        <f t="shared" si="18"/>
        <v>31.04609524</v>
      </c>
      <c r="M239" s="314"/>
      <c r="N239" s="314"/>
      <c r="O239" s="314"/>
      <c r="P239" s="314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  <c r="AN239" s="321"/>
    </row>
    <row r="240" ht="15.75" customHeight="1">
      <c r="A240" s="162" t="s">
        <v>282</v>
      </c>
      <c r="B240" s="314"/>
      <c r="C240" s="322"/>
      <c r="D240" s="467" t="s">
        <v>834</v>
      </c>
      <c r="E240" s="495" t="s">
        <v>835</v>
      </c>
      <c r="F240" s="323">
        <f t="shared" si="95"/>
        <v>21.94104308</v>
      </c>
      <c r="G240" s="403" t="s">
        <v>483</v>
      </c>
      <c r="H240" s="323">
        <f t="shared" si="96"/>
        <v>2.248956916</v>
      </c>
      <c r="I240" s="323">
        <v>24.19</v>
      </c>
      <c r="J240" s="361">
        <f t="shared" si="97"/>
        <v>29.5118</v>
      </c>
      <c r="K240" s="341">
        <f t="shared" si="17"/>
        <v>30.71746032</v>
      </c>
      <c r="L240" s="342">
        <f t="shared" si="18"/>
        <v>37.47530159</v>
      </c>
      <c r="M240" s="314"/>
      <c r="N240" s="314"/>
      <c r="O240" s="314"/>
      <c r="P240" s="314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  <c r="AN240" s="321"/>
    </row>
    <row r="241" ht="15.75" customHeight="1">
      <c r="A241" s="162" t="s">
        <v>282</v>
      </c>
      <c r="B241" s="314"/>
      <c r="C241" s="322"/>
      <c r="D241" s="467" t="s">
        <v>836</v>
      </c>
      <c r="E241" s="495" t="s">
        <v>837</v>
      </c>
      <c r="F241" s="323">
        <f t="shared" si="95"/>
        <v>24.61678005</v>
      </c>
      <c r="G241" s="403" t="s">
        <v>483</v>
      </c>
      <c r="H241" s="323">
        <f t="shared" si="96"/>
        <v>2.523219955</v>
      </c>
      <c r="I241" s="323">
        <v>27.14</v>
      </c>
      <c r="J241" s="361">
        <f t="shared" si="97"/>
        <v>33.1108</v>
      </c>
      <c r="K241" s="341">
        <f t="shared" si="17"/>
        <v>34.46349206</v>
      </c>
      <c r="L241" s="342">
        <f t="shared" si="18"/>
        <v>42.04546032</v>
      </c>
      <c r="M241" s="314"/>
      <c r="N241" s="314"/>
      <c r="O241" s="314"/>
      <c r="P241" s="314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  <c r="AN241" s="321"/>
    </row>
    <row r="242" ht="15.75" customHeight="1">
      <c r="A242" s="162" t="s">
        <v>282</v>
      </c>
      <c r="B242" s="314"/>
      <c r="C242" s="322"/>
      <c r="D242" s="467" t="s">
        <v>838</v>
      </c>
      <c r="E242" s="495" t="s">
        <v>839</v>
      </c>
      <c r="F242" s="323">
        <f t="shared" si="95"/>
        <v>31.09297052</v>
      </c>
      <c r="G242" s="403" t="s">
        <v>483</v>
      </c>
      <c r="H242" s="323">
        <f t="shared" si="96"/>
        <v>3.187029478</v>
      </c>
      <c r="I242" s="323">
        <v>34.28</v>
      </c>
      <c r="J242" s="361">
        <f t="shared" si="97"/>
        <v>41.8216</v>
      </c>
      <c r="K242" s="341">
        <f t="shared" si="17"/>
        <v>43.53015873</v>
      </c>
      <c r="L242" s="342">
        <f t="shared" si="18"/>
        <v>53.10679365</v>
      </c>
      <c r="M242" s="314"/>
      <c r="N242" s="314"/>
      <c r="O242" s="314"/>
      <c r="P242" s="314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  <c r="AN242" s="321"/>
    </row>
    <row r="243" ht="15.75" customHeight="1">
      <c r="A243" s="162" t="s">
        <v>282</v>
      </c>
      <c r="B243" s="314"/>
      <c r="C243" s="322"/>
      <c r="D243" s="467" t="s">
        <v>840</v>
      </c>
      <c r="E243" s="495" t="s">
        <v>841</v>
      </c>
      <c r="F243" s="323">
        <f t="shared" si="95"/>
        <v>38.51247166</v>
      </c>
      <c r="G243" s="403" t="s">
        <v>483</v>
      </c>
      <c r="H243" s="323">
        <f t="shared" si="96"/>
        <v>3.947528345</v>
      </c>
      <c r="I243" s="323">
        <v>42.46</v>
      </c>
      <c r="J243" s="361">
        <f t="shared" si="97"/>
        <v>51.8012</v>
      </c>
      <c r="K243" s="341">
        <f t="shared" si="17"/>
        <v>53.91746032</v>
      </c>
      <c r="L243" s="342">
        <f t="shared" si="18"/>
        <v>65.77930159</v>
      </c>
      <c r="M243" s="314"/>
      <c r="N243" s="314"/>
      <c r="O243" s="314"/>
      <c r="P243" s="314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  <c r="AN243" s="321"/>
    </row>
    <row r="244" ht="15.75" customHeight="1">
      <c r="A244" s="162" t="s">
        <v>282</v>
      </c>
      <c r="B244" s="314"/>
      <c r="C244" s="322"/>
      <c r="D244" s="467" t="s">
        <v>842</v>
      </c>
      <c r="E244" s="495" t="s">
        <v>843</v>
      </c>
      <c r="F244" s="323">
        <f t="shared" si="95"/>
        <v>52.02721088</v>
      </c>
      <c r="G244" s="403" t="s">
        <v>483</v>
      </c>
      <c r="H244" s="323">
        <f t="shared" si="96"/>
        <v>5.332789116</v>
      </c>
      <c r="I244" s="323">
        <v>57.36</v>
      </c>
      <c r="J244" s="361">
        <f t="shared" si="97"/>
        <v>69.9792</v>
      </c>
      <c r="K244" s="341">
        <f t="shared" si="17"/>
        <v>72.83809524</v>
      </c>
      <c r="L244" s="342">
        <f t="shared" si="18"/>
        <v>88.86247619</v>
      </c>
      <c r="M244" s="314"/>
      <c r="N244" s="314"/>
      <c r="O244" s="314"/>
      <c r="P244" s="314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  <c r="AN244" s="321"/>
    </row>
    <row r="245" ht="15.75" customHeight="1">
      <c r="A245" s="162" t="s">
        <v>282</v>
      </c>
      <c r="B245" s="314"/>
      <c r="C245" s="322"/>
      <c r="D245" s="467" t="s">
        <v>844</v>
      </c>
      <c r="E245" s="496" t="s">
        <v>845</v>
      </c>
      <c r="F245" s="349">
        <f t="shared" si="95"/>
        <v>68.04535147</v>
      </c>
      <c r="G245" s="426" t="s">
        <v>483</v>
      </c>
      <c r="H245" s="349">
        <f t="shared" si="96"/>
        <v>6.974648526</v>
      </c>
      <c r="I245" s="349">
        <v>75.02</v>
      </c>
      <c r="J245" s="372">
        <f t="shared" si="97"/>
        <v>91.5244</v>
      </c>
      <c r="K245" s="341">
        <f t="shared" si="17"/>
        <v>95.26349206</v>
      </c>
      <c r="L245" s="342">
        <f t="shared" si="18"/>
        <v>116.2214603</v>
      </c>
      <c r="M245" s="314"/>
      <c r="N245" s="314"/>
      <c r="O245" s="314"/>
      <c r="P245" s="314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  <c r="AN245" s="321"/>
    </row>
    <row r="246" ht="15.75" customHeight="1">
      <c r="A246" s="162" t="s">
        <v>282</v>
      </c>
      <c r="B246" s="314"/>
      <c r="C246" s="322"/>
      <c r="D246" s="467" t="s">
        <v>846</v>
      </c>
      <c r="E246" s="497" t="s">
        <v>847</v>
      </c>
      <c r="F246" s="403">
        <f t="shared" si="95"/>
        <v>15.138322</v>
      </c>
      <c r="G246" s="403" t="s">
        <v>483</v>
      </c>
      <c r="H246" s="403">
        <f t="shared" si="96"/>
        <v>1.551678005</v>
      </c>
      <c r="I246" s="403">
        <v>16.69</v>
      </c>
      <c r="J246" s="415">
        <f t="shared" si="97"/>
        <v>20.3618</v>
      </c>
      <c r="K246" s="341">
        <f t="shared" si="17"/>
        <v>21.19365079</v>
      </c>
      <c r="L246" s="342">
        <f t="shared" si="18"/>
        <v>25.85625397</v>
      </c>
      <c r="M246" s="314"/>
      <c r="N246" s="314"/>
      <c r="O246" s="314"/>
      <c r="P246" s="314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  <c r="AN246" s="321"/>
    </row>
    <row r="247" ht="15.75" customHeight="1">
      <c r="A247" s="162" t="s">
        <v>282</v>
      </c>
      <c r="B247" s="314"/>
      <c r="C247" s="322"/>
      <c r="D247" s="467" t="s">
        <v>848</v>
      </c>
      <c r="E247" s="495" t="s">
        <v>849</v>
      </c>
      <c r="F247" s="323">
        <f t="shared" si="95"/>
        <v>20.24489796</v>
      </c>
      <c r="G247" s="403" t="s">
        <v>483</v>
      </c>
      <c r="H247" s="323">
        <f t="shared" si="96"/>
        <v>2.075102041</v>
      </c>
      <c r="I247" s="323">
        <v>22.32</v>
      </c>
      <c r="J247" s="361">
        <f t="shared" si="97"/>
        <v>27.2304</v>
      </c>
      <c r="K247" s="341">
        <f t="shared" si="17"/>
        <v>28.34285714</v>
      </c>
      <c r="L247" s="342">
        <f t="shared" si="18"/>
        <v>34.57828571</v>
      </c>
      <c r="M247" s="314"/>
      <c r="N247" s="314"/>
      <c r="O247" s="314"/>
      <c r="P247" s="314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  <c r="AN247" s="321"/>
    </row>
    <row r="248" ht="15.75" customHeight="1">
      <c r="A248" s="162" t="s">
        <v>282</v>
      </c>
      <c r="B248" s="314"/>
      <c r="C248" s="322"/>
      <c r="D248" s="467" t="s">
        <v>850</v>
      </c>
      <c r="E248" s="495" t="s">
        <v>851</v>
      </c>
      <c r="F248" s="323">
        <f t="shared" si="95"/>
        <v>23.71882086</v>
      </c>
      <c r="G248" s="403" t="s">
        <v>483</v>
      </c>
      <c r="H248" s="323">
        <f t="shared" si="96"/>
        <v>2.431179138</v>
      </c>
      <c r="I248" s="323">
        <v>26.15</v>
      </c>
      <c r="J248" s="361">
        <f t="shared" si="97"/>
        <v>31.903</v>
      </c>
      <c r="K248" s="341">
        <f t="shared" si="17"/>
        <v>33.20634921</v>
      </c>
      <c r="L248" s="342">
        <f t="shared" si="18"/>
        <v>40.51174603</v>
      </c>
      <c r="M248" s="314"/>
      <c r="N248" s="314"/>
      <c r="O248" s="314"/>
      <c r="P248" s="314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  <c r="AN248" s="321"/>
    </row>
    <row r="249" ht="15.75" customHeight="1">
      <c r="A249" s="162" t="s">
        <v>282</v>
      </c>
      <c r="B249" s="314"/>
      <c r="C249" s="322"/>
      <c r="D249" s="467" t="s">
        <v>852</v>
      </c>
      <c r="E249" s="495" t="s">
        <v>853</v>
      </c>
      <c r="F249" s="323">
        <f t="shared" si="95"/>
        <v>32.32653061</v>
      </c>
      <c r="G249" s="403" t="s">
        <v>483</v>
      </c>
      <c r="H249" s="323">
        <f t="shared" si="96"/>
        <v>3.313469388</v>
      </c>
      <c r="I249" s="323">
        <v>35.64</v>
      </c>
      <c r="J249" s="361">
        <f t="shared" si="97"/>
        <v>43.4808</v>
      </c>
      <c r="K249" s="341">
        <f t="shared" si="17"/>
        <v>45.25714286</v>
      </c>
      <c r="L249" s="342">
        <f t="shared" si="18"/>
        <v>55.21371429</v>
      </c>
      <c r="M249" s="314"/>
      <c r="N249" s="314"/>
      <c r="O249" s="314"/>
      <c r="P249" s="314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  <c r="AN249" s="321"/>
    </row>
    <row r="250" ht="15.75" customHeight="1">
      <c r="A250" s="162" t="s">
        <v>282</v>
      </c>
      <c r="B250" s="314"/>
      <c r="C250" s="322"/>
      <c r="D250" s="467" t="s">
        <v>854</v>
      </c>
      <c r="E250" s="495" t="s">
        <v>855</v>
      </c>
      <c r="F250" s="323">
        <f t="shared" si="95"/>
        <v>40.92517007</v>
      </c>
      <c r="G250" s="403" t="s">
        <v>483</v>
      </c>
      <c r="H250" s="323">
        <f t="shared" si="96"/>
        <v>4.194829932</v>
      </c>
      <c r="I250" s="323">
        <v>45.12</v>
      </c>
      <c r="J250" s="361">
        <f t="shared" si="97"/>
        <v>55.0464</v>
      </c>
      <c r="K250" s="341">
        <f t="shared" si="17"/>
        <v>57.2952381</v>
      </c>
      <c r="L250" s="342">
        <f t="shared" si="18"/>
        <v>69.90019048</v>
      </c>
      <c r="M250" s="314"/>
      <c r="N250" s="314"/>
      <c r="O250" s="314"/>
      <c r="P250" s="314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  <c r="AN250" s="321"/>
    </row>
    <row r="251" ht="15.75" customHeight="1">
      <c r="A251" s="162" t="s">
        <v>282</v>
      </c>
      <c r="B251" s="314"/>
      <c r="C251" s="322"/>
      <c r="D251" s="467" t="s">
        <v>856</v>
      </c>
      <c r="E251" s="495" t="s">
        <v>857</v>
      </c>
      <c r="F251" s="323">
        <f t="shared" si="95"/>
        <v>49.54195011</v>
      </c>
      <c r="G251" s="403" t="s">
        <v>483</v>
      </c>
      <c r="H251" s="323">
        <f t="shared" si="96"/>
        <v>5.078049887</v>
      </c>
      <c r="I251" s="323">
        <v>54.62</v>
      </c>
      <c r="J251" s="361">
        <f t="shared" si="97"/>
        <v>66.6364</v>
      </c>
      <c r="K251" s="341">
        <f t="shared" si="17"/>
        <v>69.35873016</v>
      </c>
      <c r="L251" s="342">
        <f t="shared" si="18"/>
        <v>84.61765079</v>
      </c>
      <c r="M251" s="314"/>
      <c r="N251" s="314"/>
      <c r="O251" s="314"/>
      <c r="P251" s="314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  <c r="AN251" s="321"/>
    </row>
    <row r="252" ht="15.75" customHeight="1">
      <c r="A252" s="162" t="s">
        <v>282</v>
      </c>
      <c r="B252" s="314"/>
      <c r="C252" s="322"/>
      <c r="D252" s="467" t="s">
        <v>858</v>
      </c>
      <c r="E252" s="495" t="s">
        <v>859</v>
      </c>
      <c r="F252" s="323">
        <f t="shared" si="95"/>
        <v>66.73922902</v>
      </c>
      <c r="G252" s="403" t="s">
        <v>483</v>
      </c>
      <c r="H252" s="323">
        <f t="shared" si="96"/>
        <v>6.840770975</v>
      </c>
      <c r="I252" s="323">
        <v>73.58</v>
      </c>
      <c r="J252" s="361">
        <f t="shared" si="97"/>
        <v>89.7676</v>
      </c>
      <c r="K252" s="341">
        <f t="shared" si="17"/>
        <v>93.43492063</v>
      </c>
      <c r="L252" s="342">
        <f t="shared" si="18"/>
        <v>113.9906032</v>
      </c>
      <c r="M252" s="314"/>
      <c r="N252" s="314"/>
      <c r="O252" s="314"/>
      <c r="P252" s="314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  <c r="AN252" s="321"/>
    </row>
    <row r="253" ht="15.75" customHeight="1">
      <c r="A253" s="162" t="s">
        <v>282</v>
      </c>
      <c r="B253" s="314"/>
      <c r="C253" s="322"/>
      <c r="D253" s="467" t="s">
        <v>860</v>
      </c>
      <c r="E253" s="496" t="s">
        <v>861</v>
      </c>
      <c r="F253" s="349">
        <f t="shared" si="95"/>
        <v>83.92743764</v>
      </c>
      <c r="G253" s="426" t="s">
        <v>483</v>
      </c>
      <c r="H253" s="349">
        <f t="shared" si="96"/>
        <v>8.602562358</v>
      </c>
      <c r="I253" s="349">
        <v>92.53</v>
      </c>
      <c r="J253" s="372">
        <f t="shared" si="97"/>
        <v>112.8866</v>
      </c>
      <c r="K253" s="341">
        <f t="shared" si="17"/>
        <v>117.4984127</v>
      </c>
      <c r="L253" s="342">
        <f t="shared" si="18"/>
        <v>143.3480635</v>
      </c>
      <c r="M253" s="314"/>
      <c r="N253" s="314"/>
      <c r="O253" s="314"/>
      <c r="P253" s="314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  <c r="AN253" s="321"/>
    </row>
    <row r="254" ht="15.75" customHeight="1">
      <c r="A254" s="162" t="s">
        <v>282</v>
      </c>
      <c r="B254" s="314"/>
      <c r="C254" s="322"/>
      <c r="D254" s="467" t="s">
        <v>862</v>
      </c>
      <c r="E254" s="495" t="s">
        <v>863</v>
      </c>
      <c r="F254" s="323">
        <f t="shared" si="95"/>
        <v>48.12698413</v>
      </c>
      <c r="G254" s="403" t="s">
        <v>483</v>
      </c>
      <c r="H254" s="323">
        <f t="shared" si="96"/>
        <v>4.933015873</v>
      </c>
      <c r="I254" s="323">
        <v>53.06</v>
      </c>
      <c r="J254" s="361">
        <f t="shared" si="97"/>
        <v>64.7332</v>
      </c>
      <c r="K254" s="341">
        <f t="shared" si="17"/>
        <v>67.37777778</v>
      </c>
      <c r="L254" s="342">
        <f t="shared" si="18"/>
        <v>82.20088889</v>
      </c>
      <c r="M254" s="314"/>
      <c r="N254" s="314"/>
      <c r="O254" s="314"/>
      <c r="P254" s="314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  <c r="AN254" s="321"/>
    </row>
    <row r="255" ht="15.75" customHeight="1">
      <c r="A255" s="162" t="s">
        <v>282</v>
      </c>
      <c r="B255" s="314"/>
      <c r="C255" s="322"/>
      <c r="D255" s="467" t="s">
        <v>864</v>
      </c>
      <c r="E255" s="495" t="s">
        <v>865</v>
      </c>
      <c r="F255" s="323">
        <f t="shared" si="95"/>
        <v>59.8185941</v>
      </c>
      <c r="G255" s="403" t="s">
        <v>483</v>
      </c>
      <c r="H255" s="323">
        <f t="shared" si="96"/>
        <v>6.131405896</v>
      </c>
      <c r="I255" s="323">
        <v>65.95</v>
      </c>
      <c r="J255" s="361">
        <f t="shared" si="97"/>
        <v>80.459</v>
      </c>
      <c r="K255" s="341">
        <f t="shared" si="17"/>
        <v>83.74603175</v>
      </c>
      <c r="L255" s="342">
        <f t="shared" si="18"/>
        <v>102.1701587</v>
      </c>
      <c r="M255" s="314"/>
      <c r="N255" s="314"/>
      <c r="O255" s="314"/>
      <c r="P255" s="314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  <c r="AN255" s="321"/>
    </row>
    <row r="256" ht="15.75" customHeight="1">
      <c r="A256" s="162" t="s">
        <v>282</v>
      </c>
      <c r="B256" s="314"/>
      <c r="C256" s="322"/>
      <c r="D256" s="467" t="s">
        <v>866</v>
      </c>
      <c r="E256" s="495" t="s">
        <v>867</v>
      </c>
      <c r="F256" s="323">
        <f t="shared" si="95"/>
        <v>74.62131519</v>
      </c>
      <c r="G256" s="403" t="s">
        <v>483</v>
      </c>
      <c r="H256" s="323">
        <f t="shared" si="96"/>
        <v>7.648684807</v>
      </c>
      <c r="I256" s="323">
        <v>82.27</v>
      </c>
      <c r="J256" s="361">
        <f t="shared" si="97"/>
        <v>100.3694</v>
      </c>
      <c r="K256" s="341">
        <f t="shared" si="17"/>
        <v>104.4698413</v>
      </c>
      <c r="L256" s="342">
        <f t="shared" si="18"/>
        <v>127.4532063</v>
      </c>
      <c r="M256" s="314"/>
      <c r="N256" s="314"/>
      <c r="O256" s="314"/>
      <c r="P256" s="314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  <c r="AN256" s="321"/>
    </row>
    <row r="257" ht="15.75" customHeight="1">
      <c r="A257" s="162" t="s">
        <v>282</v>
      </c>
      <c r="B257" s="314"/>
      <c r="C257" s="322"/>
      <c r="D257" s="467" t="s">
        <v>868</v>
      </c>
      <c r="E257" s="495" t="s">
        <v>869</v>
      </c>
      <c r="F257" s="323">
        <f t="shared" si="95"/>
        <v>101.0521542</v>
      </c>
      <c r="G257" s="403" t="s">
        <v>483</v>
      </c>
      <c r="H257" s="323">
        <f t="shared" si="96"/>
        <v>10.3578458</v>
      </c>
      <c r="I257" s="323">
        <v>111.41</v>
      </c>
      <c r="J257" s="361">
        <f t="shared" si="97"/>
        <v>135.9202</v>
      </c>
      <c r="K257" s="341">
        <f t="shared" si="17"/>
        <v>141.4730159</v>
      </c>
      <c r="L257" s="342">
        <f t="shared" si="18"/>
        <v>172.5970794</v>
      </c>
      <c r="M257" s="314"/>
      <c r="N257" s="314"/>
      <c r="O257" s="314"/>
      <c r="P257" s="314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  <c r="AN257" s="321"/>
    </row>
    <row r="258" ht="15.75" customHeight="1">
      <c r="A258" s="162" t="s">
        <v>282</v>
      </c>
      <c r="B258" s="314"/>
      <c r="C258" s="322"/>
      <c r="D258" s="467" t="s">
        <v>870</v>
      </c>
      <c r="E258" s="496" t="s">
        <v>871</v>
      </c>
      <c r="F258" s="349">
        <f t="shared" si="95"/>
        <v>124.3537415</v>
      </c>
      <c r="G258" s="426" t="s">
        <v>483</v>
      </c>
      <c r="H258" s="349">
        <f t="shared" si="96"/>
        <v>12.7462585</v>
      </c>
      <c r="I258" s="349">
        <v>137.1</v>
      </c>
      <c r="J258" s="372">
        <f t="shared" si="97"/>
        <v>167.262</v>
      </c>
      <c r="K258" s="341">
        <f t="shared" si="17"/>
        <v>174.0952381</v>
      </c>
      <c r="L258" s="342">
        <f t="shared" si="18"/>
        <v>212.3961905</v>
      </c>
      <c r="M258" s="314"/>
      <c r="N258" s="314"/>
      <c r="O258" s="314"/>
      <c r="P258" s="314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  <c r="AN258" s="321"/>
    </row>
    <row r="259" ht="15.75" customHeight="1">
      <c r="A259" s="162" t="s">
        <v>282</v>
      </c>
      <c r="B259" s="314"/>
      <c r="C259" s="322"/>
      <c r="D259" s="467" t="s">
        <v>872</v>
      </c>
      <c r="E259" s="498" t="s">
        <v>873</v>
      </c>
      <c r="F259" s="323">
        <f t="shared" si="95"/>
        <v>18.63945578</v>
      </c>
      <c r="G259" s="403" t="s">
        <v>483</v>
      </c>
      <c r="H259" s="323">
        <f t="shared" si="96"/>
        <v>1.910544218</v>
      </c>
      <c r="I259" s="323">
        <v>20.55</v>
      </c>
      <c r="J259" s="361">
        <f t="shared" si="97"/>
        <v>25.071</v>
      </c>
      <c r="K259" s="341">
        <f t="shared" si="17"/>
        <v>26.0952381</v>
      </c>
      <c r="L259" s="342">
        <f t="shared" si="18"/>
        <v>31.83619048</v>
      </c>
      <c r="M259" s="314"/>
      <c r="N259" s="314"/>
      <c r="O259" s="314"/>
      <c r="P259" s="314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  <c r="AN259" s="321"/>
    </row>
    <row r="260" ht="15.75" customHeight="1">
      <c r="A260" s="162" t="s">
        <v>282</v>
      </c>
      <c r="B260" s="314"/>
      <c r="C260" s="322"/>
      <c r="D260" s="467" t="s">
        <v>874</v>
      </c>
      <c r="E260" s="498" t="s">
        <v>875</v>
      </c>
      <c r="F260" s="323">
        <f t="shared" si="95"/>
        <v>24.61678005</v>
      </c>
      <c r="G260" s="403" t="s">
        <v>483</v>
      </c>
      <c r="H260" s="323">
        <f t="shared" si="96"/>
        <v>2.523219955</v>
      </c>
      <c r="I260" s="323">
        <v>27.14</v>
      </c>
      <c r="J260" s="361">
        <f t="shared" si="97"/>
        <v>33.1108</v>
      </c>
      <c r="K260" s="341">
        <f t="shared" si="17"/>
        <v>34.46349206</v>
      </c>
      <c r="L260" s="342">
        <f t="shared" si="18"/>
        <v>42.04546032</v>
      </c>
      <c r="M260" s="314"/>
      <c r="N260" s="314"/>
      <c r="O260" s="314"/>
      <c r="P260" s="314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  <c r="AN260" s="321"/>
    </row>
    <row r="261" ht="15.75" customHeight="1">
      <c r="A261" s="162" t="s">
        <v>282</v>
      </c>
      <c r="B261" s="314"/>
      <c r="C261" s="322"/>
      <c r="D261" s="467" t="s">
        <v>876</v>
      </c>
      <c r="E261" s="498" t="s">
        <v>877</v>
      </c>
      <c r="F261" s="323">
        <f t="shared" si="95"/>
        <v>28.57142857</v>
      </c>
      <c r="G261" s="403" t="s">
        <v>483</v>
      </c>
      <c r="H261" s="323">
        <f t="shared" si="96"/>
        <v>2.928571429</v>
      </c>
      <c r="I261" s="323">
        <v>31.5</v>
      </c>
      <c r="J261" s="361">
        <f t="shared" si="97"/>
        <v>38.43</v>
      </c>
      <c r="K261" s="341">
        <f t="shared" si="17"/>
        <v>40</v>
      </c>
      <c r="L261" s="342">
        <f t="shared" si="18"/>
        <v>48.8</v>
      </c>
      <c r="M261" s="314"/>
      <c r="N261" s="314"/>
      <c r="O261" s="314"/>
      <c r="P261" s="314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  <c r="AN261" s="321"/>
    </row>
    <row r="262" ht="15.75" customHeight="1">
      <c r="A262" s="162" t="s">
        <v>282</v>
      </c>
      <c r="B262" s="314"/>
      <c r="C262" s="322"/>
      <c r="D262" s="467" t="s">
        <v>878</v>
      </c>
      <c r="E262" s="498" t="s">
        <v>879</v>
      </c>
      <c r="F262" s="323">
        <f t="shared" si="95"/>
        <v>31.09297052</v>
      </c>
      <c r="G262" s="403" t="s">
        <v>483</v>
      </c>
      <c r="H262" s="323">
        <f t="shared" si="96"/>
        <v>3.187029478</v>
      </c>
      <c r="I262" s="323">
        <v>34.28</v>
      </c>
      <c r="J262" s="361">
        <f t="shared" si="97"/>
        <v>41.8216</v>
      </c>
      <c r="K262" s="341">
        <f t="shared" si="17"/>
        <v>43.53015873</v>
      </c>
      <c r="L262" s="342">
        <f t="shared" si="18"/>
        <v>53.10679365</v>
      </c>
      <c r="M262" s="314"/>
      <c r="N262" s="322"/>
      <c r="O262" s="314"/>
      <c r="P262" s="314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  <c r="AN262" s="321"/>
    </row>
    <row r="263" ht="15.75" customHeight="1">
      <c r="A263" s="162" t="s">
        <v>282</v>
      </c>
      <c r="B263" s="314"/>
      <c r="C263" s="322"/>
      <c r="D263" s="467" t="s">
        <v>880</v>
      </c>
      <c r="E263" s="498" t="s">
        <v>881</v>
      </c>
      <c r="F263" s="323">
        <f t="shared" si="95"/>
        <v>37.5600907</v>
      </c>
      <c r="G263" s="403" t="s">
        <v>483</v>
      </c>
      <c r="H263" s="323">
        <f t="shared" si="96"/>
        <v>3.849909297</v>
      </c>
      <c r="I263" s="323">
        <v>41.41</v>
      </c>
      <c r="J263" s="361">
        <f t="shared" si="97"/>
        <v>50.5202</v>
      </c>
      <c r="K263" s="341">
        <f t="shared" si="17"/>
        <v>52.58412698</v>
      </c>
      <c r="L263" s="342">
        <f t="shared" si="18"/>
        <v>64.15263492</v>
      </c>
      <c r="M263" s="314"/>
      <c r="N263" s="322"/>
      <c r="O263" s="314"/>
      <c r="P263" s="314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  <c r="AN263" s="321"/>
    </row>
    <row r="264" ht="15.75" customHeight="1">
      <c r="A264" s="162" t="s">
        <v>282</v>
      </c>
      <c r="B264" s="314"/>
      <c r="C264" s="322"/>
      <c r="D264" s="467" t="s">
        <v>882</v>
      </c>
      <c r="E264" s="498" t="s">
        <v>883</v>
      </c>
      <c r="F264" s="323">
        <f t="shared" si="95"/>
        <v>45.41496599</v>
      </c>
      <c r="G264" s="403" t="s">
        <v>483</v>
      </c>
      <c r="H264" s="323">
        <f t="shared" si="96"/>
        <v>4.655034014</v>
      </c>
      <c r="I264" s="323">
        <v>50.07</v>
      </c>
      <c r="J264" s="361">
        <f t="shared" si="97"/>
        <v>61.0854</v>
      </c>
      <c r="K264" s="341">
        <f t="shared" si="17"/>
        <v>63.58095238</v>
      </c>
      <c r="L264" s="342">
        <f t="shared" si="18"/>
        <v>77.5687619</v>
      </c>
      <c r="M264" s="314"/>
      <c r="N264" s="314"/>
      <c r="O264" s="314"/>
      <c r="P264" s="314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  <c r="AN264" s="321"/>
    </row>
    <row r="265" ht="15.75" customHeight="1">
      <c r="A265" s="162" t="s">
        <v>282</v>
      </c>
      <c r="B265" s="314"/>
      <c r="C265" s="322"/>
      <c r="D265" s="467" t="s">
        <v>884</v>
      </c>
      <c r="E265" s="499" t="s">
        <v>885</v>
      </c>
      <c r="F265" s="349">
        <f t="shared" si="95"/>
        <v>52.02721088</v>
      </c>
      <c r="G265" s="426" t="s">
        <v>483</v>
      </c>
      <c r="H265" s="349">
        <f t="shared" si="96"/>
        <v>5.332789116</v>
      </c>
      <c r="I265" s="349">
        <v>57.36</v>
      </c>
      <c r="J265" s="372">
        <f t="shared" si="97"/>
        <v>69.9792</v>
      </c>
      <c r="K265" s="341">
        <f t="shared" si="17"/>
        <v>72.83809524</v>
      </c>
      <c r="L265" s="342">
        <f t="shared" si="18"/>
        <v>88.86247619</v>
      </c>
      <c r="M265" s="314"/>
      <c r="N265" s="314"/>
      <c r="O265" s="314"/>
      <c r="P265" s="314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  <c r="AN265" s="321"/>
    </row>
    <row r="266" ht="15.75" customHeight="1">
      <c r="A266" s="162" t="s">
        <v>282</v>
      </c>
      <c r="B266" s="314"/>
      <c r="C266" s="322"/>
      <c r="D266" s="467" t="s">
        <v>886</v>
      </c>
      <c r="E266" s="498" t="s">
        <v>887</v>
      </c>
      <c r="F266" s="323">
        <f t="shared" si="95"/>
        <v>24.33560091</v>
      </c>
      <c r="G266" s="403" t="s">
        <v>483</v>
      </c>
      <c r="H266" s="323">
        <f t="shared" si="96"/>
        <v>2.494399093</v>
      </c>
      <c r="I266" s="323">
        <v>26.83</v>
      </c>
      <c r="J266" s="361">
        <f t="shared" si="97"/>
        <v>32.7326</v>
      </c>
      <c r="K266" s="341">
        <f t="shared" si="17"/>
        <v>34.06984127</v>
      </c>
      <c r="L266" s="342">
        <f t="shared" si="18"/>
        <v>41.56520635</v>
      </c>
      <c r="M266" s="314"/>
      <c r="N266" s="314"/>
      <c r="O266" s="314"/>
      <c r="P266" s="314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  <c r="AN266" s="321"/>
    </row>
    <row r="267" ht="15.75" customHeight="1">
      <c r="A267" s="162" t="s">
        <v>282</v>
      </c>
      <c r="B267" s="314"/>
      <c r="C267" s="322"/>
      <c r="D267" s="467" t="s">
        <v>888</v>
      </c>
      <c r="E267" s="498" t="s">
        <v>889</v>
      </c>
      <c r="F267" s="323">
        <f t="shared" si="95"/>
        <v>32.32653061</v>
      </c>
      <c r="G267" s="403" t="s">
        <v>483</v>
      </c>
      <c r="H267" s="323">
        <f t="shared" si="96"/>
        <v>3.313469388</v>
      </c>
      <c r="I267" s="323">
        <v>35.64</v>
      </c>
      <c r="J267" s="361">
        <f t="shared" si="97"/>
        <v>43.4808</v>
      </c>
      <c r="K267" s="341">
        <f t="shared" si="17"/>
        <v>45.25714286</v>
      </c>
      <c r="L267" s="342">
        <f t="shared" si="18"/>
        <v>55.21371429</v>
      </c>
      <c r="M267" s="314"/>
      <c r="N267" s="314"/>
      <c r="O267" s="314"/>
      <c r="P267" s="314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  <c r="AN267" s="321"/>
    </row>
    <row r="268" ht="15.75" customHeight="1">
      <c r="A268" s="162" t="s">
        <v>282</v>
      </c>
      <c r="B268" s="314"/>
      <c r="C268" s="322"/>
      <c r="D268" s="467" t="s">
        <v>890</v>
      </c>
      <c r="E268" s="498" t="s">
        <v>891</v>
      </c>
      <c r="F268" s="323">
        <v>40.38</v>
      </c>
      <c r="G268" s="403" t="s">
        <v>483</v>
      </c>
      <c r="H268" s="323">
        <f t="shared" si="96"/>
        <v>0</v>
      </c>
      <c r="I268" s="323">
        <v>40.38</v>
      </c>
      <c r="J268" s="361">
        <f t="shared" si="97"/>
        <v>49.2636</v>
      </c>
      <c r="K268" s="341">
        <f t="shared" si="17"/>
        <v>56.532</v>
      </c>
      <c r="L268" s="342">
        <f t="shared" si="18"/>
        <v>68.96904</v>
      </c>
      <c r="M268" s="314"/>
      <c r="N268" s="314"/>
      <c r="O268" s="314"/>
      <c r="P268" s="314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  <c r="AN268" s="321"/>
    </row>
    <row r="269" ht="15.75" customHeight="1">
      <c r="A269" s="162" t="s">
        <v>282</v>
      </c>
      <c r="B269" s="314"/>
      <c r="C269" s="322"/>
      <c r="D269" s="467" t="s">
        <v>892</v>
      </c>
      <c r="E269" s="498" t="s">
        <v>893</v>
      </c>
      <c r="F269" s="323">
        <f t="shared" ref="F269:F276" si="98">(I269/1.05)/1.05</f>
        <v>40.92517007</v>
      </c>
      <c r="G269" s="403" t="s">
        <v>483</v>
      </c>
      <c r="H269" s="323">
        <f t="shared" si="96"/>
        <v>4.194829932</v>
      </c>
      <c r="I269" s="323">
        <v>45.12</v>
      </c>
      <c r="J269" s="361">
        <f t="shared" si="97"/>
        <v>55.0464</v>
      </c>
      <c r="K269" s="341">
        <f t="shared" si="17"/>
        <v>57.2952381</v>
      </c>
      <c r="L269" s="342">
        <f t="shared" si="18"/>
        <v>69.90019048</v>
      </c>
      <c r="M269" s="314"/>
      <c r="N269" s="314"/>
      <c r="O269" s="314"/>
      <c r="P269" s="314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  <c r="AN269" s="321"/>
    </row>
    <row r="270" ht="15.75" customHeight="1">
      <c r="A270" s="162" t="s">
        <v>282</v>
      </c>
      <c r="B270" s="314"/>
      <c r="C270" s="322"/>
      <c r="D270" s="467" t="s">
        <v>894</v>
      </c>
      <c r="E270" s="498" t="s">
        <v>895</v>
      </c>
      <c r="F270" s="323">
        <f t="shared" si="98"/>
        <v>49.54195011</v>
      </c>
      <c r="G270" s="403" t="s">
        <v>483</v>
      </c>
      <c r="H270" s="323">
        <f t="shared" si="96"/>
        <v>5.078049887</v>
      </c>
      <c r="I270" s="323">
        <v>54.62</v>
      </c>
      <c r="J270" s="361">
        <f t="shared" si="97"/>
        <v>66.6364</v>
      </c>
      <c r="K270" s="341">
        <f t="shared" si="17"/>
        <v>69.35873016</v>
      </c>
      <c r="L270" s="342">
        <f t="shared" si="18"/>
        <v>84.61765079</v>
      </c>
      <c r="M270" s="314"/>
      <c r="N270" s="314"/>
      <c r="O270" s="314"/>
      <c r="P270" s="314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  <c r="AN270" s="321"/>
    </row>
    <row r="271" ht="15.75" customHeight="1">
      <c r="A271" s="162" t="s">
        <v>282</v>
      </c>
      <c r="B271" s="314"/>
      <c r="C271" s="322"/>
      <c r="D271" s="467" t="s">
        <v>896</v>
      </c>
      <c r="E271" s="498" t="s">
        <v>897</v>
      </c>
      <c r="F271" s="323">
        <f t="shared" si="98"/>
        <v>58.14058957</v>
      </c>
      <c r="G271" s="403" t="s">
        <v>483</v>
      </c>
      <c r="H271" s="323">
        <f t="shared" si="96"/>
        <v>5.959410431</v>
      </c>
      <c r="I271" s="323">
        <v>64.1</v>
      </c>
      <c r="J271" s="361">
        <f t="shared" si="97"/>
        <v>78.202</v>
      </c>
      <c r="K271" s="341">
        <f t="shared" si="17"/>
        <v>81.3968254</v>
      </c>
      <c r="L271" s="342">
        <f t="shared" si="18"/>
        <v>99.30412698</v>
      </c>
      <c r="M271" s="314"/>
      <c r="N271" s="314"/>
      <c r="O271" s="314"/>
      <c r="P271" s="314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  <c r="AN271" s="321"/>
    </row>
    <row r="272" ht="15.75" customHeight="1">
      <c r="A272" s="162" t="s">
        <v>282</v>
      </c>
      <c r="B272" s="314"/>
      <c r="C272" s="322"/>
      <c r="D272" s="467" t="s">
        <v>898</v>
      </c>
      <c r="E272" s="499" t="s">
        <v>899</v>
      </c>
      <c r="F272" s="349">
        <f t="shared" si="98"/>
        <v>66.73922902</v>
      </c>
      <c r="G272" s="426" t="s">
        <v>483</v>
      </c>
      <c r="H272" s="349">
        <f t="shared" si="96"/>
        <v>6.840770975</v>
      </c>
      <c r="I272" s="349">
        <v>73.58</v>
      </c>
      <c r="J272" s="372">
        <f t="shared" si="97"/>
        <v>89.7676</v>
      </c>
      <c r="K272" s="341">
        <f t="shared" si="17"/>
        <v>93.43492063</v>
      </c>
      <c r="L272" s="342">
        <f t="shared" si="18"/>
        <v>113.9906032</v>
      </c>
      <c r="M272" s="314"/>
      <c r="N272" s="314"/>
      <c r="O272" s="314"/>
      <c r="P272" s="314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  <c r="AN272" s="321"/>
    </row>
    <row r="273" ht="15.75" customHeight="1">
      <c r="A273" s="162" t="s">
        <v>282</v>
      </c>
      <c r="B273" s="314"/>
      <c r="C273" s="322"/>
      <c r="D273" s="467" t="s">
        <v>900</v>
      </c>
      <c r="E273" s="498" t="s">
        <v>901</v>
      </c>
      <c r="F273" s="323">
        <f t="shared" si="98"/>
        <v>48.12698413</v>
      </c>
      <c r="G273" s="403" t="s">
        <v>483</v>
      </c>
      <c r="H273" s="323">
        <f t="shared" si="96"/>
        <v>4.933015873</v>
      </c>
      <c r="I273" s="323">
        <v>53.06</v>
      </c>
      <c r="J273" s="361">
        <f t="shared" si="97"/>
        <v>64.7332</v>
      </c>
      <c r="K273" s="341">
        <f t="shared" si="17"/>
        <v>67.37777778</v>
      </c>
      <c r="L273" s="342">
        <f t="shared" si="18"/>
        <v>82.20088889</v>
      </c>
      <c r="M273" s="314"/>
      <c r="N273" s="314"/>
      <c r="O273" s="314"/>
      <c r="P273" s="314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  <c r="AN273" s="321"/>
    </row>
    <row r="274" ht="15.75" customHeight="1">
      <c r="A274" s="162" t="s">
        <v>282</v>
      </c>
      <c r="B274" s="314"/>
      <c r="C274" s="322"/>
      <c r="D274" s="467" t="s">
        <v>902</v>
      </c>
      <c r="E274" s="498" t="s">
        <v>903</v>
      </c>
      <c r="F274" s="323">
        <f t="shared" si="98"/>
        <v>74.62131519</v>
      </c>
      <c r="G274" s="403" t="s">
        <v>483</v>
      </c>
      <c r="H274" s="323">
        <f t="shared" si="96"/>
        <v>7.648684807</v>
      </c>
      <c r="I274" s="323">
        <v>82.27</v>
      </c>
      <c r="J274" s="361">
        <f t="shared" si="97"/>
        <v>100.3694</v>
      </c>
      <c r="K274" s="341">
        <f t="shared" si="17"/>
        <v>104.4698413</v>
      </c>
      <c r="L274" s="342">
        <f t="shared" si="18"/>
        <v>127.4532063</v>
      </c>
      <c r="M274" s="314"/>
      <c r="N274" s="314"/>
      <c r="O274" s="314"/>
      <c r="P274" s="314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  <c r="AN274" s="321"/>
    </row>
    <row r="275" ht="15.75" customHeight="1">
      <c r="A275" s="162" t="s">
        <v>282</v>
      </c>
      <c r="B275" s="314"/>
      <c r="C275" s="322"/>
      <c r="D275" s="467" t="s">
        <v>904</v>
      </c>
      <c r="E275" s="498" t="s">
        <v>905</v>
      </c>
      <c r="F275" s="323">
        <f t="shared" si="98"/>
        <v>87.83673469</v>
      </c>
      <c r="G275" s="403" t="s">
        <v>483</v>
      </c>
      <c r="H275" s="323">
        <f t="shared" si="96"/>
        <v>9.003265306</v>
      </c>
      <c r="I275" s="323">
        <v>96.84</v>
      </c>
      <c r="J275" s="361">
        <f t="shared" si="97"/>
        <v>118.1448</v>
      </c>
      <c r="K275" s="341">
        <f t="shared" si="17"/>
        <v>122.9714286</v>
      </c>
      <c r="L275" s="342">
        <f t="shared" si="18"/>
        <v>150.0251429</v>
      </c>
      <c r="M275" s="314"/>
      <c r="N275" s="314"/>
      <c r="O275" s="314"/>
      <c r="P275" s="314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  <c r="AN275" s="321"/>
    </row>
    <row r="276" ht="15.75" customHeight="1">
      <c r="A276" s="162" t="s">
        <v>282</v>
      </c>
      <c r="B276" s="314"/>
      <c r="C276" s="322"/>
      <c r="D276" s="467" t="s">
        <v>906</v>
      </c>
      <c r="E276" s="499" t="s">
        <v>907</v>
      </c>
      <c r="F276" s="349">
        <f t="shared" si="98"/>
        <v>101.0521542</v>
      </c>
      <c r="G276" s="426" t="s">
        <v>483</v>
      </c>
      <c r="H276" s="349">
        <f t="shared" si="96"/>
        <v>10.3578458</v>
      </c>
      <c r="I276" s="349">
        <v>111.41</v>
      </c>
      <c r="J276" s="372">
        <f t="shared" si="97"/>
        <v>135.9202</v>
      </c>
      <c r="K276" s="341">
        <f t="shared" si="17"/>
        <v>141.4730159</v>
      </c>
      <c r="L276" s="342">
        <f t="shared" si="18"/>
        <v>172.5970794</v>
      </c>
      <c r="M276" s="314"/>
      <c r="N276" s="314"/>
      <c r="O276" s="314"/>
      <c r="P276" s="314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  <c r="AN276" s="321"/>
    </row>
    <row r="277" ht="15.75" customHeight="1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21"/>
      <c r="L277" s="321"/>
      <c r="M277" s="314"/>
      <c r="N277" s="314"/>
      <c r="O277" s="314"/>
      <c r="P277" s="314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  <c r="AN277" s="321"/>
    </row>
    <row r="278" ht="15.75" customHeight="1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21"/>
      <c r="L278" s="321"/>
      <c r="M278" s="314"/>
      <c r="N278" s="314"/>
      <c r="O278" s="314"/>
      <c r="P278" s="314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  <c r="AN278" s="321"/>
    </row>
    <row r="279" ht="34.5" customHeight="1">
      <c r="A279" s="314"/>
      <c r="B279" s="314"/>
      <c r="C279" s="314"/>
      <c r="D279" s="467"/>
      <c r="E279" s="324" t="s">
        <v>908</v>
      </c>
      <c r="F279" s="178"/>
      <c r="G279" s="178"/>
      <c r="H279" s="178"/>
      <c r="I279" s="178"/>
      <c r="J279" s="179"/>
      <c r="K279" s="500"/>
      <c r="L279" s="500"/>
      <c r="M279" s="314"/>
      <c r="N279" s="314"/>
      <c r="O279" s="314"/>
      <c r="P279" s="314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  <c r="AN279" s="321"/>
    </row>
    <row r="280" ht="27.0" customHeight="1">
      <c r="A280" s="162" t="s">
        <v>282</v>
      </c>
      <c r="B280" s="314"/>
      <c r="C280" s="314"/>
      <c r="D280" s="467"/>
      <c r="E280" s="478" t="s">
        <v>283</v>
      </c>
      <c r="F280" s="330" t="s">
        <v>476</v>
      </c>
      <c r="G280" s="479" t="s">
        <v>285</v>
      </c>
      <c r="H280" s="330" t="s">
        <v>286</v>
      </c>
      <c r="I280" s="480" t="s">
        <v>287</v>
      </c>
      <c r="J280" s="331" t="s">
        <v>288</v>
      </c>
      <c r="K280" s="331"/>
      <c r="L280" s="331"/>
      <c r="M280" s="501" t="s">
        <v>909</v>
      </c>
      <c r="N280" s="314"/>
      <c r="O280" s="314"/>
      <c r="P280" s="314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  <c r="AN280" s="321"/>
    </row>
    <row r="281" ht="15.75" customHeight="1">
      <c r="A281" s="162" t="s">
        <v>282</v>
      </c>
      <c r="B281" s="314"/>
      <c r="C281" s="314"/>
      <c r="D281" s="467"/>
      <c r="E281" s="502" t="s">
        <v>910</v>
      </c>
      <c r="F281" s="338" t="s">
        <v>911</v>
      </c>
      <c r="G281" s="338"/>
      <c r="H281" s="338"/>
      <c r="I281" s="338"/>
      <c r="J281" s="337" t="s">
        <v>51</v>
      </c>
      <c r="K281" s="503"/>
      <c r="L281" s="503"/>
      <c r="M281" s="504" t="s">
        <v>912</v>
      </c>
      <c r="N281" s="314"/>
      <c r="O281" s="314"/>
      <c r="P281" s="314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  <c r="AN281" s="321"/>
    </row>
    <row r="282" ht="15.75" customHeight="1">
      <c r="A282" s="162" t="s">
        <v>282</v>
      </c>
      <c r="B282" s="314"/>
      <c r="C282" s="314"/>
      <c r="D282" s="482"/>
      <c r="E282" s="483" t="s">
        <v>913</v>
      </c>
      <c r="F282" s="323">
        <v>88.95</v>
      </c>
      <c r="G282" s="323" t="s">
        <v>483</v>
      </c>
      <c r="H282" s="323">
        <f t="shared" ref="H282:H283" si="99">I282-F282</f>
        <v>27.48555</v>
      </c>
      <c r="I282" s="323">
        <f t="shared" ref="I282:I283" si="100">F282*1.19*1.1</f>
        <v>116.43555</v>
      </c>
      <c r="J282" s="505">
        <f t="shared" ref="J282:J283" si="101">I282*1.22</f>
        <v>142.051371</v>
      </c>
      <c r="K282" s="506"/>
      <c r="L282" s="506"/>
      <c r="M282" s="507">
        <f t="shared" ref="M282:M283" si="102">J282/1.1</f>
        <v>129.13761</v>
      </c>
      <c r="N282" s="314"/>
      <c r="O282" s="314"/>
      <c r="P282" s="314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  <c r="AN282" s="321"/>
    </row>
    <row r="283" ht="15.75" customHeight="1">
      <c r="A283" s="162" t="s">
        <v>282</v>
      </c>
      <c r="B283" s="314"/>
      <c r="C283" s="314"/>
      <c r="D283" s="467"/>
      <c r="E283" s="508" t="s">
        <v>914</v>
      </c>
      <c r="F283" s="328">
        <v>53.84</v>
      </c>
      <c r="G283" s="328" t="s">
        <v>483</v>
      </c>
      <c r="H283" s="328">
        <f t="shared" si="99"/>
        <v>16.63656</v>
      </c>
      <c r="I283" s="328">
        <f t="shared" si="100"/>
        <v>70.47656</v>
      </c>
      <c r="J283" s="509">
        <f t="shared" si="101"/>
        <v>85.9814032</v>
      </c>
      <c r="K283" s="510"/>
      <c r="L283" s="510"/>
      <c r="M283" s="511">
        <f t="shared" si="102"/>
        <v>78.164912</v>
      </c>
      <c r="N283" s="314"/>
      <c r="O283" s="314"/>
      <c r="P283" s="314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  <c r="AN283" s="321"/>
    </row>
    <row r="284" ht="15.75" customHeight="1">
      <c r="A284" s="162" t="s">
        <v>282</v>
      </c>
      <c r="B284" s="314"/>
      <c r="C284" s="314"/>
      <c r="D284" s="467"/>
      <c r="E284" s="502" t="s">
        <v>915</v>
      </c>
      <c r="F284" s="338" t="s">
        <v>911</v>
      </c>
      <c r="G284" s="338"/>
      <c r="H284" s="338"/>
      <c r="I284" s="338"/>
      <c r="J284" s="337" t="s">
        <v>51</v>
      </c>
      <c r="K284" s="503"/>
      <c r="L284" s="503"/>
      <c r="M284" s="504" t="s">
        <v>912</v>
      </c>
      <c r="N284" s="314"/>
      <c r="O284" s="314"/>
      <c r="P284" s="314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  <c r="AN284" s="321"/>
    </row>
    <row r="285" ht="15.75" customHeight="1">
      <c r="A285" s="162" t="s">
        <v>282</v>
      </c>
      <c r="B285" s="314"/>
      <c r="C285" s="314"/>
      <c r="D285" s="482"/>
      <c r="E285" s="483" t="s">
        <v>916</v>
      </c>
      <c r="F285" s="323">
        <v>88.79</v>
      </c>
      <c r="G285" s="323" t="s">
        <v>483</v>
      </c>
      <c r="H285" s="323">
        <f t="shared" ref="H285:H287" si="103">I285-F285</f>
        <v>27.43611</v>
      </c>
      <c r="I285" s="323">
        <f t="shared" ref="I285:I287" si="104">F285*1.19*1.1</f>
        <v>116.22611</v>
      </c>
      <c r="J285" s="505">
        <f t="shared" ref="J285:J287" si="105">I285*1.22</f>
        <v>141.7958542</v>
      </c>
      <c r="K285" s="506"/>
      <c r="L285" s="506"/>
      <c r="M285" s="507">
        <f t="shared" ref="M285:M287" si="106">J285/1.1</f>
        <v>128.905322</v>
      </c>
      <c r="N285" s="314"/>
      <c r="O285" s="314"/>
      <c r="P285" s="314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  <c r="AN285" s="321"/>
    </row>
    <row r="286" ht="15.75" customHeight="1">
      <c r="A286" s="162" t="s">
        <v>282</v>
      </c>
      <c r="B286" s="314"/>
      <c r="C286" s="314"/>
      <c r="D286" s="467"/>
      <c r="E286" s="483" t="s">
        <v>917</v>
      </c>
      <c r="F286" s="323">
        <v>68.303</v>
      </c>
      <c r="G286" s="323" t="s">
        <v>483</v>
      </c>
      <c r="H286" s="323">
        <f t="shared" si="103"/>
        <v>21.105627</v>
      </c>
      <c r="I286" s="323">
        <f t="shared" si="104"/>
        <v>89.408627</v>
      </c>
      <c r="J286" s="505">
        <f t="shared" si="105"/>
        <v>109.0785249</v>
      </c>
      <c r="K286" s="506"/>
      <c r="L286" s="506"/>
      <c r="M286" s="507">
        <f t="shared" si="106"/>
        <v>99.1622954</v>
      </c>
      <c r="N286" s="314"/>
      <c r="O286" s="314"/>
      <c r="P286" s="314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  <c r="AN286" s="321"/>
    </row>
    <row r="287" ht="15.75" customHeight="1">
      <c r="A287" s="162" t="s">
        <v>282</v>
      </c>
      <c r="B287" s="314"/>
      <c r="C287" s="314"/>
      <c r="D287" s="467"/>
      <c r="E287" s="512" t="s">
        <v>918</v>
      </c>
      <c r="F287" s="349">
        <v>41.16</v>
      </c>
      <c r="G287" s="349" t="s">
        <v>483</v>
      </c>
      <c r="H287" s="349">
        <f t="shared" si="103"/>
        <v>12.71844</v>
      </c>
      <c r="I287" s="349">
        <f t="shared" si="104"/>
        <v>53.87844</v>
      </c>
      <c r="J287" s="513">
        <f t="shared" si="105"/>
        <v>65.7316968</v>
      </c>
      <c r="K287" s="514"/>
      <c r="L287" s="514"/>
      <c r="M287" s="515">
        <f t="shared" si="106"/>
        <v>59.756088</v>
      </c>
      <c r="N287" s="314"/>
      <c r="O287" s="314"/>
      <c r="P287" s="314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  <c r="AN287" s="321"/>
    </row>
    <row r="288" ht="15.75" customHeight="1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  <c r="K288" s="321"/>
      <c r="L288" s="321"/>
      <c r="M288" s="314"/>
      <c r="N288" s="314"/>
      <c r="O288" s="314"/>
      <c r="P288" s="314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  <c r="AN288" s="321"/>
    </row>
    <row r="289" ht="15.75" customHeight="1">
      <c r="A289" s="314"/>
      <c r="B289" s="314"/>
      <c r="C289" s="314"/>
      <c r="D289" s="314"/>
      <c r="E289" s="490"/>
      <c r="F289" s="314"/>
      <c r="G289" s="314"/>
      <c r="H289" s="314"/>
      <c r="I289" s="314"/>
      <c r="J289" s="314"/>
      <c r="K289" s="321"/>
      <c r="L289" s="321"/>
      <c r="M289" s="314"/>
      <c r="N289" s="314"/>
      <c r="O289" s="314"/>
      <c r="P289" s="314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  <c r="AN289" s="321"/>
    </row>
    <row r="290">
      <c r="A290" s="314"/>
      <c r="B290" s="314"/>
      <c r="C290" s="314"/>
      <c r="D290" s="314"/>
      <c r="E290" s="324" t="s">
        <v>919</v>
      </c>
      <c r="F290" s="178"/>
      <c r="G290" s="178"/>
      <c r="H290" s="178"/>
      <c r="I290" s="178"/>
      <c r="J290" s="179"/>
      <c r="K290" s="500"/>
      <c r="L290" s="500"/>
      <c r="M290" s="314"/>
      <c r="N290" s="314"/>
      <c r="O290" s="314"/>
      <c r="P290" s="314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  <c r="AN290" s="321"/>
    </row>
    <row r="291">
      <c r="A291" s="314"/>
      <c r="B291" s="314"/>
      <c r="C291" s="314"/>
      <c r="D291" s="314"/>
      <c r="E291" s="478" t="s">
        <v>283</v>
      </c>
      <c r="F291" s="330" t="s">
        <v>476</v>
      </c>
      <c r="G291" s="479" t="s">
        <v>285</v>
      </c>
      <c r="H291" s="330" t="s">
        <v>286</v>
      </c>
      <c r="I291" s="480" t="s">
        <v>287</v>
      </c>
      <c r="J291" s="331" t="s">
        <v>288</v>
      </c>
      <c r="K291" s="381"/>
      <c r="L291" s="381"/>
      <c r="M291" s="314"/>
      <c r="N291" s="314"/>
      <c r="O291" s="314"/>
      <c r="P291" s="314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</row>
    <row r="292">
      <c r="A292" s="314"/>
      <c r="B292" s="314"/>
      <c r="C292" s="314"/>
      <c r="D292" s="314"/>
      <c r="E292" s="516" t="s">
        <v>920</v>
      </c>
      <c r="F292" s="314"/>
      <c r="G292" s="314"/>
      <c r="H292" s="314"/>
      <c r="I292" s="314"/>
      <c r="J292" s="314"/>
      <c r="K292" s="321"/>
      <c r="L292" s="321"/>
      <c r="M292" s="314"/>
      <c r="N292" s="314"/>
      <c r="O292" s="314"/>
      <c r="P292" s="314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  <c r="AN292" s="321"/>
    </row>
    <row r="293">
      <c r="A293" s="162" t="s">
        <v>282</v>
      </c>
      <c r="B293" s="314"/>
      <c r="C293" s="314"/>
      <c r="D293" s="335" t="s">
        <v>724</v>
      </c>
      <c r="E293" s="355" t="s">
        <v>921</v>
      </c>
      <c r="F293" s="338">
        <f t="shared" ref="F293:F297" si="107">(I293/1.05)/1.05</f>
        <v>17.9047619</v>
      </c>
      <c r="G293" s="338" t="s">
        <v>483</v>
      </c>
      <c r="H293" s="338">
        <f t="shared" ref="H293:H298" si="108">I293-F293</f>
        <v>1.835238095</v>
      </c>
      <c r="I293" s="338">
        <v>19.74</v>
      </c>
      <c r="J293" s="356">
        <f t="shared" ref="J293:J298" si="109">I293*1.22</f>
        <v>24.0828</v>
      </c>
      <c r="K293" s="517"/>
      <c r="L293" s="517"/>
      <c r="M293" s="314"/>
      <c r="N293" s="314"/>
      <c r="O293" s="314"/>
      <c r="P293" s="314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  <c r="AN293" s="321"/>
    </row>
    <row r="294">
      <c r="A294" s="162" t="s">
        <v>282</v>
      </c>
      <c r="B294" s="314"/>
      <c r="C294" s="314"/>
      <c r="D294" s="345" t="s">
        <v>726</v>
      </c>
      <c r="E294" s="346" t="s">
        <v>922</v>
      </c>
      <c r="F294" s="323">
        <f t="shared" si="107"/>
        <v>19.01133787</v>
      </c>
      <c r="G294" s="323" t="s">
        <v>483</v>
      </c>
      <c r="H294" s="323">
        <f t="shared" si="108"/>
        <v>1.948662132</v>
      </c>
      <c r="I294" s="323">
        <v>20.96</v>
      </c>
      <c r="J294" s="361">
        <f t="shared" si="109"/>
        <v>25.5712</v>
      </c>
      <c r="K294" s="517"/>
      <c r="L294" s="517"/>
      <c r="M294" s="314"/>
      <c r="N294" s="314"/>
      <c r="O294" s="314"/>
      <c r="P294" s="314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  <c r="AN294" s="321"/>
    </row>
    <row r="295">
      <c r="A295" s="162" t="s">
        <v>282</v>
      </c>
      <c r="B295" s="314"/>
      <c r="C295" s="314"/>
      <c r="D295" s="345" t="s">
        <v>728</v>
      </c>
      <c r="E295" s="346" t="s">
        <v>923</v>
      </c>
      <c r="F295" s="323">
        <f t="shared" si="107"/>
        <v>23.91836735</v>
      </c>
      <c r="G295" s="323" t="s">
        <v>483</v>
      </c>
      <c r="H295" s="323">
        <f t="shared" si="108"/>
        <v>2.451632653</v>
      </c>
      <c r="I295" s="323">
        <v>26.37</v>
      </c>
      <c r="J295" s="361">
        <f t="shared" si="109"/>
        <v>32.1714</v>
      </c>
      <c r="K295" s="517"/>
      <c r="L295" s="517"/>
      <c r="M295" s="314"/>
      <c r="N295" s="314"/>
      <c r="O295" s="314"/>
      <c r="P295" s="314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  <c r="AN295" s="321"/>
    </row>
    <row r="296">
      <c r="A296" s="162" t="s">
        <v>282</v>
      </c>
      <c r="B296" s="314"/>
      <c r="C296" s="314"/>
      <c r="D296" s="345" t="s">
        <v>730</v>
      </c>
      <c r="E296" s="346" t="s">
        <v>924</v>
      </c>
      <c r="F296" s="323">
        <f t="shared" si="107"/>
        <v>23.77324263</v>
      </c>
      <c r="G296" s="323" t="s">
        <v>483</v>
      </c>
      <c r="H296" s="323">
        <f t="shared" si="108"/>
        <v>2.43675737</v>
      </c>
      <c r="I296" s="323">
        <v>26.21</v>
      </c>
      <c r="J296" s="361">
        <f t="shared" si="109"/>
        <v>31.9762</v>
      </c>
      <c r="K296" s="517"/>
      <c r="L296" s="517"/>
      <c r="M296" s="314"/>
      <c r="N296" s="314"/>
      <c r="O296" s="314"/>
      <c r="P296" s="314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  <c r="AN296" s="321"/>
    </row>
    <row r="297">
      <c r="A297" s="162" t="s">
        <v>282</v>
      </c>
      <c r="B297" s="314"/>
      <c r="C297" s="314"/>
      <c r="D297" s="345" t="s">
        <v>732</v>
      </c>
      <c r="E297" s="346" t="s">
        <v>925</v>
      </c>
      <c r="F297" s="323">
        <f t="shared" si="107"/>
        <v>35.89115646</v>
      </c>
      <c r="G297" s="323" t="s">
        <v>483</v>
      </c>
      <c r="H297" s="323">
        <f t="shared" si="108"/>
        <v>3.678843537</v>
      </c>
      <c r="I297" s="323">
        <v>39.57</v>
      </c>
      <c r="J297" s="361">
        <f t="shared" si="109"/>
        <v>48.2754</v>
      </c>
      <c r="K297" s="517"/>
      <c r="L297" s="517"/>
      <c r="M297" s="314"/>
      <c r="N297" s="314"/>
      <c r="O297" s="314"/>
      <c r="P297" s="314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  <c r="AN297" s="321"/>
    </row>
    <row r="298">
      <c r="A298" s="162" t="s">
        <v>282</v>
      </c>
      <c r="B298" s="314"/>
      <c r="C298" s="314"/>
      <c r="D298" s="348" t="s">
        <v>734</v>
      </c>
      <c r="E298" s="350" t="s">
        <v>926</v>
      </c>
      <c r="F298" s="349">
        <f>I298/1.05/1.05</f>
        <v>43.12018141</v>
      </c>
      <c r="G298" s="349" t="s">
        <v>483</v>
      </c>
      <c r="H298" s="349">
        <f t="shared" si="108"/>
        <v>4.419818594</v>
      </c>
      <c r="I298" s="349">
        <v>47.54</v>
      </c>
      <c r="J298" s="372">
        <f t="shared" si="109"/>
        <v>57.9988</v>
      </c>
      <c r="K298" s="517"/>
      <c r="L298" s="517"/>
      <c r="M298" s="314"/>
      <c r="N298" s="314"/>
      <c r="O298" s="314"/>
      <c r="P298" s="314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  <c r="AN298" s="321"/>
    </row>
    <row r="299">
      <c r="A299" s="314"/>
      <c r="B299" s="314"/>
      <c r="C299" s="314"/>
      <c r="D299" s="314"/>
      <c r="E299" s="516" t="s">
        <v>927</v>
      </c>
      <c r="F299" s="314"/>
      <c r="G299" s="314"/>
      <c r="H299" s="314"/>
      <c r="I299" s="314"/>
      <c r="J299" s="314"/>
      <c r="K299" s="321"/>
      <c r="L299" s="321"/>
      <c r="M299" s="314"/>
      <c r="N299" s="314"/>
      <c r="O299" s="314"/>
      <c r="P299" s="314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  <c r="AN299" s="321"/>
    </row>
    <row r="300">
      <c r="A300" s="162" t="s">
        <v>282</v>
      </c>
      <c r="B300" s="314"/>
      <c r="C300" s="314"/>
      <c r="D300" s="335" t="s">
        <v>740</v>
      </c>
      <c r="E300" s="355" t="s">
        <v>928</v>
      </c>
      <c r="F300" s="338">
        <f t="shared" ref="F300:F305" si="110">I300/1.05/1.05</f>
        <v>14.49433107</v>
      </c>
      <c r="G300" s="338" t="s">
        <v>483</v>
      </c>
      <c r="H300" s="338">
        <f t="shared" ref="H300:H305" si="111">I300-F300</f>
        <v>1.485668934</v>
      </c>
      <c r="I300" s="338">
        <v>15.98</v>
      </c>
      <c r="J300" s="356">
        <f t="shared" ref="J300:J305" si="112">I300*1.22</f>
        <v>19.4956</v>
      </c>
      <c r="K300" s="517"/>
      <c r="L300" s="517"/>
      <c r="M300" s="314"/>
      <c r="N300" s="314"/>
      <c r="O300" s="314"/>
      <c r="P300" s="314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  <c r="AN300" s="321"/>
    </row>
    <row r="301">
      <c r="A301" s="162" t="s">
        <v>282</v>
      </c>
      <c r="B301" s="314"/>
      <c r="C301" s="314"/>
      <c r="D301" s="345" t="s">
        <v>742</v>
      </c>
      <c r="E301" s="346" t="s">
        <v>929</v>
      </c>
      <c r="F301" s="323">
        <f t="shared" si="110"/>
        <v>16.14512472</v>
      </c>
      <c r="G301" s="323" t="s">
        <v>483</v>
      </c>
      <c r="H301" s="323">
        <f t="shared" si="111"/>
        <v>1.654875283</v>
      </c>
      <c r="I301" s="323">
        <v>17.8</v>
      </c>
      <c r="J301" s="361">
        <f t="shared" si="112"/>
        <v>21.716</v>
      </c>
      <c r="K301" s="517"/>
      <c r="L301" s="517"/>
      <c r="M301" s="314"/>
      <c r="N301" s="314"/>
      <c r="O301" s="314"/>
      <c r="P301" s="314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  <c r="AN301" s="321"/>
    </row>
    <row r="302">
      <c r="A302" s="162" t="s">
        <v>282</v>
      </c>
      <c r="B302" s="314"/>
      <c r="C302" s="314"/>
      <c r="D302" s="345" t="s">
        <v>743</v>
      </c>
      <c r="E302" s="346" t="s">
        <v>930</v>
      </c>
      <c r="F302" s="323">
        <f t="shared" si="110"/>
        <v>20.93424036</v>
      </c>
      <c r="G302" s="323" t="s">
        <v>483</v>
      </c>
      <c r="H302" s="323">
        <f t="shared" si="111"/>
        <v>2.145759637</v>
      </c>
      <c r="I302" s="323">
        <v>23.08</v>
      </c>
      <c r="J302" s="361">
        <f t="shared" si="112"/>
        <v>28.1576</v>
      </c>
      <c r="K302" s="517"/>
      <c r="L302" s="517"/>
      <c r="M302" s="314"/>
      <c r="N302" s="314"/>
      <c r="O302" s="314"/>
      <c r="P302" s="314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  <c r="AN302" s="321"/>
    </row>
    <row r="303">
      <c r="A303" s="162" t="s">
        <v>282</v>
      </c>
      <c r="B303" s="314"/>
      <c r="C303" s="314"/>
      <c r="D303" s="345" t="s">
        <v>745</v>
      </c>
      <c r="E303" s="346" t="s">
        <v>931</v>
      </c>
      <c r="F303" s="323">
        <f t="shared" si="110"/>
        <v>20.80725624</v>
      </c>
      <c r="G303" s="323" t="s">
        <v>483</v>
      </c>
      <c r="H303" s="323">
        <f t="shared" si="111"/>
        <v>2.132743764</v>
      </c>
      <c r="I303" s="323">
        <v>22.94</v>
      </c>
      <c r="J303" s="361">
        <f t="shared" si="112"/>
        <v>27.9868</v>
      </c>
      <c r="K303" s="517"/>
      <c r="L303" s="517"/>
      <c r="M303" s="314"/>
      <c r="N303" s="314"/>
      <c r="O303" s="314"/>
      <c r="P303" s="314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  <c r="AN303" s="321"/>
    </row>
    <row r="304">
      <c r="A304" s="162" t="s">
        <v>282</v>
      </c>
      <c r="B304" s="314"/>
      <c r="C304" s="314"/>
      <c r="D304" s="345" t="s">
        <v>747</v>
      </c>
      <c r="E304" s="346" t="s">
        <v>932</v>
      </c>
      <c r="F304" s="323">
        <f t="shared" si="110"/>
        <v>31.41043084</v>
      </c>
      <c r="G304" s="323" t="s">
        <v>483</v>
      </c>
      <c r="H304" s="323">
        <f t="shared" si="111"/>
        <v>3.219569161</v>
      </c>
      <c r="I304" s="323">
        <v>34.63</v>
      </c>
      <c r="J304" s="361">
        <f t="shared" si="112"/>
        <v>42.2486</v>
      </c>
      <c r="K304" s="517"/>
      <c r="L304" s="517"/>
      <c r="M304" s="314"/>
      <c r="N304" s="314"/>
      <c r="O304" s="314"/>
      <c r="P304" s="314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  <c r="AN304" s="321"/>
    </row>
    <row r="305">
      <c r="A305" s="162" t="s">
        <v>282</v>
      </c>
      <c r="B305" s="314"/>
      <c r="C305" s="314"/>
      <c r="D305" s="348" t="s">
        <v>749</v>
      </c>
      <c r="E305" s="350" t="s">
        <v>933</v>
      </c>
      <c r="F305" s="349">
        <f t="shared" si="110"/>
        <v>38.63945578</v>
      </c>
      <c r="G305" s="349" t="s">
        <v>483</v>
      </c>
      <c r="H305" s="349">
        <f t="shared" si="111"/>
        <v>3.960544218</v>
      </c>
      <c r="I305" s="349">
        <v>42.6</v>
      </c>
      <c r="J305" s="372">
        <f t="shared" si="112"/>
        <v>51.972</v>
      </c>
      <c r="K305" s="517"/>
      <c r="L305" s="517"/>
      <c r="M305" s="314"/>
      <c r="N305" s="314"/>
      <c r="O305" s="314"/>
      <c r="P305" s="314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  <c r="AN305" s="321"/>
    </row>
    <row r="306">
      <c r="A306" s="314"/>
      <c r="B306" s="314"/>
      <c r="C306" s="314"/>
      <c r="D306" s="314"/>
      <c r="E306" s="516" t="s">
        <v>934</v>
      </c>
      <c r="F306" s="314"/>
      <c r="G306" s="314"/>
      <c r="H306" s="314"/>
      <c r="I306" s="314"/>
      <c r="J306" s="314"/>
      <c r="K306" s="321"/>
      <c r="L306" s="321"/>
      <c r="M306" s="314"/>
      <c r="N306" s="314"/>
      <c r="O306" s="314"/>
      <c r="P306" s="314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  <c r="AN306" s="321"/>
    </row>
    <row r="307">
      <c r="A307" s="162" t="s">
        <v>282</v>
      </c>
      <c r="B307" s="314"/>
      <c r="C307" s="314"/>
      <c r="D307" s="518" t="s">
        <v>756</v>
      </c>
      <c r="E307" s="519" t="s">
        <v>935</v>
      </c>
      <c r="F307" s="520">
        <f>(I307/1.05)/1.05</f>
        <v>4.172335601</v>
      </c>
      <c r="G307" s="520" t="s">
        <v>483</v>
      </c>
      <c r="H307" s="520">
        <f>I307-F307</f>
        <v>0.4276643991</v>
      </c>
      <c r="I307" s="520">
        <v>4.6</v>
      </c>
      <c r="J307" s="521">
        <f>I307*1.22</f>
        <v>5.612</v>
      </c>
      <c r="K307" s="517"/>
      <c r="L307" s="517"/>
      <c r="M307" s="314"/>
      <c r="N307" s="314"/>
      <c r="O307" s="314"/>
      <c r="P307" s="314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  <c r="AN307" s="321"/>
    </row>
    <row r="308">
      <c r="A308" s="314"/>
      <c r="B308" s="314"/>
      <c r="C308" s="314"/>
      <c r="D308" s="314"/>
      <c r="E308" s="522" t="s">
        <v>936</v>
      </c>
      <c r="F308" s="314"/>
      <c r="G308" s="314"/>
      <c r="H308" s="314"/>
      <c r="I308" s="314"/>
      <c r="J308" s="314"/>
      <c r="K308" s="321"/>
      <c r="L308" s="321"/>
      <c r="M308" s="314"/>
      <c r="N308" s="314"/>
      <c r="O308" s="314"/>
      <c r="P308" s="314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</row>
    <row r="309">
      <c r="A309" s="162" t="s">
        <v>282</v>
      </c>
      <c r="B309" s="314"/>
      <c r="C309" s="314"/>
      <c r="D309" s="335"/>
      <c r="E309" s="355" t="s">
        <v>937</v>
      </c>
      <c r="F309" s="338">
        <f t="shared" ref="F309:F313" si="113">(I309/1.05)/1.05</f>
        <v>14.73922902</v>
      </c>
      <c r="G309" s="338" t="s">
        <v>483</v>
      </c>
      <c r="H309" s="338">
        <f t="shared" ref="H309:H316" si="114">I309-F309</f>
        <v>1.510770975</v>
      </c>
      <c r="I309" s="338">
        <v>16.25</v>
      </c>
      <c r="J309" s="356">
        <f t="shared" ref="J309:J316" si="115">I309*1.22</f>
        <v>19.825</v>
      </c>
      <c r="K309" s="517"/>
      <c r="L309" s="517"/>
      <c r="M309" s="314"/>
      <c r="N309" s="314"/>
      <c r="O309" s="314"/>
      <c r="P309" s="314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  <c r="AN309" s="321"/>
    </row>
    <row r="310">
      <c r="A310" s="162" t="s">
        <v>282</v>
      </c>
      <c r="B310" s="314"/>
      <c r="C310" s="314"/>
      <c r="D310" s="345"/>
      <c r="E310" s="346" t="s">
        <v>938</v>
      </c>
      <c r="F310" s="323">
        <f t="shared" si="113"/>
        <v>3.256235828</v>
      </c>
      <c r="G310" s="323" t="s">
        <v>483</v>
      </c>
      <c r="H310" s="323">
        <f t="shared" si="114"/>
        <v>0.3337641723</v>
      </c>
      <c r="I310" s="323">
        <v>3.59</v>
      </c>
      <c r="J310" s="361">
        <f t="shared" si="115"/>
        <v>4.3798</v>
      </c>
      <c r="K310" s="517"/>
      <c r="L310" s="517"/>
      <c r="M310" s="314"/>
      <c r="N310" s="314"/>
      <c r="O310" s="314"/>
      <c r="P310" s="314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  <c r="AN310" s="321"/>
    </row>
    <row r="311">
      <c r="A311" s="162" t="s">
        <v>282</v>
      </c>
      <c r="B311" s="314"/>
      <c r="C311" s="314"/>
      <c r="D311" s="345"/>
      <c r="E311" s="346" t="s">
        <v>939</v>
      </c>
      <c r="F311" s="323">
        <f t="shared" si="113"/>
        <v>1.723356009</v>
      </c>
      <c r="G311" s="323" t="s">
        <v>483</v>
      </c>
      <c r="H311" s="323">
        <f t="shared" si="114"/>
        <v>0.1766439909</v>
      </c>
      <c r="I311" s="323">
        <v>1.9</v>
      </c>
      <c r="J311" s="361">
        <f t="shared" si="115"/>
        <v>2.318</v>
      </c>
      <c r="K311" s="517"/>
      <c r="L311" s="517"/>
      <c r="M311" s="314"/>
      <c r="N311" s="314"/>
      <c r="O311" s="314"/>
      <c r="P311" s="314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  <c r="AN311" s="321"/>
    </row>
    <row r="312">
      <c r="A312" s="162" t="s">
        <v>282</v>
      </c>
      <c r="B312" s="314"/>
      <c r="C312" s="314"/>
      <c r="D312" s="345"/>
      <c r="E312" s="346" t="s">
        <v>940</v>
      </c>
      <c r="F312" s="323">
        <f t="shared" si="113"/>
        <v>1.596371882</v>
      </c>
      <c r="G312" s="323" t="s">
        <v>483</v>
      </c>
      <c r="H312" s="323">
        <f t="shared" si="114"/>
        <v>0.1636281179</v>
      </c>
      <c r="I312" s="323">
        <v>1.76</v>
      </c>
      <c r="J312" s="361">
        <f t="shared" si="115"/>
        <v>2.1472</v>
      </c>
      <c r="K312" s="517"/>
      <c r="L312" s="517"/>
      <c r="M312" s="314"/>
      <c r="N312" s="314"/>
      <c r="O312" s="314"/>
      <c r="P312" s="314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  <c r="AN312" s="321"/>
    </row>
    <row r="313">
      <c r="A313" s="162" t="s">
        <v>282</v>
      </c>
      <c r="B313" s="314"/>
      <c r="C313" s="314"/>
      <c r="D313" s="345"/>
      <c r="E313" s="346" t="s">
        <v>941</v>
      </c>
      <c r="F313" s="323">
        <f t="shared" si="113"/>
        <v>1.605442177</v>
      </c>
      <c r="G313" s="323" t="s">
        <v>483</v>
      </c>
      <c r="H313" s="323">
        <f t="shared" si="114"/>
        <v>0.1645578231</v>
      </c>
      <c r="I313" s="323">
        <v>1.77</v>
      </c>
      <c r="J313" s="361">
        <f t="shared" si="115"/>
        <v>2.1594</v>
      </c>
      <c r="K313" s="517"/>
      <c r="L313" s="517"/>
      <c r="M313" s="314"/>
      <c r="N313" s="314"/>
      <c r="O313" s="314"/>
      <c r="P313" s="314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  <c r="AN313" s="321"/>
    </row>
    <row r="314">
      <c r="A314" s="162" t="s">
        <v>282</v>
      </c>
      <c r="B314" s="314"/>
      <c r="C314" s="314"/>
      <c r="D314" s="345"/>
      <c r="E314" s="346" t="s">
        <v>942</v>
      </c>
      <c r="F314" s="323">
        <f t="shared" ref="F314:F316" si="116">I314/1.05/1.05</f>
        <v>3.265306122</v>
      </c>
      <c r="G314" s="323" t="s">
        <v>483</v>
      </c>
      <c r="H314" s="323">
        <f t="shared" si="114"/>
        <v>0.3346938776</v>
      </c>
      <c r="I314" s="323">
        <v>3.6</v>
      </c>
      <c r="J314" s="361">
        <f t="shared" si="115"/>
        <v>4.392</v>
      </c>
      <c r="K314" s="517"/>
      <c r="L314" s="517"/>
      <c r="M314" s="314"/>
      <c r="N314" s="314"/>
      <c r="O314" s="314"/>
      <c r="P314" s="314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  <c r="AN314" s="321"/>
    </row>
    <row r="315">
      <c r="A315" s="162" t="s">
        <v>282</v>
      </c>
      <c r="B315" s="314"/>
      <c r="C315" s="314"/>
      <c r="D315" s="523"/>
      <c r="E315" s="346" t="s">
        <v>943</v>
      </c>
      <c r="F315" s="323">
        <f t="shared" si="116"/>
        <v>3.265306122</v>
      </c>
      <c r="G315" s="323" t="s">
        <v>483</v>
      </c>
      <c r="H315" s="323">
        <f t="shared" si="114"/>
        <v>0.3346938776</v>
      </c>
      <c r="I315" s="323">
        <v>3.6</v>
      </c>
      <c r="J315" s="361">
        <f t="shared" si="115"/>
        <v>4.392</v>
      </c>
      <c r="K315" s="517"/>
      <c r="L315" s="517"/>
      <c r="M315" s="314"/>
      <c r="N315" s="314"/>
      <c r="O315" s="314"/>
      <c r="P315" s="314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  <c r="AN315" s="321"/>
    </row>
    <row r="316">
      <c r="A316" s="162" t="s">
        <v>282</v>
      </c>
      <c r="B316" s="314"/>
      <c r="C316" s="314"/>
      <c r="D316" s="524"/>
      <c r="E316" s="350" t="s">
        <v>944</v>
      </c>
      <c r="F316" s="349">
        <f t="shared" si="116"/>
        <v>23.42857143</v>
      </c>
      <c r="G316" s="349" t="s">
        <v>483</v>
      </c>
      <c r="H316" s="349">
        <f t="shared" si="114"/>
        <v>2.401428571</v>
      </c>
      <c r="I316" s="349">
        <v>25.83</v>
      </c>
      <c r="J316" s="372">
        <f t="shared" si="115"/>
        <v>31.5126</v>
      </c>
      <c r="K316" s="517"/>
      <c r="L316" s="517"/>
      <c r="M316" s="314"/>
      <c r="N316" s="314"/>
      <c r="O316" s="314"/>
      <c r="P316" s="314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  <c r="AN316" s="321"/>
    </row>
    <row r="317">
      <c r="A317" s="314"/>
      <c r="B317" s="314"/>
      <c r="C317" s="314"/>
      <c r="D317" s="314"/>
      <c r="E317" s="314"/>
      <c r="F317" s="314"/>
      <c r="G317" s="314"/>
      <c r="H317" s="314"/>
      <c r="I317" s="314"/>
      <c r="J317" s="314"/>
      <c r="K317" s="321"/>
      <c r="L317" s="321"/>
      <c r="M317" s="314"/>
      <c r="N317" s="314"/>
      <c r="O317" s="314"/>
      <c r="P317" s="314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  <c r="AN317" s="321"/>
    </row>
    <row r="318">
      <c r="A318" s="314"/>
      <c r="B318" s="314"/>
      <c r="C318" s="314"/>
      <c r="D318" s="314"/>
      <c r="E318" s="314"/>
      <c r="F318" s="314"/>
      <c r="G318" s="314"/>
      <c r="H318" s="314"/>
      <c r="I318" s="314"/>
      <c r="J318" s="314"/>
      <c r="K318" s="321"/>
      <c r="L318" s="321"/>
      <c r="M318" s="314"/>
      <c r="N318" s="314"/>
      <c r="O318" s="314"/>
      <c r="P318" s="314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  <c r="AN318" s="321"/>
    </row>
    <row r="319">
      <c r="A319" s="314"/>
      <c r="B319" s="314"/>
      <c r="C319" s="314"/>
      <c r="D319" s="314"/>
      <c r="E319" s="314"/>
      <c r="F319" s="314"/>
      <c r="G319" s="314"/>
      <c r="H319" s="314"/>
      <c r="I319" s="314"/>
      <c r="J319" s="314"/>
      <c r="K319" s="321"/>
      <c r="L319" s="321"/>
      <c r="M319" s="314"/>
      <c r="N319" s="314"/>
      <c r="O319" s="314"/>
      <c r="P319" s="314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  <c r="AN319" s="321"/>
    </row>
    <row r="320">
      <c r="A320" s="314"/>
      <c r="B320" s="314"/>
      <c r="C320" s="314"/>
      <c r="D320" s="314"/>
      <c r="E320" s="314"/>
      <c r="F320" s="314"/>
      <c r="G320" s="314"/>
      <c r="H320" s="314"/>
      <c r="I320" s="314"/>
      <c r="J320" s="314"/>
      <c r="K320" s="321"/>
      <c r="L320" s="321"/>
      <c r="M320" s="314"/>
      <c r="N320" s="314"/>
      <c r="O320" s="314"/>
      <c r="P320" s="314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  <c r="AN320" s="321"/>
    </row>
    <row r="321">
      <c r="A321" s="314"/>
      <c r="B321" s="314"/>
      <c r="C321" s="314"/>
      <c r="D321" s="314"/>
      <c r="E321" s="314"/>
      <c r="F321" s="314"/>
      <c r="G321" s="314"/>
      <c r="H321" s="314"/>
      <c r="I321" s="314"/>
      <c r="J321" s="314"/>
      <c r="K321" s="321"/>
      <c r="L321" s="321"/>
      <c r="M321" s="314"/>
      <c r="N321" s="314"/>
      <c r="O321" s="314"/>
      <c r="P321" s="314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  <c r="AN321" s="321"/>
    </row>
    <row r="322">
      <c r="A322" s="314"/>
      <c r="B322" s="314"/>
      <c r="C322" s="314"/>
      <c r="D322" s="314"/>
      <c r="E322" s="314"/>
      <c r="F322" s="314"/>
      <c r="G322" s="314"/>
      <c r="H322" s="314"/>
      <c r="I322" s="314"/>
      <c r="J322" s="314"/>
      <c r="K322" s="321"/>
      <c r="L322" s="321"/>
      <c r="M322" s="314"/>
      <c r="N322" s="314"/>
      <c r="O322" s="314"/>
      <c r="P322" s="314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  <c r="AN322" s="321"/>
    </row>
    <row r="323">
      <c r="A323" s="314"/>
      <c r="B323" s="314"/>
      <c r="C323" s="314"/>
      <c r="D323" s="314"/>
      <c r="E323" s="314"/>
      <c r="F323" s="314"/>
      <c r="G323" s="314"/>
      <c r="H323" s="314"/>
      <c r="I323" s="314"/>
      <c r="J323" s="314"/>
      <c r="K323" s="321"/>
      <c r="L323" s="321"/>
      <c r="M323" s="314"/>
      <c r="N323" s="314"/>
      <c r="O323" s="314"/>
      <c r="P323" s="314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  <c r="AN323" s="321"/>
    </row>
    <row r="324">
      <c r="A324" s="314"/>
      <c r="B324" s="314"/>
      <c r="C324" s="314"/>
      <c r="D324" s="314"/>
      <c r="E324" s="314"/>
      <c r="F324" s="314"/>
      <c r="G324" s="314"/>
      <c r="H324" s="314"/>
      <c r="I324" s="314"/>
      <c r="J324" s="314"/>
      <c r="K324" s="321"/>
      <c r="L324" s="321"/>
      <c r="M324" s="314"/>
      <c r="N324" s="314"/>
      <c r="O324" s="314"/>
      <c r="P324" s="314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  <c r="AN324" s="321"/>
    </row>
    <row r="325">
      <c r="A325" s="314"/>
      <c r="B325" s="314"/>
      <c r="C325" s="314"/>
      <c r="D325" s="314"/>
      <c r="E325" s="314"/>
      <c r="F325" s="314"/>
      <c r="G325" s="314"/>
      <c r="H325" s="314"/>
      <c r="I325" s="314"/>
      <c r="J325" s="314"/>
      <c r="K325" s="321"/>
      <c r="L325" s="321"/>
      <c r="M325" s="314"/>
      <c r="N325" s="314"/>
      <c r="O325" s="314"/>
      <c r="P325" s="314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  <c r="AN325" s="321"/>
    </row>
    <row r="326">
      <c r="A326" s="314"/>
      <c r="B326" s="314"/>
      <c r="C326" s="314"/>
      <c r="D326" s="314"/>
      <c r="E326" s="314"/>
      <c r="F326" s="314"/>
      <c r="G326" s="314"/>
      <c r="H326" s="314"/>
      <c r="I326" s="314"/>
      <c r="J326" s="314"/>
      <c r="K326" s="321"/>
      <c r="L326" s="321"/>
      <c r="M326" s="314"/>
      <c r="N326" s="314"/>
      <c r="O326" s="314"/>
      <c r="P326" s="314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</row>
    <row r="327">
      <c r="A327" s="314"/>
      <c r="B327" s="314"/>
      <c r="C327" s="314"/>
      <c r="D327" s="314"/>
      <c r="E327" s="314"/>
      <c r="F327" s="314"/>
      <c r="G327" s="314"/>
      <c r="H327" s="314"/>
      <c r="I327" s="314"/>
      <c r="J327" s="314"/>
      <c r="K327" s="321"/>
      <c r="L327" s="321"/>
      <c r="M327" s="314"/>
      <c r="N327" s="314"/>
      <c r="O327" s="314"/>
      <c r="P327" s="314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  <c r="AN327" s="321"/>
    </row>
    <row r="328">
      <c r="A328" s="314"/>
      <c r="B328" s="314"/>
      <c r="C328" s="314"/>
      <c r="D328" s="314"/>
      <c r="E328" s="314"/>
      <c r="F328" s="314"/>
      <c r="G328" s="314"/>
      <c r="H328" s="314"/>
      <c r="I328" s="314"/>
      <c r="J328" s="314"/>
      <c r="K328" s="321"/>
      <c r="L328" s="321"/>
      <c r="M328" s="314"/>
      <c r="N328" s="314"/>
      <c r="O328" s="314"/>
      <c r="P328" s="314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  <c r="AN328" s="321"/>
    </row>
    <row r="329">
      <c r="A329" s="314"/>
      <c r="B329" s="314"/>
      <c r="C329" s="314"/>
      <c r="D329" s="314"/>
      <c r="E329" s="314"/>
      <c r="F329" s="314"/>
      <c r="G329" s="314"/>
      <c r="H329" s="314"/>
      <c r="I329" s="314"/>
      <c r="J329" s="314"/>
      <c r="K329" s="321"/>
      <c r="L329" s="321"/>
      <c r="M329" s="314"/>
      <c r="N329" s="314"/>
      <c r="O329" s="314"/>
      <c r="P329" s="314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  <c r="AN329" s="321"/>
    </row>
    <row r="330">
      <c r="A330" s="314"/>
      <c r="B330" s="314"/>
      <c r="C330" s="314"/>
      <c r="D330" s="314"/>
      <c r="E330" s="314"/>
      <c r="F330" s="314"/>
      <c r="G330" s="314"/>
      <c r="H330" s="314"/>
      <c r="I330" s="314"/>
      <c r="J330" s="314"/>
      <c r="K330" s="321"/>
      <c r="L330" s="321"/>
      <c r="M330" s="314"/>
      <c r="N330" s="314"/>
      <c r="O330" s="314"/>
      <c r="P330" s="314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  <c r="AN330" s="321"/>
    </row>
    <row r="331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  <c r="K331" s="321"/>
      <c r="L331" s="321"/>
      <c r="M331" s="314"/>
      <c r="N331" s="314"/>
      <c r="O331" s="314"/>
      <c r="P331" s="314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  <c r="AN331" s="321"/>
    </row>
    <row r="332">
      <c r="A332" s="314"/>
      <c r="B332" s="314"/>
      <c r="C332" s="314"/>
      <c r="D332" s="314"/>
      <c r="E332" s="314"/>
      <c r="F332" s="314"/>
      <c r="G332" s="314"/>
      <c r="H332" s="314"/>
      <c r="I332" s="314"/>
      <c r="J332" s="314"/>
      <c r="K332" s="321"/>
      <c r="L332" s="321"/>
      <c r="M332" s="314"/>
      <c r="N332" s="314"/>
      <c r="O332" s="314"/>
      <c r="P332" s="314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  <c r="AN332" s="321"/>
    </row>
    <row r="333" ht="15.75" customHeight="1">
      <c r="A333" s="314"/>
      <c r="B333" s="314"/>
      <c r="C333" s="314"/>
      <c r="D333" s="314"/>
      <c r="E333" s="314"/>
      <c r="F333" s="314"/>
      <c r="G333" s="314"/>
      <c r="H333" s="314"/>
      <c r="I333" s="314"/>
      <c r="J333" s="314"/>
      <c r="K333" s="321"/>
      <c r="L333" s="321"/>
      <c r="M333" s="314"/>
      <c r="N333" s="314"/>
      <c r="O333" s="314"/>
      <c r="P333" s="314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  <c r="AN333" s="321"/>
    </row>
    <row r="334" ht="15.75" customHeight="1">
      <c r="A334" s="314"/>
      <c r="B334" s="314"/>
      <c r="C334" s="314"/>
      <c r="D334" s="314"/>
      <c r="E334" s="314"/>
      <c r="F334" s="314"/>
      <c r="G334" s="314"/>
      <c r="H334" s="314"/>
      <c r="I334" s="314"/>
      <c r="J334" s="314"/>
      <c r="K334" s="321"/>
      <c r="L334" s="321"/>
      <c r="M334" s="314"/>
      <c r="N334" s="314"/>
      <c r="O334" s="314"/>
      <c r="P334" s="314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  <c r="AN334" s="321"/>
    </row>
    <row r="335" ht="15.75" customHeight="1">
      <c r="A335" s="314"/>
      <c r="B335" s="314"/>
      <c r="C335" s="314"/>
      <c r="D335" s="314"/>
      <c r="E335" s="314"/>
      <c r="F335" s="314"/>
      <c r="G335" s="314"/>
      <c r="H335" s="314"/>
      <c r="I335" s="314"/>
      <c r="J335" s="314"/>
      <c r="K335" s="321"/>
      <c r="L335" s="321"/>
      <c r="M335" s="314"/>
      <c r="N335" s="314"/>
      <c r="O335" s="314"/>
      <c r="P335" s="314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  <c r="AN335" s="321"/>
    </row>
    <row r="336" ht="15.75" customHeight="1">
      <c r="A336" s="314"/>
      <c r="B336" s="314"/>
      <c r="C336" s="314"/>
      <c r="D336" s="314"/>
      <c r="E336" s="314"/>
      <c r="F336" s="314"/>
      <c r="G336" s="314"/>
      <c r="H336" s="314"/>
      <c r="I336" s="314"/>
      <c r="J336" s="314"/>
      <c r="K336" s="321"/>
      <c r="L336" s="321"/>
      <c r="M336" s="314"/>
      <c r="N336" s="314"/>
      <c r="O336" s="314"/>
      <c r="P336" s="314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  <c r="AN336" s="321"/>
    </row>
    <row r="337" ht="15.75" customHeight="1">
      <c r="A337" s="314"/>
      <c r="B337" s="314"/>
      <c r="C337" s="314"/>
      <c r="D337" s="314"/>
      <c r="E337" s="314"/>
      <c r="F337" s="314"/>
      <c r="G337" s="314"/>
      <c r="H337" s="314"/>
      <c r="I337" s="314"/>
      <c r="J337" s="314"/>
      <c r="K337" s="321"/>
      <c r="L337" s="321"/>
      <c r="M337" s="314"/>
      <c r="N337" s="314"/>
      <c r="O337" s="314"/>
      <c r="P337" s="314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  <c r="AN337" s="321"/>
    </row>
    <row r="338" ht="15.75" customHeight="1">
      <c r="A338" s="314"/>
      <c r="B338" s="314"/>
      <c r="C338" s="314"/>
      <c r="D338" s="314"/>
      <c r="E338" s="314"/>
      <c r="F338" s="314"/>
      <c r="G338" s="314"/>
      <c r="H338" s="314"/>
      <c r="I338" s="314"/>
      <c r="J338" s="314"/>
      <c r="K338" s="321"/>
      <c r="L338" s="321"/>
      <c r="M338" s="314"/>
      <c r="N338" s="314"/>
      <c r="O338" s="314"/>
      <c r="P338" s="314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  <c r="AN338" s="321"/>
    </row>
    <row r="339" ht="15.75" customHeight="1">
      <c r="A339" s="314"/>
      <c r="B339" s="314"/>
      <c r="C339" s="314"/>
      <c r="D339" s="314"/>
      <c r="E339" s="314"/>
      <c r="F339" s="314"/>
      <c r="G339" s="314"/>
      <c r="H339" s="314"/>
      <c r="I339" s="314"/>
      <c r="J339" s="314"/>
      <c r="K339" s="321"/>
      <c r="L339" s="321"/>
      <c r="M339" s="314"/>
      <c r="N339" s="314"/>
      <c r="O339" s="314"/>
      <c r="P339" s="314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  <c r="AN339" s="321"/>
    </row>
    <row r="340" ht="15.75" customHeight="1">
      <c r="A340" s="314"/>
      <c r="B340" s="314"/>
      <c r="C340" s="314"/>
      <c r="D340" s="314"/>
      <c r="E340" s="314"/>
      <c r="F340" s="314"/>
      <c r="G340" s="314"/>
      <c r="H340" s="314"/>
      <c r="I340" s="314"/>
      <c r="J340" s="314"/>
      <c r="K340" s="321"/>
      <c r="L340" s="321"/>
      <c r="M340" s="314"/>
      <c r="N340" s="314"/>
      <c r="O340" s="314"/>
      <c r="P340" s="314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  <c r="AN340" s="321"/>
    </row>
    <row r="341" ht="15.75" customHeight="1">
      <c r="A341" s="314"/>
      <c r="B341" s="314"/>
      <c r="C341" s="314"/>
      <c r="D341" s="314"/>
      <c r="E341" s="314"/>
      <c r="F341" s="314"/>
      <c r="G341" s="314"/>
      <c r="H341" s="314"/>
      <c r="I341" s="314"/>
      <c r="J341" s="314"/>
      <c r="K341" s="321"/>
      <c r="L341" s="321"/>
      <c r="M341" s="314"/>
      <c r="N341" s="314"/>
      <c r="O341" s="314"/>
      <c r="P341" s="314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  <c r="AN341" s="321"/>
    </row>
    <row r="342" ht="15.75" customHeight="1">
      <c r="A342" s="314"/>
      <c r="B342" s="314"/>
      <c r="C342" s="314"/>
      <c r="D342" s="314"/>
      <c r="E342" s="314"/>
      <c r="F342" s="314"/>
      <c r="G342" s="314"/>
      <c r="H342" s="314"/>
      <c r="I342" s="314"/>
      <c r="J342" s="314"/>
      <c r="K342" s="321"/>
      <c r="L342" s="321"/>
      <c r="M342" s="314"/>
      <c r="N342" s="314"/>
      <c r="O342" s="314"/>
      <c r="P342" s="314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  <c r="AN342" s="321"/>
    </row>
    <row r="343" ht="15.75" customHeight="1">
      <c r="A343" s="314"/>
      <c r="B343" s="314"/>
      <c r="C343" s="314"/>
      <c r="D343" s="314"/>
      <c r="E343" s="314"/>
      <c r="F343" s="314"/>
      <c r="G343" s="314"/>
      <c r="H343" s="314"/>
      <c r="I343" s="314"/>
      <c r="J343" s="314"/>
      <c r="K343" s="321"/>
      <c r="L343" s="321"/>
      <c r="M343" s="314"/>
      <c r="N343" s="314"/>
      <c r="O343" s="314"/>
      <c r="P343" s="314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</row>
    <row r="344" ht="15.75" customHeight="1">
      <c r="A344" s="314"/>
      <c r="B344" s="314"/>
      <c r="C344" s="314"/>
      <c r="D344" s="314"/>
      <c r="E344" s="314"/>
      <c r="F344" s="314"/>
      <c r="G344" s="314"/>
      <c r="H344" s="314"/>
      <c r="I344" s="314"/>
      <c r="J344" s="314"/>
      <c r="K344" s="321"/>
      <c r="L344" s="321"/>
      <c r="M344" s="314"/>
      <c r="N344" s="314"/>
      <c r="O344" s="314"/>
      <c r="P344" s="314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  <c r="AN344" s="321"/>
    </row>
    <row r="345" ht="15.75" customHeight="1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21"/>
      <c r="L345" s="321"/>
      <c r="M345" s="314"/>
      <c r="N345" s="314"/>
      <c r="O345" s="314"/>
      <c r="P345" s="314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  <c r="AN345" s="321"/>
    </row>
    <row r="346" ht="15.75" customHeight="1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21"/>
      <c r="L346" s="321"/>
      <c r="M346" s="314"/>
      <c r="N346" s="314"/>
      <c r="O346" s="314"/>
      <c r="P346" s="314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  <c r="AN346" s="321"/>
    </row>
    <row r="347" ht="15.75" customHeight="1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21"/>
      <c r="L347" s="321"/>
      <c r="M347" s="314"/>
      <c r="N347" s="314"/>
      <c r="O347" s="314"/>
      <c r="P347" s="314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  <c r="AN347" s="321"/>
    </row>
    <row r="348" ht="15.75" customHeight="1">
      <c r="A348" s="314"/>
      <c r="B348" s="314"/>
      <c r="C348" s="314"/>
      <c r="D348" s="314"/>
      <c r="E348" s="314"/>
      <c r="F348" s="314"/>
      <c r="G348" s="314"/>
      <c r="H348" s="314"/>
      <c r="I348" s="314"/>
      <c r="J348" s="314"/>
      <c r="K348" s="321"/>
      <c r="L348" s="321"/>
      <c r="M348" s="314"/>
      <c r="N348" s="314"/>
      <c r="O348" s="314"/>
      <c r="P348" s="314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  <c r="AN348" s="321"/>
    </row>
    <row r="349" ht="15.75" customHeight="1">
      <c r="A349" s="314"/>
      <c r="B349" s="314"/>
      <c r="C349" s="314"/>
      <c r="D349" s="314"/>
      <c r="E349" s="314"/>
      <c r="F349" s="314"/>
      <c r="G349" s="314"/>
      <c r="H349" s="314"/>
      <c r="I349" s="314"/>
      <c r="J349" s="314"/>
      <c r="K349" s="321"/>
      <c r="L349" s="321"/>
      <c r="M349" s="314"/>
      <c r="N349" s="314"/>
      <c r="O349" s="314"/>
      <c r="P349" s="314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  <c r="AN349" s="321"/>
    </row>
    <row r="350" ht="15.75" customHeight="1">
      <c r="A350" s="314"/>
      <c r="B350" s="314"/>
      <c r="C350" s="314"/>
      <c r="D350" s="314"/>
      <c r="E350" s="314"/>
      <c r="F350" s="314"/>
      <c r="G350" s="314"/>
      <c r="H350" s="314"/>
      <c r="I350" s="314"/>
      <c r="J350" s="314"/>
      <c r="K350" s="321"/>
      <c r="L350" s="321"/>
      <c r="M350" s="314"/>
      <c r="N350" s="314"/>
      <c r="O350" s="314"/>
      <c r="P350" s="314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  <c r="AN350" s="321"/>
    </row>
    <row r="351" ht="15.75" customHeight="1">
      <c r="A351" s="314"/>
      <c r="B351" s="314"/>
      <c r="C351" s="314"/>
      <c r="D351" s="314"/>
      <c r="E351" s="314"/>
      <c r="F351" s="314"/>
      <c r="G351" s="314"/>
      <c r="H351" s="314"/>
      <c r="I351" s="314"/>
      <c r="J351" s="314"/>
      <c r="K351" s="321"/>
      <c r="L351" s="321"/>
      <c r="M351" s="314"/>
      <c r="N351" s="314"/>
      <c r="O351" s="314"/>
      <c r="P351" s="314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  <c r="AN351" s="321"/>
    </row>
    <row r="352" ht="15.75" customHeight="1">
      <c r="A352" s="314"/>
      <c r="B352" s="314"/>
      <c r="C352" s="314"/>
      <c r="D352" s="314"/>
      <c r="E352" s="314"/>
      <c r="F352" s="314"/>
      <c r="G352" s="314"/>
      <c r="H352" s="314"/>
      <c r="I352" s="314"/>
      <c r="J352" s="314"/>
      <c r="K352" s="321"/>
      <c r="L352" s="321"/>
      <c r="M352" s="314"/>
      <c r="N352" s="314"/>
      <c r="O352" s="314"/>
      <c r="P352" s="314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  <c r="AN352" s="321"/>
    </row>
    <row r="353" ht="15.75" customHeight="1">
      <c r="A353" s="314"/>
      <c r="B353" s="314"/>
      <c r="C353" s="314"/>
      <c r="D353" s="314"/>
      <c r="E353" s="314"/>
      <c r="F353" s="314"/>
      <c r="G353" s="314"/>
      <c r="H353" s="314"/>
      <c r="I353" s="314"/>
      <c r="J353" s="314"/>
      <c r="K353" s="321"/>
      <c r="L353" s="321"/>
      <c r="M353" s="314"/>
      <c r="N353" s="314"/>
      <c r="O353" s="314"/>
      <c r="P353" s="314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  <c r="AN353" s="321"/>
    </row>
    <row r="354" ht="15.75" customHeight="1">
      <c r="A354" s="314"/>
      <c r="B354" s="314"/>
      <c r="C354" s="314"/>
      <c r="D354" s="314"/>
      <c r="E354" s="314"/>
      <c r="F354" s="314"/>
      <c r="G354" s="314"/>
      <c r="H354" s="314"/>
      <c r="I354" s="314"/>
      <c r="J354" s="314"/>
      <c r="K354" s="321"/>
      <c r="L354" s="321"/>
      <c r="M354" s="314"/>
      <c r="N354" s="314"/>
      <c r="O354" s="314"/>
      <c r="P354" s="314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  <c r="AN354" s="321"/>
    </row>
    <row r="355" ht="15.75" customHeight="1">
      <c r="A355" s="314"/>
      <c r="B355" s="314"/>
      <c r="C355" s="314"/>
      <c r="D355" s="314"/>
      <c r="E355" s="314"/>
      <c r="F355" s="314"/>
      <c r="G355" s="314"/>
      <c r="H355" s="314"/>
      <c r="I355" s="314"/>
      <c r="J355" s="314"/>
      <c r="K355" s="321"/>
      <c r="L355" s="321"/>
      <c r="M355" s="314"/>
      <c r="N355" s="314"/>
      <c r="O355" s="314"/>
      <c r="P355" s="314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  <c r="AN355" s="321"/>
    </row>
    <row r="356" ht="15.75" customHeight="1">
      <c r="A356" s="314"/>
      <c r="B356" s="314"/>
      <c r="C356" s="314"/>
      <c r="D356" s="314"/>
      <c r="E356" s="314"/>
      <c r="F356" s="314"/>
      <c r="G356" s="314"/>
      <c r="H356" s="314"/>
      <c r="I356" s="314"/>
      <c r="J356" s="314"/>
      <c r="K356" s="321"/>
      <c r="L356" s="321"/>
      <c r="M356" s="314"/>
      <c r="N356" s="314"/>
      <c r="O356" s="314"/>
      <c r="P356" s="314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  <c r="AN356" s="321"/>
    </row>
    <row r="357" ht="15.75" customHeight="1">
      <c r="A357" s="314"/>
      <c r="B357" s="314"/>
      <c r="C357" s="314"/>
      <c r="D357" s="314"/>
      <c r="E357" s="314"/>
      <c r="F357" s="314"/>
      <c r="G357" s="314"/>
      <c r="H357" s="314"/>
      <c r="I357" s="314"/>
      <c r="J357" s="314"/>
      <c r="K357" s="321"/>
      <c r="L357" s="321"/>
      <c r="M357" s="314"/>
      <c r="N357" s="314"/>
      <c r="O357" s="314"/>
      <c r="P357" s="314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  <c r="AN357" s="321"/>
    </row>
    <row r="358" ht="15.75" customHeight="1">
      <c r="A358" s="314"/>
      <c r="B358" s="314"/>
      <c r="C358" s="314"/>
      <c r="D358" s="314"/>
      <c r="E358" s="314"/>
      <c r="F358" s="314"/>
      <c r="G358" s="314"/>
      <c r="H358" s="314"/>
      <c r="I358" s="314"/>
      <c r="J358" s="314"/>
      <c r="K358" s="321"/>
      <c r="L358" s="321"/>
      <c r="M358" s="314"/>
      <c r="N358" s="314"/>
      <c r="O358" s="314"/>
      <c r="P358" s="314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  <c r="AN358" s="321"/>
    </row>
    <row r="359" ht="15.75" customHeight="1">
      <c r="A359" s="314"/>
      <c r="B359" s="314"/>
      <c r="C359" s="314"/>
      <c r="D359" s="314"/>
      <c r="E359" s="314"/>
      <c r="F359" s="314"/>
      <c r="G359" s="314"/>
      <c r="H359" s="314"/>
      <c r="I359" s="314"/>
      <c r="J359" s="314"/>
      <c r="K359" s="321"/>
      <c r="L359" s="321"/>
      <c r="M359" s="314"/>
      <c r="N359" s="314"/>
      <c r="O359" s="314"/>
      <c r="P359" s="314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  <c r="AN359" s="321"/>
    </row>
    <row r="360" ht="15.75" customHeight="1">
      <c r="A360" s="314"/>
      <c r="B360" s="314"/>
      <c r="C360" s="314"/>
      <c r="D360" s="314"/>
      <c r="E360" s="314"/>
      <c r="F360" s="314"/>
      <c r="G360" s="314"/>
      <c r="H360" s="314"/>
      <c r="I360" s="314"/>
      <c r="J360" s="314"/>
      <c r="K360" s="321"/>
      <c r="L360" s="321"/>
      <c r="M360" s="314"/>
      <c r="N360" s="314"/>
      <c r="O360" s="314"/>
      <c r="P360" s="314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  <c r="AN360" s="321"/>
    </row>
    <row r="361" ht="15.75" customHeight="1">
      <c r="A361" s="314"/>
      <c r="B361" s="314"/>
      <c r="C361" s="314"/>
      <c r="D361" s="314"/>
      <c r="E361" s="314"/>
      <c r="F361" s="314"/>
      <c r="G361" s="314"/>
      <c r="H361" s="314"/>
      <c r="I361" s="314"/>
      <c r="J361" s="314"/>
      <c r="K361" s="321"/>
      <c r="L361" s="321"/>
      <c r="M361" s="314"/>
      <c r="N361" s="314"/>
      <c r="O361" s="314"/>
      <c r="P361" s="314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  <c r="AN361" s="321"/>
    </row>
    <row r="362" ht="15.75" customHeight="1">
      <c r="A362" s="314"/>
      <c r="B362" s="314"/>
      <c r="C362" s="314"/>
      <c r="D362" s="314"/>
      <c r="E362" s="314"/>
      <c r="F362" s="314"/>
      <c r="G362" s="314"/>
      <c r="H362" s="314"/>
      <c r="I362" s="314"/>
      <c r="J362" s="314"/>
      <c r="K362" s="321"/>
      <c r="L362" s="321"/>
      <c r="M362" s="314"/>
      <c r="N362" s="314"/>
      <c r="O362" s="314"/>
      <c r="P362" s="314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  <c r="AN362" s="321"/>
    </row>
    <row r="363" ht="15.75" customHeight="1">
      <c r="A363" s="314"/>
      <c r="B363" s="314"/>
      <c r="C363" s="314"/>
      <c r="D363" s="314"/>
      <c r="E363" s="314"/>
      <c r="F363" s="314"/>
      <c r="G363" s="314"/>
      <c r="H363" s="314"/>
      <c r="I363" s="314"/>
      <c r="J363" s="314"/>
      <c r="K363" s="321"/>
      <c r="L363" s="321"/>
      <c r="M363" s="314"/>
      <c r="N363" s="314"/>
      <c r="O363" s="314"/>
      <c r="P363" s="314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  <c r="AN363" s="321"/>
    </row>
    <row r="364" ht="15.75" customHeight="1">
      <c r="A364" s="314"/>
      <c r="B364" s="314"/>
      <c r="C364" s="314"/>
      <c r="D364" s="314"/>
      <c r="E364" s="314"/>
      <c r="F364" s="314"/>
      <c r="G364" s="314"/>
      <c r="H364" s="314"/>
      <c r="I364" s="314"/>
      <c r="J364" s="314"/>
      <c r="K364" s="321"/>
      <c r="L364" s="321"/>
      <c r="M364" s="314"/>
      <c r="N364" s="314"/>
      <c r="O364" s="314"/>
      <c r="P364" s="314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  <c r="AN364" s="321"/>
    </row>
    <row r="365" ht="15.75" customHeight="1">
      <c r="A365" s="314"/>
      <c r="B365" s="314"/>
      <c r="C365" s="314"/>
      <c r="D365" s="314"/>
      <c r="E365" s="314"/>
      <c r="F365" s="314"/>
      <c r="G365" s="314"/>
      <c r="H365" s="314"/>
      <c r="I365" s="314"/>
      <c r="J365" s="314"/>
      <c r="K365" s="321"/>
      <c r="L365" s="321"/>
      <c r="M365" s="314"/>
      <c r="N365" s="314"/>
      <c r="O365" s="314"/>
      <c r="P365" s="314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  <c r="AN365" s="321"/>
    </row>
    <row r="366" ht="15.75" customHeight="1">
      <c r="A366" s="314"/>
      <c r="B366" s="314"/>
      <c r="C366" s="314"/>
      <c r="D366" s="314"/>
      <c r="E366" s="314"/>
      <c r="F366" s="314"/>
      <c r="G366" s="314"/>
      <c r="H366" s="314"/>
      <c r="I366" s="314"/>
      <c r="J366" s="314"/>
      <c r="K366" s="321"/>
      <c r="L366" s="321"/>
      <c r="M366" s="314"/>
      <c r="N366" s="314"/>
      <c r="O366" s="314"/>
      <c r="P366" s="314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  <c r="AN366" s="321"/>
    </row>
    <row r="367" ht="15.75" customHeight="1">
      <c r="A367" s="314"/>
      <c r="B367" s="314"/>
      <c r="C367" s="314"/>
      <c r="D367" s="314"/>
      <c r="E367" s="314"/>
      <c r="F367" s="314"/>
      <c r="G367" s="314"/>
      <c r="H367" s="314"/>
      <c r="I367" s="314"/>
      <c r="J367" s="314"/>
      <c r="K367" s="321"/>
      <c r="L367" s="321"/>
      <c r="M367" s="314"/>
      <c r="N367" s="314"/>
      <c r="O367" s="314"/>
      <c r="P367" s="314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  <c r="AN367" s="321"/>
    </row>
    <row r="368" ht="15.75" customHeight="1">
      <c r="A368" s="314"/>
      <c r="B368" s="314"/>
      <c r="C368" s="314"/>
      <c r="D368" s="314"/>
      <c r="E368" s="314"/>
      <c r="F368" s="314"/>
      <c r="G368" s="314"/>
      <c r="H368" s="314"/>
      <c r="I368" s="314"/>
      <c r="J368" s="314"/>
      <c r="K368" s="321"/>
      <c r="L368" s="321"/>
      <c r="M368" s="314"/>
      <c r="N368" s="314"/>
      <c r="O368" s="314"/>
      <c r="P368" s="314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  <c r="AN368" s="321"/>
    </row>
    <row r="369" ht="15.75" customHeight="1">
      <c r="A369" s="314"/>
      <c r="B369" s="314"/>
      <c r="C369" s="314"/>
      <c r="D369" s="314"/>
      <c r="E369" s="314"/>
      <c r="F369" s="314"/>
      <c r="G369" s="314"/>
      <c r="H369" s="314"/>
      <c r="I369" s="314"/>
      <c r="J369" s="314"/>
      <c r="K369" s="321"/>
      <c r="L369" s="321"/>
      <c r="M369" s="314"/>
      <c r="N369" s="314"/>
      <c r="O369" s="314"/>
      <c r="P369" s="314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  <c r="AN369" s="321"/>
    </row>
    <row r="370" ht="15.75" customHeight="1">
      <c r="A370" s="314"/>
      <c r="B370" s="314"/>
      <c r="C370" s="314"/>
      <c r="D370" s="314"/>
      <c r="E370" s="314"/>
      <c r="F370" s="314"/>
      <c r="G370" s="314"/>
      <c r="H370" s="314"/>
      <c r="I370" s="314"/>
      <c r="J370" s="314"/>
      <c r="K370" s="321"/>
      <c r="L370" s="321"/>
      <c r="M370" s="314"/>
      <c r="N370" s="314"/>
      <c r="O370" s="314"/>
      <c r="P370" s="314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  <c r="AN370" s="321"/>
    </row>
    <row r="371" ht="15.75" customHeight="1">
      <c r="A371" s="314"/>
      <c r="B371" s="314"/>
      <c r="C371" s="314"/>
      <c r="D371" s="314"/>
      <c r="E371" s="314"/>
      <c r="F371" s="314"/>
      <c r="G371" s="314"/>
      <c r="H371" s="314"/>
      <c r="I371" s="314"/>
      <c r="J371" s="314"/>
      <c r="K371" s="321"/>
      <c r="L371" s="321"/>
      <c r="M371" s="314"/>
      <c r="N371" s="314"/>
      <c r="O371" s="314"/>
      <c r="P371" s="314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  <c r="AN371" s="321"/>
    </row>
    <row r="372" ht="15.75" customHeight="1">
      <c r="A372" s="314"/>
      <c r="B372" s="314"/>
      <c r="C372" s="314"/>
      <c r="D372" s="314"/>
      <c r="E372" s="314"/>
      <c r="F372" s="314"/>
      <c r="G372" s="314"/>
      <c r="H372" s="314"/>
      <c r="I372" s="314"/>
      <c r="J372" s="314"/>
      <c r="K372" s="321"/>
      <c r="L372" s="321"/>
      <c r="M372" s="314"/>
      <c r="N372" s="314"/>
      <c r="O372" s="314"/>
      <c r="P372" s="314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  <c r="AN372" s="321"/>
    </row>
    <row r="373" ht="15.75" customHeight="1">
      <c r="A373" s="314"/>
      <c r="B373" s="314"/>
      <c r="C373" s="314"/>
      <c r="D373" s="314"/>
      <c r="E373" s="314"/>
      <c r="F373" s="314"/>
      <c r="G373" s="314"/>
      <c r="H373" s="314"/>
      <c r="I373" s="314"/>
      <c r="J373" s="314"/>
      <c r="K373" s="321"/>
      <c r="L373" s="321"/>
      <c r="M373" s="314"/>
      <c r="N373" s="314"/>
      <c r="O373" s="314"/>
      <c r="P373" s="314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  <c r="AN373" s="321"/>
    </row>
    <row r="374" ht="15.75" customHeight="1">
      <c r="A374" s="314"/>
      <c r="B374" s="314"/>
      <c r="C374" s="314"/>
      <c r="D374" s="314"/>
      <c r="E374" s="314"/>
      <c r="F374" s="314"/>
      <c r="G374" s="314"/>
      <c r="H374" s="314"/>
      <c r="I374" s="314"/>
      <c r="J374" s="314"/>
      <c r="K374" s="321"/>
      <c r="L374" s="321"/>
      <c r="M374" s="314"/>
      <c r="N374" s="314"/>
      <c r="O374" s="314"/>
      <c r="P374" s="314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  <c r="AN374" s="321"/>
    </row>
    <row r="375" ht="15.75" customHeight="1">
      <c r="A375" s="314"/>
      <c r="B375" s="314"/>
      <c r="C375" s="314"/>
      <c r="D375" s="314"/>
      <c r="E375" s="314"/>
      <c r="F375" s="314"/>
      <c r="G375" s="314"/>
      <c r="H375" s="314"/>
      <c r="I375" s="314"/>
      <c r="J375" s="314"/>
      <c r="K375" s="321"/>
      <c r="L375" s="321"/>
      <c r="M375" s="314"/>
      <c r="N375" s="314"/>
      <c r="O375" s="314"/>
      <c r="P375" s="314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  <c r="AN375" s="321"/>
    </row>
    <row r="376" ht="15.75" customHeight="1">
      <c r="A376" s="314"/>
      <c r="B376" s="314"/>
      <c r="C376" s="314"/>
      <c r="D376" s="314"/>
      <c r="E376" s="314"/>
      <c r="F376" s="314"/>
      <c r="G376" s="314"/>
      <c r="H376" s="314"/>
      <c r="I376" s="314"/>
      <c r="J376" s="314"/>
      <c r="K376" s="321"/>
      <c r="L376" s="321"/>
      <c r="M376" s="314"/>
      <c r="N376" s="314"/>
      <c r="O376" s="314"/>
      <c r="P376" s="314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  <c r="AN376" s="321"/>
    </row>
    <row r="377" ht="15.75" customHeight="1">
      <c r="A377" s="314"/>
      <c r="B377" s="314"/>
      <c r="C377" s="314"/>
      <c r="D377" s="314"/>
      <c r="E377" s="314"/>
      <c r="F377" s="314"/>
      <c r="G377" s="314"/>
      <c r="H377" s="314"/>
      <c r="I377" s="314"/>
      <c r="J377" s="314"/>
      <c r="K377" s="321"/>
      <c r="L377" s="321"/>
      <c r="M377" s="314"/>
      <c r="N377" s="314"/>
      <c r="O377" s="314"/>
      <c r="P377" s="314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  <c r="AN377" s="321"/>
    </row>
    <row r="378" ht="15.75" customHeight="1">
      <c r="A378" s="314"/>
      <c r="B378" s="314"/>
      <c r="C378" s="314"/>
      <c r="D378" s="314"/>
      <c r="E378" s="314"/>
      <c r="F378" s="314"/>
      <c r="G378" s="314"/>
      <c r="H378" s="314"/>
      <c r="I378" s="314"/>
      <c r="J378" s="314"/>
      <c r="K378" s="321"/>
      <c r="L378" s="321"/>
      <c r="M378" s="314"/>
      <c r="N378" s="314"/>
      <c r="O378" s="314"/>
      <c r="P378" s="314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  <c r="AN378" s="321"/>
    </row>
    <row r="379" ht="15.75" customHeight="1">
      <c r="A379" s="314"/>
      <c r="B379" s="314"/>
      <c r="C379" s="314"/>
      <c r="D379" s="314"/>
      <c r="E379" s="314"/>
      <c r="F379" s="314"/>
      <c r="G379" s="314"/>
      <c r="H379" s="314"/>
      <c r="I379" s="314"/>
      <c r="J379" s="314"/>
      <c r="K379" s="321"/>
      <c r="L379" s="321"/>
      <c r="M379" s="314"/>
      <c r="N379" s="314"/>
      <c r="O379" s="314"/>
      <c r="P379" s="314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  <c r="AN379" s="321"/>
    </row>
    <row r="380" ht="15.75" customHeight="1">
      <c r="A380" s="314"/>
      <c r="B380" s="314"/>
      <c r="C380" s="314"/>
      <c r="D380" s="314"/>
      <c r="E380" s="314"/>
      <c r="F380" s="314"/>
      <c r="G380" s="314"/>
      <c r="H380" s="314"/>
      <c r="I380" s="314"/>
      <c r="J380" s="314"/>
      <c r="K380" s="321"/>
      <c r="L380" s="321"/>
      <c r="M380" s="314"/>
      <c r="N380" s="314"/>
      <c r="O380" s="314"/>
      <c r="P380" s="314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  <c r="AN380" s="321"/>
    </row>
    <row r="381" ht="15.75" customHeight="1">
      <c r="A381" s="314"/>
      <c r="B381" s="314"/>
      <c r="C381" s="314"/>
      <c r="D381" s="314"/>
      <c r="E381" s="314"/>
      <c r="F381" s="314"/>
      <c r="G381" s="314"/>
      <c r="H381" s="314"/>
      <c r="I381" s="314"/>
      <c r="J381" s="314"/>
      <c r="K381" s="321"/>
      <c r="L381" s="321"/>
      <c r="M381" s="314"/>
      <c r="N381" s="314"/>
      <c r="O381" s="314"/>
      <c r="P381" s="314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  <c r="AN381" s="321"/>
    </row>
    <row r="382" ht="15.75" customHeight="1">
      <c r="A382" s="314"/>
      <c r="B382" s="314"/>
      <c r="C382" s="314"/>
      <c r="D382" s="314"/>
      <c r="E382" s="314"/>
      <c r="F382" s="314"/>
      <c r="G382" s="314"/>
      <c r="H382" s="314"/>
      <c r="I382" s="314"/>
      <c r="J382" s="314"/>
      <c r="K382" s="321"/>
      <c r="L382" s="321"/>
      <c r="M382" s="314"/>
      <c r="N382" s="314"/>
      <c r="O382" s="314"/>
      <c r="P382" s="314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  <c r="AN382" s="321"/>
    </row>
    <row r="383" ht="15.75" customHeight="1">
      <c r="A383" s="314"/>
      <c r="B383" s="314"/>
      <c r="C383" s="314"/>
      <c r="D383" s="314"/>
      <c r="E383" s="314"/>
      <c r="F383" s="314"/>
      <c r="G383" s="314"/>
      <c r="H383" s="314"/>
      <c r="I383" s="314"/>
      <c r="J383" s="314"/>
      <c r="K383" s="321"/>
      <c r="L383" s="321"/>
      <c r="M383" s="314"/>
      <c r="N383" s="314"/>
      <c r="O383" s="314"/>
      <c r="P383" s="314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  <c r="AN383" s="321"/>
    </row>
    <row r="384" ht="15.75" customHeight="1">
      <c r="A384" s="314"/>
      <c r="B384" s="314"/>
      <c r="C384" s="314"/>
      <c r="D384" s="314"/>
      <c r="E384" s="314"/>
      <c r="F384" s="314"/>
      <c r="G384" s="314"/>
      <c r="H384" s="314"/>
      <c r="I384" s="314"/>
      <c r="J384" s="314"/>
      <c r="K384" s="321"/>
      <c r="L384" s="321"/>
      <c r="M384" s="314"/>
      <c r="N384" s="314"/>
      <c r="O384" s="314"/>
      <c r="P384" s="314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  <c r="AN384" s="321"/>
    </row>
    <row r="385" ht="15.75" customHeight="1">
      <c r="A385" s="314"/>
      <c r="B385" s="314"/>
      <c r="C385" s="314"/>
      <c r="D385" s="314"/>
      <c r="E385" s="314"/>
      <c r="F385" s="314"/>
      <c r="G385" s="314"/>
      <c r="H385" s="314"/>
      <c r="I385" s="314"/>
      <c r="J385" s="314"/>
      <c r="K385" s="321"/>
      <c r="L385" s="321"/>
      <c r="M385" s="314"/>
      <c r="N385" s="314"/>
      <c r="O385" s="314"/>
      <c r="P385" s="314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  <c r="AN385" s="321"/>
    </row>
    <row r="386" ht="15.75" customHeight="1">
      <c r="A386" s="314"/>
      <c r="B386" s="314"/>
      <c r="C386" s="314"/>
      <c r="D386" s="314"/>
      <c r="E386" s="314"/>
      <c r="F386" s="314"/>
      <c r="G386" s="314"/>
      <c r="H386" s="314"/>
      <c r="I386" s="314"/>
      <c r="J386" s="314"/>
      <c r="K386" s="321"/>
      <c r="L386" s="321"/>
      <c r="M386" s="314"/>
      <c r="N386" s="314"/>
      <c r="O386" s="314"/>
      <c r="P386" s="314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  <c r="AN386" s="321"/>
    </row>
    <row r="387" ht="15.75" customHeight="1">
      <c r="A387" s="314"/>
      <c r="B387" s="314"/>
      <c r="C387" s="314"/>
      <c r="D387" s="314"/>
      <c r="E387" s="314"/>
      <c r="F387" s="314"/>
      <c r="G387" s="314"/>
      <c r="H387" s="314"/>
      <c r="I387" s="314"/>
      <c r="J387" s="314"/>
      <c r="K387" s="321"/>
      <c r="L387" s="321"/>
      <c r="M387" s="314"/>
      <c r="N387" s="314"/>
      <c r="O387" s="314"/>
      <c r="P387" s="314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  <c r="AN387" s="321"/>
    </row>
    <row r="388" ht="15.75" customHeight="1">
      <c r="A388" s="314"/>
      <c r="B388" s="314"/>
      <c r="C388" s="314"/>
      <c r="D388" s="314"/>
      <c r="E388" s="314"/>
      <c r="F388" s="314"/>
      <c r="G388" s="314"/>
      <c r="H388" s="314"/>
      <c r="I388" s="314"/>
      <c r="J388" s="314"/>
      <c r="K388" s="321"/>
      <c r="L388" s="321"/>
      <c r="M388" s="314"/>
      <c r="N388" s="314"/>
      <c r="O388" s="314"/>
      <c r="P388" s="314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  <c r="AN388" s="321"/>
    </row>
    <row r="389" ht="15.75" customHeight="1">
      <c r="A389" s="314"/>
      <c r="B389" s="314"/>
      <c r="C389" s="314"/>
      <c r="D389" s="314"/>
      <c r="E389" s="314"/>
      <c r="F389" s="314"/>
      <c r="G389" s="314"/>
      <c r="H389" s="314"/>
      <c r="I389" s="314"/>
      <c r="J389" s="314"/>
      <c r="K389" s="321"/>
      <c r="L389" s="321"/>
      <c r="M389" s="314"/>
      <c r="N389" s="314"/>
      <c r="O389" s="314"/>
      <c r="P389" s="314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  <c r="AN389" s="321"/>
    </row>
    <row r="390" ht="15.75" customHeight="1">
      <c r="A390" s="314"/>
      <c r="B390" s="314"/>
      <c r="C390" s="314"/>
      <c r="D390" s="314"/>
      <c r="E390" s="314"/>
      <c r="F390" s="314"/>
      <c r="G390" s="314"/>
      <c r="H390" s="314"/>
      <c r="I390" s="314"/>
      <c r="J390" s="314"/>
      <c r="K390" s="321"/>
      <c r="L390" s="321"/>
      <c r="M390" s="314"/>
      <c r="N390" s="314"/>
      <c r="O390" s="314"/>
      <c r="P390" s="314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  <c r="AN390" s="321"/>
    </row>
    <row r="391" ht="15.75" customHeight="1">
      <c r="A391" s="314"/>
      <c r="B391" s="314"/>
      <c r="C391" s="314"/>
      <c r="D391" s="314"/>
      <c r="E391" s="314"/>
      <c r="F391" s="314"/>
      <c r="G391" s="314"/>
      <c r="H391" s="314"/>
      <c r="I391" s="314"/>
      <c r="J391" s="314"/>
      <c r="K391" s="321"/>
      <c r="L391" s="321"/>
      <c r="M391" s="314"/>
      <c r="N391" s="314"/>
      <c r="O391" s="314"/>
      <c r="P391" s="314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  <c r="AN391" s="321"/>
    </row>
    <row r="392" ht="15.75" customHeight="1">
      <c r="A392" s="314"/>
      <c r="B392" s="314"/>
      <c r="C392" s="314"/>
      <c r="D392" s="314"/>
      <c r="E392" s="314"/>
      <c r="F392" s="314"/>
      <c r="G392" s="314"/>
      <c r="H392" s="314"/>
      <c r="I392" s="314"/>
      <c r="J392" s="314"/>
      <c r="K392" s="321"/>
      <c r="L392" s="321"/>
      <c r="M392" s="314"/>
      <c r="N392" s="314"/>
      <c r="O392" s="314"/>
      <c r="P392" s="314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  <c r="AN392" s="321"/>
    </row>
    <row r="393" ht="15.75" customHeight="1">
      <c r="A393" s="314"/>
      <c r="B393" s="314"/>
      <c r="C393" s="314"/>
      <c r="D393" s="314"/>
      <c r="E393" s="314"/>
      <c r="F393" s="314"/>
      <c r="G393" s="314"/>
      <c r="H393" s="314"/>
      <c r="I393" s="314"/>
      <c r="J393" s="314"/>
      <c r="K393" s="321"/>
      <c r="L393" s="321"/>
      <c r="M393" s="314"/>
      <c r="N393" s="314"/>
      <c r="O393" s="314"/>
      <c r="P393" s="314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  <c r="AN393" s="321"/>
    </row>
    <row r="394" ht="15.75" customHeight="1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  <c r="K394" s="321"/>
      <c r="L394" s="321"/>
      <c r="M394" s="314"/>
      <c r="N394" s="314"/>
      <c r="O394" s="314"/>
      <c r="P394" s="314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  <c r="AN394" s="321"/>
    </row>
    <row r="395" ht="15.75" customHeight="1">
      <c r="A395" s="314"/>
      <c r="B395" s="314"/>
      <c r="C395" s="314"/>
      <c r="D395" s="314"/>
      <c r="E395" s="314"/>
      <c r="F395" s="314"/>
      <c r="G395" s="314"/>
      <c r="H395" s="314"/>
      <c r="I395" s="314"/>
      <c r="J395" s="314"/>
      <c r="K395" s="321"/>
      <c r="L395" s="321"/>
      <c r="M395" s="314"/>
      <c r="N395" s="314"/>
      <c r="O395" s="314"/>
      <c r="P395" s="314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  <c r="AN395" s="321"/>
    </row>
    <row r="396" ht="15.75" customHeight="1">
      <c r="A396" s="314"/>
      <c r="B396" s="314"/>
      <c r="C396" s="314"/>
      <c r="D396" s="314"/>
      <c r="E396" s="314"/>
      <c r="F396" s="314"/>
      <c r="G396" s="314"/>
      <c r="H396" s="314"/>
      <c r="I396" s="314"/>
      <c r="J396" s="314"/>
      <c r="K396" s="321"/>
      <c r="L396" s="321"/>
      <c r="M396" s="314"/>
      <c r="N396" s="314"/>
      <c r="O396" s="314"/>
      <c r="P396" s="314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  <c r="AN396" s="321"/>
    </row>
    <row r="397" ht="15.75" customHeight="1">
      <c r="A397" s="314"/>
      <c r="B397" s="314"/>
      <c r="C397" s="314"/>
      <c r="D397" s="314"/>
      <c r="E397" s="314"/>
      <c r="F397" s="314"/>
      <c r="G397" s="314"/>
      <c r="H397" s="314"/>
      <c r="I397" s="314"/>
      <c r="J397" s="314"/>
      <c r="K397" s="321"/>
      <c r="L397" s="321"/>
      <c r="M397" s="314"/>
      <c r="N397" s="314"/>
      <c r="O397" s="314"/>
      <c r="P397" s="314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  <c r="AN397" s="321"/>
    </row>
    <row r="398" ht="15.75" customHeight="1">
      <c r="A398" s="314"/>
      <c r="B398" s="314"/>
      <c r="C398" s="314"/>
      <c r="D398" s="314"/>
      <c r="E398" s="314"/>
      <c r="F398" s="314"/>
      <c r="G398" s="314"/>
      <c r="H398" s="314"/>
      <c r="I398" s="314"/>
      <c r="J398" s="314"/>
      <c r="K398" s="321"/>
      <c r="L398" s="321"/>
      <c r="M398" s="314"/>
      <c r="N398" s="314"/>
      <c r="O398" s="314"/>
      <c r="P398" s="314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  <c r="AN398" s="321"/>
    </row>
    <row r="399" ht="15.75" customHeight="1">
      <c r="A399" s="314"/>
      <c r="B399" s="314"/>
      <c r="C399" s="314"/>
      <c r="D399" s="314"/>
      <c r="E399" s="314"/>
      <c r="F399" s="314"/>
      <c r="G399" s="314"/>
      <c r="H399" s="314"/>
      <c r="I399" s="314"/>
      <c r="J399" s="314"/>
      <c r="K399" s="321"/>
      <c r="L399" s="321"/>
      <c r="M399" s="314"/>
      <c r="N399" s="314"/>
      <c r="O399" s="314"/>
      <c r="P399" s="314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  <c r="AN399" s="321"/>
    </row>
    <row r="400" ht="15.75" customHeight="1">
      <c r="A400" s="314"/>
      <c r="B400" s="314"/>
      <c r="C400" s="314"/>
      <c r="D400" s="314"/>
      <c r="E400" s="314"/>
      <c r="F400" s="314"/>
      <c r="G400" s="314"/>
      <c r="H400" s="314"/>
      <c r="I400" s="314"/>
      <c r="J400" s="314"/>
      <c r="K400" s="321"/>
      <c r="L400" s="321"/>
      <c r="M400" s="314"/>
      <c r="N400" s="314"/>
      <c r="O400" s="314"/>
      <c r="P400" s="314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  <c r="AN400" s="321"/>
    </row>
    <row r="401" ht="15.75" customHeight="1">
      <c r="A401" s="314"/>
      <c r="B401" s="314"/>
      <c r="C401" s="314"/>
      <c r="D401" s="314"/>
      <c r="E401" s="314"/>
      <c r="F401" s="314"/>
      <c r="G401" s="314"/>
      <c r="H401" s="314"/>
      <c r="I401" s="314"/>
      <c r="J401" s="314"/>
      <c r="K401" s="321"/>
      <c r="L401" s="321"/>
      <c r="M401" s="314"/>
      <c r="N401" s="314"/>
      <c r="O401" s="314"/>
      <c r="P401" s="314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  <c r="AN401" s="321"/>
    </row>
    <row r="402" ht="15.75" customHeight="1">
      <c r="A402" s="314"/>
      <c r="B402" s="314"/>
      <c r="C402" s="314"/>
      <c r="D402" s="314"/>
      <c r="E402" s="314"/>
      <c r="F402" s="314"/>
      <c r="G402" s="314"/>
      <c r="H402" s="314"/>
      <c r="I402" s="314"/>
      <c r="J402" s="314"/>
      <c r="K402" s="321"/>
      <c r="L402" s="321"/>
      <c r="M402" s="314"/>
      <c r="N402" s="314"/>
      <c r="O402" s="314"/>
      <c r="P402" s="314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  <c r="AN402" s="321"/>
    </row>
    <row r="403" ht="15.75" customHeight="1">
      <c r="A403" s="314"/>
      <c r="B403" s="314"/>
      <c r="C403" s="314"/>
      <c r="D403" s="314"/>
      <c r="E403" s="314"/>
      <c r="F403" s="314"/>
      <c r="G403" s="314"/>
      <c r="H403" s="314"/>
      <c r="I403" s="314"/>
      <c r="J403" s="314"/>
      <c r="K403" s="321"/>
      <c r="L403" s="321"/>
      <c r="M403" s="314"/>
      <c r="N403" s="314"/>
      <c r="O403" s="314"/>
      <c r="P403" s="314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  <c r="AN403" s="321"/>
    </row>
    <row r="404" ht="15.75" customHeight="1">
      <c r="A404" s="314"/>
      <c r="B404" s="314"/>
      <c r="C404" s="314"/>
      <c r="D404" s="314"/>
      <c r="E404" s="314"/>
      <c r="F404" s="314"/>
      <c r="G404" s="314"/>
      <c r="H404" s="314"/>
      <c r="I404" s="314"/>
      <c r="J404" s="314"/>
      <c r="K404" s="321"/>
      <c r="L404" s="321"/>
      <c r="M404" s="314"/>
      <c r="N404" s="314"/>
      <c r="O404" s="314"/>
      <c r="P404" s="314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  <c r="AN404" s="321"/>
    </row>
    <row r="405" ht="15.75" customHeight="1">
      <c r="A405" s="314"/>
      <c r="B405" s="314"/>
      <c r="C405" s="314"/>
      <c r="D405" s="314"/>
      <c r="E405" s="314"/>
      <c r="F405" s="314"/>
      <c r="G405" s="314"/>
      <c r="H405" s="314"/>
      <c r="I405" s="314"/>
      <c r="J405" s="314"/>
      <c r="K405" s="321"/>
      <c r="L405" s="321"/>
      <c r="M405" s="314"/>
      <c r="N405" s="314"/>
      <c r="O405" s="314"/>
      <c r="P405" s="314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  <c r="AN405" s="321"/>
    </row>
    <row r="406" ht="15.75" customHeight="1">
      <c r="A406" s="314"/>
      <c r="B406" s="314"/>
      <c r="C406" s="314"/>
      <c r="D406" s="314"/>
      <c r="E406" s="314"/>
      <c r="F406" s="314"/>
      <c r="G406" s="314"/>
      <c r="H406" s="314"/>
      <c r="I406" s="314"/>
      <c r="J406" s="314"/>
      <c r="K406" s="321"/>
      <c r="L406" s="321"/>
      <c r="M406" s="314"/>
      <c r="N406" s="314"/>
      <c r="O406" s="314"/>
      <c r="P406" s="314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  <c r="AN406" s="321"/>
    </row>
    <row r="407" ht="15.75" customHeight="1">
      <c r="A407" s="314"/>
      <c r="B407" s="314"/>
      <c r="C407" s="314"/>
      <c r="D407" s="314"/>
      <c r="E407" s="314"/>
      <c r="F407" s="314"/>
      <c r="G407" s="314"/>
      <c r="H407" s="314"/>
      <c r="I407" s="314"/>
      <c r="J407" s="314"/>
      <c r="K407" s="321"/>
      <c r="L407" s="321"/>
      <c r="M407" s="314"/>
      <c r="N407" s="314"/>
      <c r="O407" s="314"/>
      <c r="P407" s="314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  <c r="AN407" s="321"/>
    </row>
    <row r="408" ht="15.75" customHeight="1">
      <c r="A408" s="314"/>
      <c r="B408" s="314"/>
      <c r="C408" s="314"/>
      <c r="D408" s="314"/>
      <c r="E408" s="314"/>
      <c r="F408" s="314"/>
      <c r="G408" s="314"/>
      <c r="H408" s="314"/>
      <c r="I408" s="314"/>
      <c r="J408" s="314"/>
      <c r="K408" s="321"/>
      <c r="L408" s="321"/>
      <c r="M408" s="314"/>
      <c r="N408" s="314"/>
      <c r="O408" s="314"/>
      <c r="P408" s="314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  <c r="AN408" s="321"/>
    </row>
    <row r="409" ht="15.75" customHeight="1">
      <c r="A409" s="314"/>
      <c r="B409" s="314"/>
      <c r="C409" s="314"/>
      <c r="D409" s="314"/>
      <c r="E409" s="314"/>
      <c r="F409" s="314"/>
      <c r="G409" s="314"/>
      <c r="H409" s="314"/>
      <c r="I409" s="314"/>
      <c r="J409" s="314"/>
      <c r="K409" s="321"/>
      <c r="L409" s="321"/>
      <c r="M409" s="314"/>
      <c r="N409" s="314"/>
      <c r="O409" s="314"/>
      <c r="P409" s="314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  <c r="AN409" s="321"/>
    </row>
    <row r="410" ht="15.75" customHeight="1">
      <c r="A410" s="314"/>
      <c r="B410" s="314"/>
      <c r="C410" s="314"/>
      <c r="D410" s="314"/>
      <c r="E410" s="314"/>
      <c r="F410" s="314"/>
      <c r="G410" s="314"/>
      <c r="H410" s="314"/>
      <c r="I410" s="314"/>
      <c r="J410" s="314"/>
      <c r="K410" s="321"/>
      <c r="L410" s="321"/>
      <c r="M410" s="314"/>
      <c r="N410" s="314"/>
      <c r="O410" s="314"/>
      <c r="P410" s="314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  <c r="AN410" s="321"/>
    </row>
    <row r="411" ht="15.75" customHeight="1">
      <c r="A411" s="314"/>
      <c r="B411" s="314"/>
      <c r="C411" s="314"/>
      <c r="D411" s="314"/>
      <c r="E411" s="314"/>
      <c r="F411" s="314"/>
      <c r="G411" s="314"/>
      <c r="H411" s="314"/>
      <c r="I411" s="314"/>
      <c r="J411" s="314"/>
      <c r="K411" s="321"/>
      <c r="L411" s="321"/>
      <c r="M411" s="314"/>
      <c r="N411" s="314"/>
      <c r="O411" s="314"/>
      <c r="P411" s="314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  <c r="AN411" s="321"/>
    </row>
    <row r="412" ht="15.75" customHeight="1">
      <c r="A412" s="314"/>
      <c r="B412" s="314"/>
      <c r="C412" s="314"/>
      <c r="D412" s="314"/>
      <c r="E412" s="314"/>
      <c r="F412" s="314"/>
      <c r="G412" s="314"/>
      <c r="H412" s="314"/>
      <c r="I412" s="314"/>
      <c r="J412" s="314"/>
      <c r="K412" s="321"/>
      <c r="L412" s="321"/>
      <c r="M412" s="314"/>
      <c r="N412" s="314"/>
      <c r="O412" s="314"/>
      <c r="P412" s="314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  <c r="AN412" s="321"/>
    </row>
    <row r="413" ht="15.75" customHeight="1">
      <c r="A413" s="314"/>
      <c r="B413" s="314"/>
      <c r="C413" s="314"/>
      <c r="D413" s="314"/>
      <c r="E413" s="314"/>
      <c r="F413" s="314"/>
      <c r="G413" s="314"/>
      <c r="H413" s="314"/>
      <c r="I413" s="314"/>
      <c r="J413" s="314"/>
      <c r="K413" s="321"/>
      <c r="L413" s="321"/>
      <c r="M413" s="314"/>
      <c r="N413" s="314"/>
      <c r="O413" s="314"/>
      <c r="P413" s="314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  <c r="AN413" s="321"/>
    </row>
    <row r="414" ht="15.75" customHeight="1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21"/>
      <c r="L414" s="321"/>
      <c r="M414" s="314"/>
      <c r="N414" s="314"/>
      <c r="O414" s="314"/>
      <c r="P414" s="314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  <c r="AN414" s="321"/>
    </row>
    <row r="415" ht="15.75" customHeight="1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21"/>
      <c r="L415" s="321"/>
      <c r="M415" s="314"/>
      <c r="N415" s="314"/>
      <c r="O415" s="314"/>
      <c r="P415" s="314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  <c r="AN415" s="321"/>
    </row>
    <row r="416" ht="15.75" customHeight="1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21"/>
      <c r="L416" s="321"/>
      <c r="M416" s="314"/>
      <c r="N416" s="314"/>
      <c r="O416" s="314"/>
      <c r="P416" s="314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  <c r="AN416" s="321"/>
    </row>
    <row r="417" ht="15.75" customHeight="1">
      <c r="A417" s="314"/>
      <c r="B417" s="314"/>
      <c r="C417" s="314"/>
      <c r="D417" s="314"/>
      <c r="E417" s="314"/>
      <c r="F417" s="314"/>
      <c r="G417" s="314"/>
      <c r="H417" s="314"/>
      <c r="I417" s="314"/>
      <c r="J417" s="314"/>
      <c r="K417" s="321"/>
      <c r="L417" s="321"/>
      <c r="M417" s="314"/>
      <c r="N417" s="314"/>
      <c r="O417" s="314"/>
      <c r="P417" s="314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  <c r="AN417" s="321"/>
    </row>
    <row r="418" ht="15.75" customHeight="1">
      <c r="A418" s="314"/>
      <c r="B418" s="314"/>
      <c r="C418" s="314"/>
      <c r="D418" s="314"/>
      <c r="E418" s="314"/>
      <c r="F418" s="314"/>
      <c r="G418" s="314"/>
      <c r="H418" s="314"/>
      <c r="I418" s="314"/>
      <c r="J418" s="314"/>
      <c r="K418" s="321"/>
      <c r="L418" s="321"/>
      <c r="M418" s="314"/>
      <c r="N418" s="314"/>
      <c r="O418" s="314"/>
      <c r="P418" s="314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  <c r="AN418" s="321"/>
    </row>
    <row r="419" ht="15.75" customHeight="1">
      <c r="A419" s="314"/>
      <c r="B419" s="314"/>
      <c r="C419" s="314"/>
      <c r="D419" s="314"/>
      <c r="E419" s="314"/>
      <c r="F419" s="314"/>
      <c r="G419" s="314"/>
      <c r="H419" s="314"/>
      <c r="I419" s="314"/>
      <c r="J419" s="314"/>
      <c r="K419" s="321"/>
      <c r="L419" s="321"/>
      <c r="M419" s="314"/>
      <c r="N419" s="314"/>
      <c r="O419" s="314"/>
      <c r="P419" s="314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  <c r="AN419" s="321"/>
    </row>
    <row r="420" ht="15.75" customHeight="1">
      <c r="A420" s="314"/>
      <c r="B420" s="314"/>
      <c r="C420" s="314"/>
      <c r="D420" s="314"/>
      <c r="E420" s="314"/>
      <c r="F420" s="314"/>
      <c r="G420" s="314"/>
      <c r="H420" s="314"/>
      <c r="I420" s="314"/>
      <c r="J420" s="314"/>
      <c r="K420" s="321"/>
      <c r="L420" s="321"/>
      <c r="M420" s="314"/>
      <c r="N420" s="314"/>
      <c r="O420" s="314"/>
      <c r="P420" s="314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  <c r="AN420" s="321"/>
    </row>
    <row r="421" ht="15.75" customHeight="1">
      <c r="A421" s="314"/>
      <c r="B421" s="314"/>
      <c r="C421" s="314"/>
      <c r="D421" s="314"/>
      <c r="E421" s="314"/>
      <c r="F421" s="314"/>
      <c r="G421" s="314"/>
      <c r="H421" s="314"/>
      <c r="I421" s="314"/>
      <c r="J421" s="314"/>
      <c r="K421" s="321"/>
      <c r="L421" s="321"/>
      <c r="M421" s="314"/>
      <c r="N421" s="314"/>
      <c r="O421" s="314"/>
      <c r="P421" s="314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  <c r="AN421" s="321"/>
    </row>
    <row r="422" ht="15.75" customHeight="1">
      <c r="A422" s="314"/>
      <c r="B422" s="314"/>
      <c r="C422" s="314"/>
      <c r="D422" s="314"/>
      <c r="E422" s="314"/>
      <c r="F422" s="314"/>
      <c r="G422" s="314"/>
      <c r="H422" s="314"/>
      <c r="I422" s="314"/>
      <c r="J422" s="314"/>
      <c r="K422" s="321"/>
      <c r="L422" s="321"/>
      <c r="M422" s="314"/>
      <c r="N422" s="314"/>
      <c r="O422" s="314"/>
      <c r="P422" s="314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  <c r="AN422" s="321"/>
    </row>
    <row r="423" ht="15.75" customHeight="1">
      <c r="A423" s="314"/>
      <c r="B423" s="314"/>
      <c r="C423" s="314"/>
      <c r="D423" s="314"/>
      <c r="E423" s="314"/>
      <c r="F423" s="314"/>
      <c r="G423" s="314"/>
      <c r="H423" s="314"/>
      <c r="I423" s="314"/>
      <c r="J423" s="314"/>
      <c r="K423" s="321"/>
      <c r="L423" s="321"/>
      <c r="M423" s="314"/>
      <c r="N423" s="314"/>
      <c r="O423" s="314"/>
      <c r="P423" s="314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  <c r="AN423" s="321"/>
    </row>
    <row r="424" ht="15.75" customHeight="1">
      <c r="A424" s="314"/>
      <c r="B424" s="314"/>
      <c r="C424" s="314"/>
      <c r="D424" s="314"/>
      <c r="E424" s="314"/>
      <c r="F424" s="314"/>
      <c r="G424" s="314"/>
      <c r="H424" s="314"/>
      <c r="I424" s="314"/>
      <c r="J424" s="314"/>
      <c r="K424" s="321"/>
      <c r="L424" s="321"/>
      <c r="M424" s="314"/>
      <c r="N424" s="314"/>
      <c r="O424" s="314"/>
      <c r="P424" s="314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  <c r="AN424" s="321"/>
    </row>
    <row r="425" ht="15.75" customHeight="1">
      <c r="A425" s="314"/>
      <c r="B425" s="314"/>
      <c r="C425" s="314"/>
      <c r="D425" s="314"/>
      <c r="E425" s="314"/>
      <c r="F425" s="314"/>
      <c r="G425" s="314"/>
      <c r="H425" s="314"/>
      <c r="I425" s="314"/>
      <c r="J425" s="314"/>
      <c r="K425" s="321"/>
      <c r="L425" s="321"/>
      <c r="M425" s="314"/>
      <c r="N425" s="314"/>
      <c r="O425" s="314"/>
      <c r="P425" s="314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  <c r="AN425" s="321"/>
    </row>
    <row r="426" ht="15.75" customHeight="1">
      <c r="A426" s="314"/>
      <c r="B426" s="314"/>
      <c r="C426" s="314"/>
      <c r="D426" s="314"/>
      <c r="E426" s="314"/>
      <c r="F426" s="314"/>
      <c r="G426" s="314"/>
      <c r="H426" s="314"/>
      <c r="I426" s="314"/>
      <c r="J426" s="314"/>
      <c r="K426" s="321"/>
      <c r="L426" s="321"/>
      <c r="M426" s="314"/>
      <c r="N426" s="314"/>
      <c r="O426" s="314"/>
      <c r="P426" s="314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  <c r="AN426" s="321"/>
    </row>
    <row r="427" ht="15.75" customHeight="1">
      <c r="A427" s="314"/>
      <c r="B427" s="314"/>
      <c r="C427" s="314"/>
      <c r="D427" s="314"/>
      <c r="E427" s="314"/>
      <c r="F427" s="314"/>
      <c r="G427" s="314"/>
      <c r="H427" s="314"/>
      <c r="I427" s="314"/>
      <c r="J427" s="314"/>
      <c r="K427" s="321"/>
      <c r="L427" s="321"/>
      <c r="M427" s="314"/>
      <c r="N427" s="314"/>
      <c r="O427" s="314"/>
      <c r="P427" s="314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  <c r="AN427" s="321"/>
    </row>
    <row r="428" ht="15.75" customHeight="1">
      <c r="A428" s="314"/>
      <c r="B428" s="314"/>
      <c r="C428" s="314"/>
      <c r="D428" s="314"/>
      <c r="E428" s="314"/>
      <c r="F428" s="314"/>
      <c r="G428" s="314"/>
      <c r="H428" s="314"/>
      <c r="I428" s="314"/>
      <c r="J428" s="314"/>
      <c r="K428" s="321"/>
      <c r="L428" s="321"/>
      <c r="M428" s="314"/>
      <c r="N428" s="314"/>
      <c r="O428" s="314"/>
      <c r="P428" s="314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  <c r="AN428" s="321"/>
    </row>
    <row r="429" ht="15.75" customHeight="1">
      <c r="A429" s="314"/>
      <c r="B429" s="314"/>
      <c r="C429" s="314"/>
      <c r="D429" s="314"/>
      <c r="E429" s="314"/>
      <c r="F429" s="314"/>
      <c r="G429" s="314"/>
      <c r="H429" s="314"/>
      <c r="I429" s="314"/>
      <c r="J429" s="314"/>
      <c r="K429" s="321"/>
      <c r="L429" s="321"/>
      <c r="M429" s="314"/>
      <c r="N429" s="314"/>
      <c r="O429" s="314"/>
      <c r="P429" s="314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  <c r="AN429" s="321"/>
    </row>
    <row r="430" ht="15.75" customHeight="1">
      <c r="A430" s="314"/>
      <c r="B430" s="314"/>
      <c r="C430" s="314"/>
      <c r="D430" s="314"/>
      <c r="E430" s="314"/>
      <c r="F430" s="314"/>
      <c r="G430" s="314"/>
      <c r="H430" s="314"/>
      <c r="I430" s="314"/>
      <c r="J430" s="314"/>
      <c r="K430" s="321"/>
      <c r="L430" s="321"/>
      <c r="M430" s="314"/>
      <c r="N430" s="314"/>
      <c r="O430" s="314"/>
      <c r="P430" s="314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  <c r="AN430" s="321"/>
    </row>
    <row r="431" ht="15.75" customHeight="1">
      <c r="A431" s="314"/>
      <c r="B431" s="314"/>
      <c r="C431" s="314"/>
      <c r="D431" s="314"/>
      <c r="E431" s="314"/>
      <c r="F431" s="314"/>
      <c r="G431" s="314"/>
      <c r="H431" s="314"/>
      <c r="I431" s="314"/>
      <c r="J431" s="314"/>
      <c r="K431" s="321"/>
      <c r="L431" s="321"/>
      <c r="M431" s="314"/>
      <c r="N431" s="314"/>
      <c r="O431" s="314"/>
      <c r="P431" s="314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  <c r="AN431" s="321"/>
    </row>
    <row r="432" ht="15.75" customHeight="1">
      <c r="A432" s="314"/>
      <c r="B432" s="314"/>
      <c r="C432" s="314"/>
      <c r="D432" s="314"/>
      <c r="E432" s="314"/>
      <c r="F432" s="314"/>
      <c r="G432" s="314"/>
      <c r="H432" s="314"/>
      <c r="I432" s="314"/>
      <c r="J432" s="314"/>
      <c r="K432" s="321"/>
      <c r="L432" s="321"/>
      <c r="M432" s="314"/>
      <c r="N432" s="314"/>
      <c r="O432" s="314"/>
      <c r="P432" s="314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  <c r="AN432" s="321"/>
    </row>
    <row r="433" ht="15.75" customHeight="1">
      <c r="A433" s="314"/>
      <c r="B433" s="314"/>
      <c r="C433" s="314"/>
      <c r="D433" s="314"/>
      <c r="E433" s="314"/>
      <c r="F433" s="314"/>
      <c r="G433" s="314"/>
      <c r="H433" s="314"/>
      <c r="I433" s="314"/>
      <c r="J433" s="314"/>
      <c r="K433" s="321"/>
      <c r="L433" s="321"/>
      <c r="M433" s="314"/>
      <c r="N433" s="314"/>
      <c r="O433" s="314"/>
      <c r="P433" s="314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  <c r="AN433" s="321"/>
    </row>
    <row r="434" ht="15.75" customHeight="1">
      <c r="A434" s="314"/>
      <c r="B434" s="314"/>
      <c r="C434" s="314"/>
      <c r="D434" s="314"/>
      <c r="E434" s="314"/>
      <c r="F434" s="314"/>
      <c r="G434" s="314"/>
      <c r="H434" s="314"/>
      <c r="I434" s="314"/>
      <c r="J434" s="314"/>
      <c r="K434" s="321"/>
      <c r="L434" s="321"/>
      <c r="M434" s="314"/>
      <c r="N434" s="314"/>
      <c r="O434" s="314"/>
      <c r="P434" s="314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  <c r="AN434" s="321"/>
    </row>
    <row r="435" ht="15.75" customHeight="1">
      <c r="A435" s="314"/>
      <c r="B435" s="314"/>
      <c r="C435" s="314"/>
      <c r="D435" s="314"/>
      <c r="E435" s="314"/>
      <c r="F435" s="314"/>
      <c r="G435" s="314"/>
      <c r="H435" s="314"/>
      <c r="I435" s="314"/>
      <c r="J435" s="314"/>
      <c r="K435" s="321"/>
      <c r="L435" s="321"/>
      <c r="M435" s="314"/>
      <c r="N435" s="314"/>
      <c r="O435" s="314"/>
      <c r="P435" s="314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  <c r="AN435" s="321"/>
    </row>
    <row r="436" ht="15.75" customHeight="1">
      <c r="A436" s="314"/>
      <c r="B436" s="314"/>
      <c r="C436" s="314"/>
      <c r="D436" s="314"/>
      <c r="E436" s="314"/>
      <c r="F436" s="314"/>
      <c r="G436" s="314"/>
      <c r="H436" s="314"/>
      <c r="I436" s="314"/>
      <c r="J436" s="314"/>
      <c r="K436" s="321"/>
      <c r="L436" s="321"/>
      <c r="M436" s="314"/>
      <c r="N436" s="314"/>
      <c r="O436" s="314"/>
      <c r="P436" s="314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  <c r="AN436" s="321"/>
    </row>
    <row r="437" ht="15.75" customHeight="1">
      <c r="A437" s="314"/>
      <c r="B437" s="314"/>
      <c r="C437" s="314"/>
      <c r="D437" s="314"/>
      <c r="E437" s="314"/>
      <c r="F437" s="314"/>
      <c r="G437" s="314"/>
      <c r="H437" s="314"/>
      <c r="I437" s="314"/>
      <c r="J437" s="314"/>
      <c r="K437" s="321"/>
      <c r="L437" s="321"/>
      <c r="M437" s="314"/>
      <c r="N437" s="314"/>
      <c r="O437" s="314"/>
      <c r="P437" s="314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  <c r="AN437" s="321"/>
    </row>
    <row r="438" ht="15.75" customHeight="1">
      <c r="A438" s="314"/>
      <c r="B438" s="314"/>
      <c r="C438" s="314"/>
      <c r="D438" s="314"/>
      <c r="E438" s="314"/>
      <c r="F438" s="314"/>
      <c r="G438" s="314"/>
      <c r="H438" s="314"/>
      <c r="I438" s="314"/>
      <c r="J438" s="314"/>
      <c r="K438" s="321"/>
      <c r="L438" s="321"/>
      <c r="M438" s="314"/>
      <c r="N438" s="314"/>
      <c r="O438" s="314"/>
      <c r="P438" s="314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  <c r="AN438" s="321"/>
    </row>
    <row r="439" ht="15.75" customHeight="1">
      <c r="A439" s="314"/>
      <c r="B439" s="314"/>
      <c r="C439" s="314"/>
      <c r="D439" s="314"/>
      <c r="E439" s="314"/>
      <c r="F439" s="314"/>
      <c r="G439" s="314"/>
      <c r="H439" s="314"/>
      <c r="I439" s="314"/>
      <c r="J439" s="314"/>
      <c r="K439" s="321"/>
      <c r="L439" s="321"/>
      <c r="M439" s="314"/>
      <c r="N439" s="314"/>
      <c r="O439" s="314"/>
      <c r="P439" s="314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  <c r="AN439" s="321"/>
    </row>
    <row r="440" ht="15.75" customHeight="1">
      <c r="A440" s="314"/>
      <c r="B440" s="314"/>
      <c r="C440" s="314"/>
      <c r="D440" s="314"/>
      <c r="E440" s="314"/>
      <c r="F440" s="314"/>
      <c r="G440" s="314"/>
      <c r="H440" s="314"/>
      <c r="I440" s="314"/>
      <c r="J440" s="314"/>
      <c r="K440" s="321"/>
      <c r="L440" s="321"/>
      <c r="M440" s="314"/>
      <c r="N440" s="314"/>
      <c r="O440" s="314"/>
      <c r="P440" s="314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  <c r="AN440" s="321"/>
    </row>
    <row r="441" ht="15.75" customHeight="1">
      <c r="A441" s="314"/>
      <c r="B441" s="314"/>
      <c r="C441" s="314"/>
      <c r="D441" s="314"/>
      <c r="E441" s="314"/>
      <c r="F441" s="314"/>
      <c r="G441" s="314"/>
      <c r="H441" s="314"/>
      <c r="I441" s="314"/>
      <c r="J441" s="314"/>
      <c r="K441" s="321"/>
      <c r="L441" s="321"/>
      <c r="M441" s="314"/>
      <c r="N441" s="314"/>
      <c r="O441" s="314"/>
      <c r="P441" s="314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  <c r="AN441" s="321"/>
    </row>
    <row r="442" ht="15.75" customHeight="1">
      <c r="A442" s="314"/>
      <c r="B442" s="314"/>
      <c r="C442" s="314"/>
      <c r="D442" s="314"/>
      <c r="E442" s="314"/>
      <c r="F442" s="314"/>
      <c r="G442" s="314"/>
      <c r="H442" s="314"/>
      <c r="I442" s="314"/>
      <c r="J442" s="314"/>
      <c r="K442" s="321"/>
      <c r="L442" s="321"/>
      <c r="M442" s="314"/>
      <c r="N442" s="314"/>
      <c r="O442" s="314"/>
      <c r="P442" s="314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  <c r="AN442" s="321"/>
    </row>
    <row r="443" ht="15.75" customHeight="1">
      <c r="A443" s="314"/>
      <c r="B443" s="314"/>
      <c r="C443" s="314"/>
      <c r="D443" s="314"/>
      <c r="E443" s="314"/>
      <c r="F443" s="314"/>
      <c r="G443" s="314"/>
      <c r="H443" s="314"/>
      <c r="I443" s="314"/>
      <c r="J443" s="314"/>
      <c r="K443" s="321"/>
      <c r="L443" s="321"/>
      <c r="M443" s="314"/>
      <c r="N443" s="314"/>
      <c r="O443" s="314"/>
      <c r="P443" s="314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  <c r="AN443" s="321"/>
    </row>
    <row r="444" ht="15.75" customHeight="1">
      <c r="A444" s="314"/>
      <c r="B444" s="314"/>
      <c r="C444" s="314"/>
      <c r="D444" s="314"/>
      <c r="E444" s="314"/>
      <c r="F444" s="314"/>
      <c r="G444" s="314"/>
      <c r="H444" s="314"/>
      <c r="I444" s="314"/>
      <c r="J444" s="314"/>
      <c r="K444" s="321"/>
      <c r="L444" s="321"/>
      <c r="M444" s="314"/>
      <c r="N444" s="314"/>
      <c r="O444" s="314"/>
      <c r="P444" s="314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  <c r="AN444" s="321"/>
    </row>
    <row r="445" ht="15.75" customHeight="1">
      <c r="A445" s="314"/>
      <c r="B445" s="314"/>
      <c r="C445" s="314"/>
      <c r="D445" s="314"/>
      <c r="E445" s="314"/>
      <c r="F445" s="314"/>
      <c r="G445" s="314"/>
      <c r="H445" s="314"/>
      <c r="I445" s="314"/>
      <c r="J445" s="314"/>
      <c r="K445" s="321"/>
      <c r="L445" s="321"/>
      <c r="M445" s="314"/>
      <c r="N445" s="314"/>
      <c r="O445" s="314"/>
      <c r="P445" s="314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  <c r="AN445" s="321"/>
    </row>
    <row r="446" ht="15.75" customHeight="1">
      <c r="A446" s="314"/>
      <c r="B446" s="314"/>
      <c r="C446" s="314"/>
      <c r="D446" s="314"/>
      <c r="E446" s="314"/>
      <c r="F446" s="314"/>
      <c r="G446" s="314"/>
      <c r="H446" s="314"/>
      <c r="I446" s="314"/>
      <c r="J446" s="314"/>
      <c r="K446" s="321"/>
      <c r="L446" s="321"/>
      <c r="M446" s="314"/>
      <c r="N446" s="314"/>
      <c r="O446" s="314"/>
      <c r="P446" s="314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  <c r="AN446" s="321"/>
    </row>
    <row r="447" ht="15.75" customHeight="1">
      <c r="A447" s="314"/>
      <c r="B447" s="314"/>
      <c r="C447" s="314"/>
      <c r="D447" s="314"/>
      <c r="E447" s="314"/>
      <c r="F447" s="314"/>
      <c r="G447" s="314"/>
      <c r="H447" s="314"/>
      <c r="I447" s="314"/>
      <c r="J447" s="314"/>
      <c r="K447" s="321"/>
      <c r="L447" s="321"/>
      <c r="M447" s="314"/>
      <c r="N447" s="314"/>
      <c r="O447" s="314"/>
      <c r="P447" s="314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  <c r="AN447" s="321"/>
    </row>
    <row r="448" ht="15.75" customHeight="1">
      <c r="A448" s="314"/>
      <c r="B448" s="314"/>
      <c r="C448" s="314"/>
      <c r="D448" s="314"/>
      <c r="E448" s="314"/>
      <c r="F448" s="314"/>
      <c r="G448" s="314"/>
      <c r="H448" s="314"/>
      <c r="I448" s="314"/>
      <c r="J448" s="314"/>
      <c r="K448" s="321"/>
      <c r="L448" s="321"/>
      <c r="M448" s="314"/>
      <c r="N448" s="314"/>
      <c r="O448" s="314"/>
      <c r="P448" s="314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  <c r="AN448" s="321"/>
    </row>
    <row r="449" ht="15.75" customHeight="1">
      <c r="A449" s="314"/>
      <c r="B449" s="314"/>
      <c r="C449" s="314"/>
      <c r="D449" s="314"/>
      <c r="E449" s="314"/>
      <c r="F449" s="314"/>
      <c r="G449" s="314"/>
      <c r="H449" s="314"/>
      <c r="I449" s="314"/>
      <c r="J449" s="314"/>
      <c r="K449" s="321"/>
      <c r="L449" s="321"/>
      <c r="M449" s="314"/>
      <c r="N449" s="314"/>
      <c r="O449" s="314"/>
      <c r="P449" s="314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  <c r="AN449" s="321"/>
    </row>
    <row r="450" ht="15.75" customHeight="1">
      <c r="A450" s="314"/>
      <c r="B450" s="314"/>
      <c r="C450" s="314"/>
      <c r="D450" s="314"/>
      <c r="E450" s="314"/>
      <c r="F450" s="314"/>
      <c r="G450" s="314"/>
      <c r="H450" s="314"/>
      <c r="I450" s="314"/>
      <c r="J450" s="314"/>
      <c r="K450" s="321"/>
      <c r="L450" s="321"/>
      <c r="M450" s="314"/>
      <c r="N450" s="314"/>
      <c r="O450" s="314"/>
      <c r="P450" s="314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  <c r="AN450" s="321"/>
    </row>
    <row r="451" ht="15.75" customHeight="1">
      <c r="A451" s="314"/>
      <c r="B451" s="314"/>
      <c r="C451" s="314"/>
      <c r="D451" s="314"/>
      <c r="E451" s="314"/>
      <c r="F451" s="314"/>
      <c r="G451" s="314"/>
      <c r="H451" s="314"/>
      <c r="I451" s="314"/>
      <c r="J451" s="314"/>
      <c r="K451" s="321"/>
      <c r="L451" s="321"/>
      <c r="M451" s="314"/>
      <c r="N451" s="314"/>
      <c r="O451" s="314"/>
      <c r="P451" s="314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  <c r="AN451" s="321"/>
    </row>
    <row r="452" ht="15.75" customHeight="1">
      <c r="A452" s="314"/>
      <c r="B452" s="314"/>
      <c r="C452" s="314"/>
      <c r="D452" s="314"/>
      <c r="E452" s="314"/>
      <c r="F452" s="314"/>
      <c r="G452" s="314"/>
      <c r="H452" s="314"/>
      <c r="I452" s="314"/>
      <c r="J452" s="314"/>
      <c r="K452" s="321"/>
      <c r="L452" s="321"/>
      <c r="M452" s="314"/>
      <c r="N452" s="314"/>
      <c r="O452" s="314"/>
      <c r="P452" s="314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  <c r="AN452" s="321"/>
    </row>
    <row r="453" ht="15.75" customHeight="1">
      <c r="A453" s="314"/>
      <c r="B453" s="314"/>
      <c r="C453" s="314"/>
      <c r="D453" s="314"/>
      <c r="E453" s="314"/>
      <c r="F453" s="314"/>
      <c r="G453" s="314"/>
      <c r="H453" s="314"/>
      <c r="I453" s="314"/>
      <c r="J453" s="314"/>
      <c r="K453" s="321"/>
      <c r="L453" s="321"/>
      <c r="M453" s="314"/>
      <c r="N453" s="314"/>
      <c r="O453" s="314"/>
      <c r="P453" s="314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  <c r="AN453" s="321"/>
    </row>
    <row r="454" ht="15.75" customHeight="1">
      <c r="A454" s="314"/>
      <c r="B454" s="314"/>
      <c r="C454" s="314"/>
      <c r="D454" s="314"/>
      <c r="E454" s="314"/>
      <c r="F454" s="314"/>
      <c r="G454" s="314"/>
      <c r="H454" s="314"/>
      <c r="I454" s="314"/>
      <c r="J454" s="314"/>
      <c r="K454" s="321"/>
      <c r="L454" s="321"/>
      <c r="M454" s="314"/>
      <c r="N454" s="314"/>
      <c r="O454" s="314"/>
      <c r="P454" s="314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  <c r="AN454" s="321"/>
    </row>
    <row r="455" ht="15.75" customHeight="1">
      <c r="A455" s="314"/>
      <c r="B455" s="314"/>
      <c r="C455" s="314"/>
      <c r="D455" s="314"/>
      <c r="E455" s="314"/>
      <c r="F455" s="314"/>
      <c r="G455" s="314"/>
      <c r="H455" s="314"/>
      <c r="I455" s="314"/>
      <c r="J455" s="314"/>
      <c r="K455" s="321"/>
      <c r="L455" s="321"/>
      <c r="M455" s="314"/>
      <c r="N455" s="314"/>
      <c r="O455" s="314"/>
      <c r="P455" s="314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  <c r="AN455" s="321"/>
    </row>
    <row r="456" ht="15.75" customHeight="1">
      <c r="A456" s="314"/>
      <c r="B456" s="314"/>
      <c r="C456" s="314"/>
      <c r="D456" s="314"/>
      <c r="E456" s="314"/>
      <c r="F456" s="314"/>
      <c r="G456" s="314"/>
      <c r="H456" s="314"/>
      <c r="I456" s="314"/>
      <c r="J456" s="314"/>
      <c r="K456" s="321"/>
      <c r="L456" s="321"/>
      <c r="M456" s="314"/>
      <c r="N456" s="314"/>
      <c r="O456" s="314"/>
      <c r="P456" s="314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  <c r="AN456" s="321"/>
    </row>
    <row r="457" ht="15.75" customHeight="1">
      <c r="A457" s="314"/>
      <c r="B457" s="314"/>
      <c r="C457" s="314"/>
      <c r="D457" s="314"/>
      <c r="E457" s="314"/>
      <c r="F457" s="314"/>
      <c r="G457" s="314"/>
      <c r="H457" s="314"/>
      <c r="I457" s="314"/>
      <c r="J457" s="314"/>
      <c r="K457" s="321"/>
      <c r="L457" s="321"/>
      <c r="M457" s="314"/>
      <c r="N457" s="314"/>
      <c r="O457" s="314"/>
      <c r="P457" s="314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  <c r="AN457" s="321"/>
    </row>
    <row r="458" ht="15.75" customHeight="1">
      <c r="A458" s="314"/>
      <c r="B458" s="314"/>
      <c r="C458" s="314"/>
      <c r="D458" s="314"/>
      <c r="E458" s="314"/>
      <c r="F458" s="314"/>
      <c r="G458" s="314"/>
      <c r="H458" s="314"/>
      <c r="I458" s="314"/>
      <c r="J458" s="314"/>
      <c r="K458" s="321"/>
      <c r="L458" s="321"/>
      <c r="M458" s="314"/>
      <c r="N458" s="314"/>
      <c r="O458" s="314"/>
      <c r="P458" s="314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  <c r="AN458" s="321"/>
    </row>
    <row r="459" ht="15.75" customHeight="1">
      <c r="A459" s="314"/>
      <c r="B459" s="314"/>
      <c r="C459" s="314"/>
      <c r="D459" s="314"/>
      <c r="E459" s="314"/>
      <c r="F459" s="314"/>
      <c r="G459" s="314"/>
      <c r="H459" s="314"/>
      <c r="I459" s="314"/>
      <c r="J459" s="314"/>
      <c r="K459" s="321"/>
      <c r="L459" s="321"/>
      <c r="M459" s="314"/>
      <c r="N459" s="314"/>
      <c r="O459" s="314"/>
      <c r="P459" s="314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  <c r="AN459" s="321"/>
    </row>
    <row r="460" ht="15.75" customHeight="1">
      <c r="A460" s="314"/>
      <c r="B460" s="314"/>
      <c r="C460" s="314"/>
      <c r="D460" s="314"/>
      <c r="E460" s="314"/>
      <c r="F460" s="314"/>
      <c r="G460" s="314"/>
      <c r="H460" s="314"/>
      <c r="I460" s="314"/>
      <c r="J460" s="314"/>
      <c r="K460" s="321"/>
      <c r="L460" s="321"/>
      <c r="M460" s="314"/>
      <c r="N460" s="314"/>
      <c r="O460" s="314"/>
      <c r="P460" s="314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  <c r="AN460" s="321"/>
    </row>
    <row r="461" ht="15.75" customHeight="1">
      <c r="A461" s="314"/>
      <c r="B461" s="314"/>
      <c r="C461" s="314"/>
      <c r="D461" s="314"/>
      <c r="E461" s="314"/>
      <c r="F461" s="314"/>
      <c r="G461" s="314"/>
      <c r="H461" s="314"/>
      <c r="I461" s="314"/>
      <c r="J461" s="314"/>
      <c r="K461" s="321"/>
      <c r="L461" s="321"/>
      <c r="M461" s="314"/>
      <c r="N461" s="314"/>
      <c r="O461" s="314"/>
      <c r="P461" s="314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  <c r="AN461" s="321"/>
    </row>
    <row r="462" ht="15.75" customHeight="1">
      <c r="A462" s="314"/>
      <c r="B462" s="314"/>
      <c r="C462" s="314"/>
      <c r="D462" s="314"/>
      <c r="E462" s="314"/>
      <c r="F462" s="314"/>
      <c r="G462" s="314"/>
      <c r="H462" s="314"/>
      <c r="I462" s="314"/>
      <c r="J462" s="314"/>
      <c r="K462" s="321"/>
      <c r="L462" s="321"/>
      <c r="M462" s="314"/>
      <c r="N462" s="314"/>
      <c r="O462" s="314"/>
      <c r="P462" s="314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  <c r="AN462" s="321"/>
    </row>
    <row r="463" ht="15.75" customHeight="1">
      <c r="A463" s="314"/>
      <c r="B463" s="314"/>
      <c r="C463" s="314"/>
      <c r="D463" s="314"/>
      <c r="E463" s="314"/>
      <c r="F463" s="314"/>
      <c r="G463" s="314"/>
      <c r="H463" s="314"/>
      <c r="I463" s="314"/>
      <c r="J463" s="314"/>
      <c r="K463" s="321"/>
      <c r="L463" s="321"/>
      <c r="M463" s="314"/>
      <c r="N463" s="314"/>
      <c r="O463" s="314"/>
      <c r="P463" s="314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  <c r="AN463" s="321"/>
    </row>
    <row r="464" ht="15.75" customHeight="1">
      <c r="A464" s="314"/>
      <c r="B464" s="314"/>
      <c r="C464" s="314"/>
      <c r="D464" s="314"/>
      <c r="E464" s="314"/>
      <c r="F464" s="314"/>
      <c r="G464" s="314"/>
      <c r="H464" s="314"/>
      <c r="I464" s="314"/>
      <c r="J464" s="314"/>
      <c r="K464" s="321"/>
      <c r="L464" s="321"/>
      <c r="M464" s="314"/>
      <c r="N464" s="314"/>
      <c r="O464" s="314"/>
      <c r="P464" s="314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  <c r="AN464" s="321"/>
    </row>
    <row r="465" ht="15.75" customHeight="1">
      <c r="A465" s="314"/>
      <c r="B465" s="314"/>
      <c r="C465" s="314"/>
      <c r="D465" s="314"/>
      <c r="E465" s="314"/>
      <c r="F465" s="314"/>
      <c r="G465" s="314"/>
      <c r="H465" s="314"/>
      <c r="I465" s="314"/>
      <c r="J465" s="314"/>
      <c r="K465" s="321"/>
      <c r="L465" s="321"/>
      <c r="M465" s="314"/>
      <c r="N465" s="314"/>
      <c r="O465" s="314"/>
      <c r="P465" s="314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  <c r="AN465" s="321"/>
    </row>
    <row r="466" ht="15.75" customHeight="1">
      <c r="A466" s="314"/>
      <c r="B466" s="314"/>
      <c r="C466" s="314"/>
      <c r="D466" s="314"/>
      <c r="E466" s="314"/>
      <c r="F466" s="314"/>
      <c r="G466" s="314"/>
      <c r="H466" s="314"/>
      <c r="I466" s="314"/>
      <c r="J466" s="314"/>
      <c r="K466" s="321"/>
      <c r="L466" s="321"/>
      <c r="M466" s="314"/>
      <c r="N466" s="314"/>
      <c r="O466" s="314"/>
      <c r="P466" s="314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  <c r="AN466" s="321"/>
    </row>
    <row r="467" ht="15.75" customHeight="1">
      <c r="A467" s="314"/>
      <c r="B467" s="314"/>
      <c r="C467" s="314"/>
      <c r="D467" s="314"/>
      <c r="E467" s="314"/>
      <c r="F467" s="314"/>
      <c r="G467" s="314"/>
      <c r="H467" s="314"/>
      <c r="I467" s="314"/>
      <c r="J467" s="314"/>
      <c r="K467" s="321"/>
      <c r="L467" s="321"/>
      <c r="M467" s="314"/>
      <c r="N467" s="314"/>
      <c r="O467" s="314"/>
      <c r="P467" s="314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  <c r="AN467" s="321"/>
    </row>
    <row r="468" ht="15.75" customHeight="1">
      <c r="A468" s="314"/>
      <c r="B468" s="314"/>
      <c r="C468" s="314"/>
      <c r="D468" s="314"/>
      <c r="E468" s="314"/>
      <c r="F468" s="314"/>
      <c r="G468" s="314"/>
      <c r="H468" s="314"/>
      <c r="I468" s="314"/>
      <c r="J468" s="314"/>
      <c r="K468" s="321"/>
      <c r="L468" s="321"/>
      <c r="M468" s="314"/>
      <c r="N468" s="314"/>
      <c r="O468" s="314"/>
      <c r="P468" s="314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  <c r="AN468" s="321"/>
    </row>
    <row r="469" ht="15.75" customHeight="1">
      <c r="A469" s="314"/>
      <c r="B469" s="314"/>
      <c r="C469" s="314"/>
      <c r="D469" s="314"/>
      <c r="E469" s="314"/>
      <c r="F469" s="314"/>
      <c r="G469" s="314"/>
      <c r="H469" s="314"/>
      <c r="I469" s="314"/>
      <c r="J469" s="314"/>
      <c r="K469" s="321"/>
      <c r="L469" s="321"/>
      <c r="M469" s="314"/>
      <c r="N469" s="314"/>
      <c r="O469" s="314"/>
      <c r="P469" s="314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  <c r="AN469" s="321"/>
    </row>
    <row r="470" ht="15.75" customHeight="1">
      <c r="A470" s="314"/>
      <c r="B470" s="314"/>
      <c r="C470" s="314"/>
      <c r="D470" s="314"/>
      <c r="E470" s="314"/>
      <c r="F470" s="314"/>
      <c r="G470" s="314"/>
      <c r="H470" s="314"/>
      <c r="I470" s="314"/>
      <c r="J470" s="314"/>
      <c r="K470" s="321"/>
      <c r="L470" s="321"/>
      <c r="M470" s="314"/>
      <c r="N470" s="314"/>
      <c r="O470" s="314"/>
      <c r="P470" s="314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  <c r="AN470" s="321"/>
    </row>
    <row r="471" ht="15.75" customHeight="1">
      <c r="A471" s="314"/>
      <c r="B471" s="314"/>
      <c r="C471" s="314"/>
      <c r="D471" s="314"/>
      <c r="E471" s="314"/>
      <c r="F471" s="314"/>
      <c r="G471" s="314"/>
      <c r="H471" s="314"/>
      <c r="I471" s="314"/>
      <c r="J471" s="314"/>
      <c r="K471" s="321"/>
      <c r="L471" s="321"/>
      <c r="M471" s="314"/>
      <c r="N471" s="314"/>
      <c r="O471" s="314"/>
      <c r="P471" s="314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  <c r="AN471" s="321"/>
    </row>
    <row r="472" ht="15.75" customHeight="1">
      <c r="A472" s="314"/>
      <c r="B472" s="314"/>
      <c r="C472" s="314"/>
      <c r="D472" s="314"/>
      <c r="E472" s="314"/>
      <c r="F472" s="314"/>
      <c r="G472" s="314"/>
      <c r="H472" s="314"/>
      <c r="I472" s="314"/>
      <c r="J472" s="314"/>
      <c r="K472" s="321"/>
      <c r="L472" s="321"/>
      <c r="M472" s="314"/>
      <c r="N472" s="314"/>
      <c r="O472" s="314"/>
      <c r="P472" s="314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  <c r="AN472" s="321"/>
    </row>
    <row r="473" ht="15.75" customHeight="1">
      <c r="A473" s="314"/>
      <c r="B473" s="314"/>
      <c r="C473" s="314"/>
      <c r="D473" s="314"/>
      <c r="E473" s="314"/>
      <c r="F473" s="314"/>
      <c r="G473" s="314"/>
      <c r="H473" s="314"/>
      <c r="I473" s="314"/>
      <c r="J473" s="314"/>
      <c r="K473" s="321"/>
      <c r="L473" s="321"/>
      <c r="M473" s="314"/>
      <c r="N473" s="314"/>
      <c r="O473" s="314"/>
      <c r="P473" s="314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  <c r="AN473" s="321"/>
    </row>
    <row r="474" ht="15.75" customHeight="1">
      <c r="A474" s="314"/>
      <c r="B474" s="314"/>
      <c r="C474" s="314"/>
      <c r="D474" s="314"/>
      <c r="E474" s="314"/>
      <c r="F474" s="314"/>
      <c r="G474" s="314"/>
      <c r="H474" s="314"/>
      <c r="I474" s="314"/>
      <c r="J474" s="314"/>
      <c r="K474" s="321"/>
      <c r="L474" s="321"/>
      <c r="M474" s="314"/>
      <c r="N474" s="314"/>
      <c r="O474" s="314"/>
      <c r="P474" s="314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  <c r="AN474" s="321"/>
    </row>
    <row r="475" ht="15.75" customHeight="1">
      <c r="A475" s="314"/>
      <c r="B475" s="314"/>
      <c r="C475" s="314"/>
      <c r="D475" s="314"/>
      <c r="E475" s="314"/>
      <c r="F475" s="314"/>
      <c r="G475" s="314"/>
      <c r="H475" s="314"/>
      <c r="I475" s="314"/>
      <c r="J475" s="314"/>
      <c r="K475" s="321"/>
      <c r="L475" s="321"/>
      <c r="M475" s="314"/>
      <c r="N475" s="314"/>
      <c r="O475" s="314"/>
      <c r="P475" s="314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  <c r="AN475" s="321"/>
    </row>
    <row r="476" ht="15.75" customHeight="1">
      <c r="A476" s="314"/>
      <c r="B476" s="314"/>
      <c r="C476" s="314"/>
      <c r="D476" s="314"/>
      <c r="E476" s="314"/>
      <c r="F476" s="314"/>
      <c r="G476" s="314"/>
      <c r="H476" s="314"/>
      <c r="I476" s="314"/>
      <c r="J476" s="314"/>
      <c r="K476" s="321"/>
      <c r="L476" s="321"/>
      <c r="M476" s="314"/>
      <c r="N476" s="314"/>
      <c r="O476" s="314"/>
      <c r="P476" s="314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  <c r="AN476" s="321"/>
    </row>
    <row r="477" ht="15.75" customHeight="1">
      <c r="A477" s="314"/>
      <c r="B477" s="314"/>
      <c r="C477" s="314"/>
      <c r="D477" s="314"/>
      <c r="E477" s="314"/>
      <c r="F477" s="314"/>
      <c r="G477" s="314"/>
      <c r="H477" s="314"/>
      <c r="I477" s="314"/>
      <c r="J477" s="314"/>
      <c r="K477" s="321"/>
      <c r="L477" s="321"/>
      <c r="M477" s="314"/>
      <c r="N477" s="314"/>
      <c r="O477" s="314"/>
      <c r="P477" s="314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  <c r="AN477" s="321"/>
    </row>
    <row r="478" ht="15.75" customHeight="1">
      <c r="A478" s="314"/>
      <c r="B478" s="314"/>
      <c r="C478" s="314"/>
      <c r="D478" s="314"/>
      <c r="E478" s="314"/>
      <c r="F478" s="314"/>
      <c r="G478" s="314"/>
      <c r="H478" s="314"/>
      <c r="I478" s="314"/>
      <c r="J478" s="314"/>
      <c r="K478" s="321"/>
      <c r="L478" s="321"/>
      <c r="M478" s="314"/>
      <c r="N478" s="314"/>
      <c r="O478" s="314"/>
      <c r="P478" s="314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  <c r="AN478" s="321"/>
    </row>
    <row r="479" ht="15.75" customHeight="1">
      <c r="A479" s="314"/>
      <c r="B479" s="314"/>
      <c r="C479" s="314"/>
      <c r="D479" s="314"/>
      <c r="E479" s="314"/>
      <c r="F479" s="314"/>
      <c r="G479" s="314"/>
      <c r="H479" s="314"/>
      <c r="I479" s="314"/>
      <c r="J479" s="314"/>
      <c r="K479" s="321"/>
      <c r="L479" s="321"/>
      <c r="M479" s="314"/>
      <c r="N479" s="314"/>
      <c r="O479" s="314"/>
      <c r="P479" s="314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  <c r="AN479" s="321"/>
    </row>
    <row r="480" ht="15.75" customHeight="1">
      <c r="A480" s="314"/>
      <c r="B480" s="314"/>
      <c r="C480" s="314"/>
      <c r="D480" s="314"/>
      <c r="E480" s="314"/>
      <c r="F480" s="314"/>
      <c r="G480" s="314"/>
      <c r="H480" s="314"/>
      <c r="I480" s="314"/>
      <c r="J480" s="314"/>
      <c r="K480" s="321"/>
      <c r="L480" s="321"/>
      <c r="M480" s="314"/>
      <c r="N480" s="314"/>
      <c r="O480" s="314"/>
      <c r="P480" s="314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  <c r="AN480" s="321"/>
    </row>
    <row r="481" ht="15.75" customHeight="1">
      <c r="A481" s="314"/>
      <c r="B481" s="314"/>
      <c r="C481" s="314"/>
      <c r="D481" s="314"/>
      <c r="E481" s="314"/>
      <c r="F481" s="314"/>
      <c r="G481" s="314"/>
      <c r="H481" s="314"/>
      <c r="I481" s="314"/>
      <c r="J481" s="314"/>
      <c r="K481" s="321"/>
      <c r="L481" s="321"/>
      <c r="M481" s="314"/>
      <c r="N481" s="314"/>
      <c r="O481" s="314"/>
      <c r="P481" s="314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  <c r="AN481" s="321"/>
    </row>
    <row r="482" ht="15.75" customHeight="1">
      <c r="A482" s="314"/>
      <c r="B482" s="314"/>
      <c r="C482" s="314"/>
      <c r="D482" s="314"/>
      <c r="E482" s="314"/>
      <c r="F482" s="314"/>
      <c r="G482" s="314"/>
      <c r="H482" s="314"/>
      <c r="I482" s="314"/>
      <c r="J482" s="314"/>
      <c r="K482" s="321"/>
      <c r="L482" s="321"/>
      <c r="M482" s="314"/>
      <c r="N482" s="314"/>
      <c r="O482" s="314"/>
      <c r="P482" s="314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  <c r="AN482" s="321"/>
    </row>
    <row r="483" ht="15.75" customHeight="1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21"/>
      <c r="L483" s="321"/>
      <c r="M483" s="314"/>
      <c r="N483" s="314"/>
      <c r="O483" s="314"/>
      <c r="P483" s="314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  <c r="AN483" s="321"/>
    </row>
    <row r="484" ht="15.75" customHeight="1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21"/>
      <c r="L484" s="321"/>
      <c r="M484" s="314"/>
      <c r="N484" s="314"/>
      <c r="O484" s="314"/>
      <c r="P484" s="314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  <c r="AN484" s="321"/>
    </row>
    <row r="485" ht="15.75" customHeight="1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21"/>
      <c r="L485" s="321"/>
      <c r="M485" s="314"/>
      <c r="N485" s="314"/>
      <c r="O485" s="314"/>
      <c r="P485" s="314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  <c r="AN485" s="321"/>
    </row>
    <row r="486" ht="15.75" customHeight="1">
      <c r="A486" s="314"/>
      <c r="B486" s="314"/>
      <c r="C486" s="314"/>
      <c r="D486" s="314"/>
      <c r="E486" s="314"/>
      <c r="F486" s="314"/>
      <c r="G486" s="314"/>
      <c r="H486" s="314"/>
      <c r="I486" s="314"/>
      <c r="J486" s="314"/>
      <c r="K486" s="321"/>
      <c r="L486" s="321"/>
      <c r="M486" s="314"/>
      <c r="N486" s="314"/>
      <c r="O486" s="314"/>
      <c r="P486" s="314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  <c r="AN486" s="321"/>
    </row>
    <row r="487" ht="15.75" customHeight="1">
      <c r="A487" s="314"/>
      <c r="B487" s="314"/>
      <c r="C487" s="314"/>
      <c r="D487" s="314"/>
      <c r="E487" s="314"/>
      <c r="F487" s="314"/>
      <c r="G487" s="314"/>
      <c r="H487" s="314"/>
      <c r="I487" s="314"/>
      <c r="J487" s="314"/>
      <c r="K487" s="321"/>
      <c r="L487" s="321"/>
      <c r="M487" s="314"/>
      <c r="N487" s="314"/>
      <c r="O487" s="314"/>
      <c r="P487" s="314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  <c r="AN487" s="321"/>
    </row>
    <row r="488" ht="15.75" customHeight="1">
      <c r="A488" s="314"/>
      <c r="B488" s="314"/>
      <c r="C488" s="314"/>
      <c r="D488" s="314"/>
      <c r="E488" s="314"/>
      <c r="F488" s="314"/>
      <c r="G488" s="314"/>
      <c r="H488" s="314"/>
      <c r="I488" s="314"/>
      <c r="J488" s="314"/>
      <c r="K488" s="321"/>
      <c r="L488" s="321"/>
      <c r="M488" s="314"/>
      <c r="N488" s="314"/>
      <c r="O488" s="314"/>
      <c r="P488" s="314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  <c r="AN488" s="321"/>
    </row>
    <row r="489" ht="15.75" customHeight="1">
      <c r="A489" s="314"/>
      <c r="B489" s="314"/>
      <c r="C489" s="314"/>
      <c r="D489" s="314"/>
      <c r="E489" s="314"/>
      <c r="F489" s="314"/>
      <c r="G489" s="314"/>
      <c r="H489" s="314"/>
      <c r="I489" s="314"/>
      <c r="J489" s="314"/>
      <c r="K489" s="321"/>
      <c r="L489" s="321"/>
      <c r="M489" s="314"/>
      <c r="N489" s="314"/>
      <c r="O489" s="314"/>
      <c r="P489" s="314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  <c r="AN489" s="321"/>
    </row>
    <row r="490" ht="15.75" customHeight="1">
      <c r="A490" s="314"/>
      <c r="B490" s="314"/>
      <c r="C490" s="314"/>
      <c r="D490" s="314"/>
      <c r="E490" s="314"/>
      <c r="F490" s="314"/>
      <c r="G490" s="314"/>
      <c r="H490" s="314"/>
      <c r="I490" s="314"/>
      <c r="J490" s="314"/>
      <c r="K490" s="321"/>
      <c r="L490" s="321"/>
      <c r="M490" s="314"/>
      <c r="N490" s="314"/>
      <c r="O490" s="314"/>
      <c r="P490" s="314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  <c r="AN490" s="321"/>
    </row>
    <row r="491" ht="15.75" customHeight="1">
      <c r="A491" s="314"/>
      <c r="B491" s="314"/>
      <c r="C491" s="314"/>
      <c r="D491" s="314"/>
      <c r="E491" s="314"/>
      <c r="F491" s="314"/>
      <c r="G491" s="314"/>
      <c r="H491" s="314"/>
      <c r="I491" s="314"/>
      <c r="J491" s="314"/>
      <c r="K491" s="321"/>
      <c r="L491" s="321"/>
      <c r="M491" s="314"/>
      <c r="N491" s="314"/>
      <c r="O491" s="314"/>
      <c r="P491" s="314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  <c r="AN491" s="321"/>
    </row>
    <row r="492" ht="15.75" customHeight="1">
      <c r="A492" s="314"/>
      <c r="B492" s="314"/>
      <c r="C492" s="314"/>
      <c r="D492" s="314"/>
      <c r="E492" s="314"/>
      <c r="F492" s="314"/>
      <c r="G492" s="314"/>
      <c r="H492" s="314"/>
      <c r="I492" s="314"/>
      <c r="J492" s="314"/>
      <c r="K492" s="321"/>
      <c r="L492" s="321"/>
      <c r="M492" s="314"/>
      <c r="N492" s="314"/>
      <c r="O492" s="314"/>
      <c r="P492" s="314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  <c r="AN492" s="321"/>
    </row>
    <row r="493" ht="15.75" customHeight="1">
      <c r="A493" s="314"/>
      <c r="B493" s="314"/>
      <c r="C493" s="314"/>
      <c r="D493" s="314"/>
      <c r="E493" s="314"/>
      <c r="F493" s="314"/>
      <c r="G493" s="314"/>
      <c r="H493" s="314"/>
      <c r="I493" s="314"/>
      <c r="J493" s="314"/>
      <c r="K493" s="321"/>
      <c r="L493" s="321"/>
      <c r="M493" s="314"/>
      <c r="N493" s="314"/>
      <c r="O493" s="314"/>
      <c r="P493" s="314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  <c r="AN493" s="321"/>
    </row>
    <row r="494" ht="15.75" customHeight="1">
      <c r="A494" s="314"/>
      <c r="B494" s="314"/>
      <c r="C494" s="314"/>
      <c r="D494" s="314"/>
      <c r="E494" s="314"/>
      <c r="F494" s="314"/>
      <c r="G494" s="314"/>
      <c r="H494" s="314"/>
      <c r="I494" s="314"/>
      <c r="J494" s="314"/>
      <c r="K494" s="321"/>
      <c r="L494" s="321"/>
      <c r="M494" s="314"/>
      <c r="N494" s="314"/>
      <c r="O494" s="314"/>
      <c r="P494" s="314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  <c r="AN494" s="321"/>
    </row>
    <row r="495" ht="15.75" customHeight="1">
      <c r="A495" s="314"/>
      <c r="B495" s="314"/>
      <c r="C495" s="314"/>
      <c r="D495" s="314"/>
      <c r="E495" s="314"/>
      <c r="F495" s="314"/>
      <c r="G495" s="314"/>
      <c r="H495" s="314"/>
      <c r="I495" s="314"/>
      <c r="J495" s="314"/>
      <c r="K495" s="321"/>
      <c r="L495" s="321"/>
      <c r="M495" s="314"/>
      <c r="N495" s="314"/>
      <c r="O495" s="314"/>
      <c r="P495" s="314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  <c r="AN495" s="321"/>
    </row>
    <row r="496" ht="15.75" customHeight="1">
      <c r="A496" s="314"/>
      <c r="B496" s="314"/>
      <c r="C496" s="314"/>
      <c r="D496" s="314"/>
      <c r="E496" s="314"/>
      <c r="F496" s="314"/>
      <c r="G496" s="314"/>
      <c r="H496" s="314"/>
      <c r="I496" s="314"/>
      <c r="J496" s="314"/>
      <c r="K496" s="321"/>
      <c r="L496" s="321"/>
      <c r="M496" s="314"/>
      <c r="N496" s="314"/>
      <c r="O496" s="314"/>
      <c r="P496" s="314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  <c r="AN496" s="321"/>
    </row>
    <row r="497" ht="15.75" customHeight="1">
      <c r="A497" s="314"/>
      <c r="B497" s="314"/>
      <c r="C497" s="314"/>
      <c r="D497" s="314"/>
      <c r="E497" s="314"/>
      <c r="F497" s="314"/>
      <c r="G497" s="314"/>
      <c r="H497" s="314"/>
      <c r="I497" s="314"/>
      <c r="J497" s="314"/>
      <c r="K497" s="321"/>
      <c r="L497" s="321"/>
      <c r="M497" s="314"/>
      <c r="N497" s="314"/>
      <c r="O497" s="314"/>
      <c r="P497" s="314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  <c r="AN497" s="321"/>
    </row>
    <row r="498" ht="15.75" customHeight="1">
      <c r="A498" s="314"/>
      <c r="B498" s="314"/>
      <c r="C498" s="314"/>
      <c r="D498" s="314"/>
      <c r="E498" s="314"/>
      <c r="F498" s="314"/>
      <c r="G498" s="314"/>
      <c r="H498" s="314"/>
      <c r="I498" s="314"/>
      <c r="J498" s="314"/>
      <c r="K498" s="321"/>
      <c r="L498" s="321"/>
      <c r="M498" s="314"/>
      <c r="N498" s="314"/>
      <c r="O498" s="314"/>
      <c r="P498" s="314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  <c r="AN498" s="321"/>
    </row>
    <row r="499" ht="15.75" customHeight="1">
      <c r="A499" s="314"/>
      <c r="B499" s="314"/>
      <c r="C499" s="314"/>
      <c r="D499" s="314"/>
      <c r="E499" s="314"/>
      <c r="F499" s="314"/>
      <c r="G499" s="314"/>
      <c r="H499" s="314"/>
      <c r="I499" s="314"/>
      <c r="J499" s="314"/>
      <c r="K499" s="321"/>
      <c r="L499" s="321"/>
      <c r="M499" s="314"/>
      <c r="N499" s="314"/>
      <c r="O499" s="314"/>
      <c r="P499" s="314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  <c r="AN499" s="321"/>
    </row>
    <row r="500" ht="15.75" customHeight="1">
      <c r="A500" s="314"/>
      <c r="B500" s="314"/>
      <c r="C500" s="314"/>
      <c r="D500" s="314"/>
      <c r="E500" s="314"/>
      <c r="F500" s="314"/>
      <c r="G500" s="314"/>
      <c r="H500" s="314"/>
      <c r="I500" s="314"/>
      <c r="J500" s="314"/>
      <c r="K500" s="321"/>
      <c r="L500" s="321"/>
      <c r="M500" s="314"/>
      <c r="N500" s="314"/>
      <c r="O500" s="314"/>
      <c r="P500" s="314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  <c r="AN500" s="321"/>
    </row>
    <row r="501" ht="15.75" customHeight="1">
      <c r="A501" s="314"/>
      <c r="B501" s="314"/>
      <c r="C501" s="314"/>
      <c r="D501" s="314"/>
      <c r="E501" s="314"/>
      <c r="F501" s="314"/>
      <c r="G501" s="314"/>
      <c r="H501" s="314"/>
      <c r="I501" s="314"/>
      <c r="J501" s="314"/>
      <c r="K501" s="321"/>
      <c r="L501" s="321"/>
      <c r="M501" s="314"/>
      <c r="N501" s="314"/>
      <c r="O501" s="314"/>
      <c r="P501" s="314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  <c r="AN501" s="321"/>
    </row>
    <row r="502" ht="15.75" customHeight="1">
      <c r="A502" s="314"/>
      <c r="B502" s="314"/>
      <c r="C502" s="314"/>
      <c r="D502" s="314"/>
      <c r="E502" s="314"/>
      <c r="F502" s="314"/>
      <c r="G502" s="314"/>
      <c r="H502" s="314"/>
      <c r="I502" s="314"/>
      <c r="J502" s="314"/>
      <c r="K502" s="321"/>
      <c r="L502" s="321"/>
      <c r="M502" s="314"/>
      <c r="N502" s="314"/>
      <c r="O502" s="314"/>
      <c r="P502" s="314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  <c r="AN502" s="321"/>
    </row>
    <row r="503" ht="15.75" customHeight="1">
      <c r="A503" s="314"/>
      <c r="B503" s="314"/>
      <c r="C503" s="314"/>
      <c r="D503" s="314"/>
      <c r="E503" s="314"/>
      <c r="F503" s="314"/>
      <c r="G503" s="314"/>
      <c r="H503" s="314"/>
      <c r="I503" s="314"/>
      <c r="J503" s="314"/>
      <c r="K503" s="321"/>
      <c r="L503" s="321"/>
      <c r="M503" s="314"/>
      <c r="N503" s="314"/>
      <c r="O503" s="314"/>
      <c r="P503" s="314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  <c r="AN503" s="321"/>
    </row>
    <row r="504" ht="15.75" customHeight="1">
      <c r="A504" s="314"/>
      <c r="B504" s="314"/>
      <c r="C504" s="314"/>
      <c r="D504" s="314"/>
      <c r="E504" s="314"/>
      <c r="F504" s="314"/>
      <c r="G504" s="314"/>
      <c r="H504" s="314"/>
      <c r="I504" s="314"/>
      <c r="J504" s="314"/>
      <c r="K504" s="321"/>
      <c r="L504" s="321"/>
      <c r="M504" s="314"/>
      <c r="N504" s="314"/>
      <c r="O504" s="314"/>
      <c r="P504" s="314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  <c r="AN504" s="321"/>
    </row>
    <row r="505" ht="15.75" customHeight="1">
      <c r="A505" s="314"/>
      <c r="B505" s="314"/>
      <c r="C505" s="314"/>
      <c r="D505" s="314"/>
      <c r="E505" s="314"/>
      <c r="F505" s="314"/>
      <c r="G505" s="314"/>
      <c r="H505" s="314"/>
      <c r="I505" s="314"/>
      <c r="J505" s="314"/>
      <c r="K505" s="321"/>
      <c r="L505" s="321"/>
      <c r="M505" s="314"/>
      <c r="N505" s="314"/>
      <c r="O505" s="314"/>
      <c r="P505" s="314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  <c r="AN505" s="321"/>
    </row>
    <row r="506" ht="15.75" customHeight="1">
      <c r="A506" s="314"/>
      <c r="B506" s="314"/>
      <c r="C506" s="314"/>
      <c r="D506" s="314"/>
      <c r="E506" s="314"/>
      <c r="F506" s="314"/>
      <c r="G506" s="314"/>
      <c r="H506" s="314"/>
      <c r="I506" s="314"/>
      <c r="J506" s="314"/>
      <c r="K506" s="321"/>
      <c r="L506" s="321"/>
      <c r="M506" s="314"/>
      <c r="N506" s="314"/>
      <c r="O506" s="314"/>
      <c r="P506" s="314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  <c r="AN506" s="321"/>
    </row>
    <row r="507" ht="15.75" customHeight="1">
      <c r="A507" s="314"/>
      <c r="B507" s="314"/>
      <c r="C507" s="314"/>
      <c r="D507" s="314"/>
      <c r="E507" s="314"/>
      <c r="F507" s="314"/>
      <c r="G507" s="314"/>
      <c r="H507" s="314"/>
      <c r="I507" s="314"/>
      <c r="J507" s="314"/>
      <c r="K507" s="321"/>
      <c r="L507" s="321"/>
      <c r="M507" s="314"/>
      <c r="N507" s="314"/>
      <c r="O507" s="314"/>
      <c r="P507" s="314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  <c r="AN507" s="321"/>
    </row>
    <row r="508" ht="15.75" customHeight="1">
      <c r="A508" s="314"/>
      <c r="B508" s="314"/>
      <c r="C508" s="314"/>
      <c r="D508" s="314"/>
      <c r="E508" s="314"/>
      <c r="F508" s="314"/>
      <c r="G508" s="314"/>
      <c r="H508" s="314"/>
      <c r="I508" s="314"/>
      <c r="J508" s="314"/>
      <c r="K508" s="321"/>
      <c r="L508" s="321"/>
      <c r="M508" s="314"/>
      <c r="N508" s="314"/>
      <c r="O508" s="314"/>
      <c r="P508" s="314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  <c r="AN508" s="321"/>
    </row>
    <row r="509" ht="15.75" customHeight="1">
      <c r="A509" s="314"/>
      <c r="B509" s="314"/>
      <c r="C509" s="314"/>
      <c r="D509" s="314"/>
      <c r="E509" s="314"/>
      <c r="F509" s="314"/>
      <c r="G509" s="314"/>
      <c r="H509" s="314"/>
      <c r="I509" s="314"/>
      <c r="J509" s="314"/>
      <c r="K509" s="321"/>
      <c r="L509" s="321"/>
      <c r="M509" s="314"/>
      <c r="N509" s="314"/>
      <c r="O509" s="314"/>
      <c r="P509" s="314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  <c r="AN509" s="321"/>
    </row>
    <row r="510" ht="15.75" customHeight="1">
      <c r="A510" s="314"/>
      <c r="B510" s="314"/>
      <c r="C510" s="314"/>
      <c r="D510" s="314"/>
      <c r="E510" s="314"/>
      <c r="F510" s="314"/>
      <c r="G510" s="314"/>
      <c r="H510" s="314"/>
      <c r="I510" s="314"/>
      <c r="J510" s="314"/>
      <c r="K510" s="321"/>
      <c r="L510" s="321"/>
      <c r="M510" s="314"/>
      <c r="N510" s="314"/>
      <c r="O510" s="314"/>
      <c r="P510" s="314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  <c r="AN510" s="321"/>
    </row>
    <row r="511" ht="15.75" customHeight="1">
      <c r="A511" s="314"/>
      <c r="B511" s="314"/>
      <c r="C511" s="314"/>
      <c r="D511" s="314"/>
      <c r="E511" s="314"/>
      <c r="F511" s="314"/>
      <c r="G511" s="314"/>
      <c r="H511" s="314"/>
      <c r="I511" s="314"/>
      <c r="J511" s="314"/>
      <c r="K511" s="321"/>
      <c r="L511" s="321"/>
      <c r="M511" s="314"/>
      <c r="N511" s="314"/>
      <c r="O511" s="314"/>
      <c r="P511" s="314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  <c r="AN511" s="321"/>
    </row>
    <row r="512" ht="15.75" customHeight="1">
      <c r="A512" s="314"/>
      <c r="B512" s="314"/>
      <c r="C512" s="314"/>
      <c r="D512" s="314"/>
      <c r="E512" s="314"/>
      <c r="F512" s="314"/>
      <c r="G512" s="314"/>
      <c r="H512" s="314"/>
      <c r="I512" s="314"/>
      <c r="J512" s="314"/>
      <c r="K512" s="321"/>
      <c r="L512" s="321"/>
      <c r="M512" s="314"/>
      <c r="N512" s="314"/>
      <c r="O512" s="314"/>
      <c r="P512" s="314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  <c r="AN512" s="321"/>
    </row>
    <row r="513" ht="15.75" customHeight="1">
      <c r="A513" s="314"/>
      <c r="B513" s="314"/>
      <c r="C513" s="314"/>
      <c r="D513" s="314"/>
      <c r="E513" s="314"/>
      <c r="F513" s="314"/>
      <c r="G513" s="314"/>
      <c r="H513" s="314"/>
      <c r="I513" s="314"/>
      <c r="J513" s="314"/>
      <c r="K513" s="321"/>
      <c r="L513" s="321"/>
      <c r="M513" s="314"/>
      <c r="N513" s="314"/>
      <c r="O513" s="314"/>
      <c r="P513" s="314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  <c r="AN513" s="321"/>
    </row>
    <row r="514" ht="15.75" customHeight="1">
      <c r="A514" s="314"/>
      <c r="B514" s="314"/>
      <c r="C514" s="314"/>
      <c r="D514" s="314"/>
      <c r="E514" s="314"/>
      <c r="F514" s="314"/>
      <c r="G514" s="314"/>
      <c r="H514" s="314"/>
      <c r="I514" s="314"/>
      <c r="J514" s="314"/>
      <c r="K514" s="321"/>
      <c r="L514" s="321"/>
      <c r="M514" s="314"/>
      <c r="N514" s="314"/>
      <c r="O514" s="314"/>
      <c r="P514" s="314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  <c r="AN514" s="321"/>
    </row>
    <row r="515" ht="15.75" customHeight="1">
      <c r="A515" s="314"/>
      <c r="B515" s="314"/>
      <c r="C515" s="314"/>
      <c r="D515" s="314"/>
      <c r="E515" s="314"/>
      <c r="F515" s="314"/>
      <c r="G515" s="314"/>
      <c r="H515" s="314"/>
      <c r="I515" s="314"/>
      <c r="J515" s="314"/>
      <c r="K515" s="321"/>
      <c r="L515" s="321"/>
      <c r="M515" s="314"/>
      <c r="N515" s="314"/>
      <c r="O515" s="314"/>
      <c r="P515" s="314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  <c r="AN515" s="321"/>
    </row>
    <row r="516" ht="15.75" customHeight="1">
      <c r="A516" s="314"/>
      <c r="B516" s="314"/>
      <c r="C516" s="314"/>
      <c r="D516" s="314"/>
      <c r="E516" s="314"/>
      <c r="F516" s="314"/>
      <c r="G516" s="314"/>
      <c r="H516" s="314"/>
      <c r="I516" s="314"/>
      <c r="J516" s="314"/>
      <c r="K516" s="321"/>
      <c r="L516" s="321"/>
      <c r="M516" s="314"/>
      <c r="N516" s="314"/>
      <c r="O516" s="314"/>
      <c r="P516" s="314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  <c r="AN516" s="321"/>
    </row>
    <row r="517" ht="15.75" customHeight="1">
      <c r="A517" s="314"/>
      <c r="B517" s="314"/>
      <c r="C517" s="314"/>
      <c r="D517" s="314"/>
      <c r="E517" s="314"/>
      <c r="F517" s="314"/>
      <c r="G517" s="314"/>
      <c r="H517" s="314"/>
      <c r="I517" s="314"/>
      <c r="J517" s="314"/>
      <c r="K517" s="321"/>
      <c r="L517" s="321"/>
      <c r="M517" s="314"/>
      <c r="N517" s="314"/>
      <c r="O517" s="314"/>
      <c r="P517" s="314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  <c r="AN517" s="321"/>
    </row>
    <row r="518" ht="15.75" customHeight="1">
      <c r="A518" s="314"/>
      <c r="B518" s="314"/>
      <c r="C518" s="314"/>
      <c r="D518" s="314"/>
      <c r="E518" s="314"/>
      <c r="F518" s="314"/>
      <c r="G518" s="314"/>
      <c r="H518" s="314"/>
      <c r="I518" s="314"/>
      <c r="J518" s="314"/>
      <c r="K518" s="321"/>
      <c r="L518" s="321"/>
      <c r="M518" s="314"/>
      <c r="N518" s="314"/>
      <c r="O518" s="314"/>
      <c r="P518" s="314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  <c r="AN518" s="321"/>
    </row>
    <row r="519" ht="15.75" customHeight="1">
      <c r="A519" s="314"/>
      <c r="B519" s="314"/>
      <c r="C519" s="314"/>
      <c r="D519" s="314"/>
      <c r="E519" s="314"/>
      <c r="F519" s="314"/>
      <c r="G519" s="314"/>
      <c r="H519" s="314"/>
      <c r="I519" s="314"/>
      <c r="J519" s="314"/>
      <c r="K519" s="321"/>
      <c r="L519" s="321"/>
      <c r="M519" s="314"/>
      <c r="N519" s="314"/>
      <c r="O519" s="314"/>
      <c r="P519" s="314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  <c r="AN519" s="321"/>
    </row>
    <row r="520" ht="15.75" customHeight="1">
      <c r="A520" s="314"/>
      <c r="B520" s="314"/>
      <c r="C520" s="314"/>
      <c r="D520" s="314"/>
      <c r="E520" s="314"/>
      <c r="F520" s="314"/>
      <c r="G520" s="314"/>
      <c r="H520" s="314"/>
      <c r="I520" s="314"/>
      <c r="J520" s="314"/>
      <c r="K520" s="321"/>
      <c r="L520" s="321"/>
      <c r="M520" s="314"/>
      <c r="N520" s="314"/>
      <c r="O520" s="314"/>
      <c r="P520" s="314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  <c r="AN520" s="321"/>
    </row>
    <row r="521" ht="15.75" customHeight="1">
      <c r="A521" s="314"/>
      <c r="B521" s="314"/>
      <c r="C521" s="314"/>
      <c r="D521" s="314"/>
      <c r="E521" s="314"/>
      <c r="F521" s="314"/>
      <c r="G521" s="314"/>
      <c r="H521" s="314"/>
      <c r="I521" s="314"/>
      <c r="J521" s="314"/>
      <c r="K521" s="321"/>
      <c r="L521" s="321"/>
      <c r="M521" s="314"/>
      <c r="N521" s="314"/>
      <c r="O521" s="314"/>
      <c r="P521" s="314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  <c r="AN521" s="321"/>
    </row>
    <row r="522" ht="15.75" customHeight="1">
      <c r="A522" s="314"/>
      <c r="B522" s="314"/>
      <c r="C522" s="314"/>
      <c r="D522" s="314"/>
      <c r="E522" s="314"/>
      <c r="F522" s="314"/>
      <c r="G522" s="314"/>
      <c r="H522" s="314"/>
      <c r="I522" s="314"/>
      <c r="J522" s="314"/>
      <c r="K522" s="321"/>
      <c r="L522" s="321"/>
      <c r="M522" s="314"/>
      <c r="N522" s="314"/>
      <c r="O522" s="314"/>
      <c r="P522" s="314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  <c r="AN522" s="321"/>
    </row>
    <row r="523" ht="15.75" customHeight="1">
      <c r="A523" s="314"/>
      <c r="B523" s="314"/>
      <c r="C523" s="314"/>
      <c r="D523" s="314"/>
      <c r="E523" s="314"/>
      <c r="F523" s="314"/>
      <c r="G523" s="314"/>
      <c r="H523" s="314"/>
      <c r="I523" s="314"/>
      <c r="J523" s="314"/>
      <c r="K523" s="321"/>
      <c r="L523" s="321"/>
      <c r="M523" s="314"/>
      <c r="N523" s="314"/>
      <c r="O523" s="314"/>
      <c r="P523" s="314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  <c r="AN523" s="321"/>
    </row>
    <row r="524" ht="15.75" customHeight="1">
      <c r="A524" s="314"/>
      <c r="B524" s="314"/>
      <c r="C524" s="314"/>
      <c r="D524" s="314"/>
      <c r="E524" s="314"/>
      <c r="F524" s="314"/>
      <c r="G524" s="314"/>
      <c r="H524" s="314"/>
      <c r="I524" s="314"/>
      <c r="J524" s="314"/>
      <c r="K524" s="321"/>
      <c r="L524" s="321"/>
      <c r="M524" s="314"/>
      <c r="N524" s="314"/>
      <c r="O524" s="314"/>
      <c r="P524" s="314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  <c r="AN524" s="321"/>
    </row>
    <row r="525" ht="15.75" customHeight="1">
      <c r="A525" s="314"/>
      <c r="B525" s="314"/>
      <c r="C525" s="314"/>
      <c r="D525" s="314"/>
      <c r="E525" s="314"/>
      <c r="F525" s="314"/>
      <c r="G525" s="314"/>
      <c r="H525" s="314"/>
      <c r="I525" s="314"/>
      <c r="J525" s="314"/>
      <c r="K525" s="321"/>
      <c r="L525" s="321"/>
      <c r="M525" s="314"/>
      <c r="N525" s="314"/>
      <c r="O525" s="314"/>
      <c r="P525" s="314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  <c r="AN525" s="321"/>
    </row>
    <row r="526" ht="15.75" customHeight="1">
      <c r="A526" s="314"/>
      <c r="B526" s="314"/>
      <c r="C526" s="314"/>
      <c r="D526" s="314"/>
      <c r="E526" s="314"/>
      <c r="F526" s="314"/>
      <c r="G526" s="314"/>
      <c r="H526" s="314"/>
      <c r="I526" s="314"/>
      <c r="J526" s="314"/>
      <c r="K526" s="321"/>
      <c r="L526" s="321"/>
      <c r="M526" s="314"/>
      <c r="N526" s="314"/>
      <c r="O526" s="314"/>
      <c r="P526" s="314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  <c r="AN526" s="321"/>
    </row>
    <row r="527" ht="15.75" customHeight="1">
      <c r="A527" s="314"/>
      <c r="B527" s="314"/>
      <c r="C527" s="314"/>
      <c r="D527" s="314"/>
      <c r="E527" s="314"/>
      <c r="F527" s="314"/>
      <c r="G527" s="314"/>
      <c r="H527" s="314"/>
      <c r="I527" s="314"/>
      <c r="J527" s="314"/>
      <c r="K527" s="321"/>
      <c r="L527" s="321"/>
      <c r="M527" s="314"/>
      <c r="N527" s="314"/>
      <c r="O527" s="314"/>
      <c r="P527" s="314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  <c r="AN527" s="321"/>
    </row>
    <row r="528" ht="15.75" customHeight="1">
      <c r="A528" s="314"/>
      <c r="B528" s="314"/>
      <c r="C528" s="314"/>
      <c r="D528" s="314"/>
      <c r="E528" s="314"/>
      <c r="F528" s="314"/>
      <c r="G528" s="314"/>
      <c r="H528" s="314"/>
      <c r="I528" s="314"/>
      <c r="J528" s="314"/>
      <c r="K528" s="321"/>
      <c r="L528" s="321"/>
      <c r="M528" s="314"/>
      <c r="N528" s="314"/>
      <c r="O528" s="314"/>
      <c r="P528" s="314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  <c r="AN528" s="321"/>
    </row>
    <row r="529" ht="15.75" customHeight="1">
      <c r="A529" s="314"/>
      <c r="B529" s="314"/>
      <c r="C529" s="314"/>
      <c r="D529" s="314"/>
      <c r="E529" s="314"/>
      <c r="F529" s="314"/>
      <c r="G529" s="314"/>
      <c r="H529" s="314"/>
      <c r="I529" s="314"/>
      <c r="J529" s="314"/>
      <c r="K529" s="321"/>
      <c r="L529" s="321"/>
      <c r="M529" s="314"/>
      <c r="N529" s="314"/>
      <c r="O529" s="314"/>
      <c r="P529" s="314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  <c r="AN529" s="321"/>
    </row>
    <row r="530" ht="15.75" customHeight="1">
      <c r="A530" s="314"/>
      <c r="B530" s="314"/>
      <c r="C530" s="314"/>
      <c r="D530" s="314"/>
      <c r="E530" s="314"/>
      <c r="F530" s="314"/>
      <c r="G530" s="314"/>
      <c r="H530" s="314"/>
      <c r="I530" s="314"/>
      <c r="J530" s="314"/>
      <c r="K530" s="321"/>
      <c r="L530" s="321"/>
      <c r="M530" s="314"/>
      <c r="N530" s="314"/>
      <c r="O530" s="314"/>
      <c r="P530" s="314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  <c r="AN530" s="321"/>
    </row>
    <row r="531" ht="15.75" customHeight="1">
      <c r="A531" s="314"/>
      <c r="B531" s="314"/>
      <c r="C531" s="314"/>
      <c r="D531" s="314"/>
      <c r="E531" s="314"/>
      <c r="F531" s="314"/>
      <c r="G531" s="314"/>
      <c r="H531" s="314"/>
      <c r="I531" s="314"/>
      <c r="J531" s="314"/>
      <c r="K531" s="321"/>
      <c r="L531" s="321"/>
      <c r="M531" s="314"/>
      <c r="N531" s="314"/>
      <c r="O531" s="314"/>
      <c r="P531" s="314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  <c r="AN531" s="321"/>
    </row>
    <row r="532" ht="15.75" customHeight="1">
      <c r="A532" s="314"/>
      <c r="B532" s="314"/>
      <c r="C532" s="314"/>
      <c r="D532" s="314"/>
      <c r="E532" s="314"/>
      <c r="F532" s="314"/>
      <c r="G532" s="314"/>
      <c r="H532" s="314"/>
      <c r="I532" s="314"/>
      <c r="J532" s="314"/>
      <c r="K532" s="321"/>
      <c r="L532" s="321"/>
      <c r="M532" s="314"/>
      <c r="N532" s="314"/>
      <c r="O532" s="314"/>
      <c r="P532" s="314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  <c r="AN532" s="321"/>
    </row>
    <row r="533" ht="15.75" customHeight="1">
      <c r="A533" s="314"/>
      <c r="B533" s="314"/>
      <c r="C533" s="314"/>
      <c r="D533" s="314"/>
      <c r="E533" s="314"/>
      <c r="F533" s="314"/>
      <c r="G533" s="314"/>
      <c r="H533" s="314"/>
      <c r="I533" s="314"/>
      <c r="J533" s="314"/>
      <c r="K533" s="321"/>
      <c r="L533" s="321"/>
      <c r="M533" s="314"/>
      <c r="N533" s="314"/>
      <c r="O533" s="314"/>
      <c r="P533" s="314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  <c r="AN533" s="321"/>
    </row>
    <row r="534" ht="15.75" customHeight="1">
      <c r="A534" s="314"/>
      <c r="B534" s="314"/>
      <c r="C534" s="314"/>
      <c r="D534" s="314"/>
      <c r="E534" s="314"/>
      <c r="F534" s="314"/>
      <c r="G534" s="314"/>
      <c r="H534" s="314"/>
      <c r="I534" s="314"/>
      <c r="J534" s="314"/>
      <c r="K534" s="321"/>
      <c r="L534" s="321"/>
      <c r="M534" s="314"/>
      <c r="N534" s="314"/>
      <c r="O534" s="314"/>
      <c r="P534" s="314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  <c r="AN534" s="321"/>
    </row>
    <row r="535" ht="15.75" customHeight="1">
      <c r="A535" s="314"/>
      <c r="B535" s="314"/>
      <c r="C535" s="314"/>
      <c r="D535" s="314"/>
      <c r="E535" s="314"/>
      <c r="F535" s="314"/>
      <c r="G535" s="314"/>
      <c r="H535" s="314"/>
      <c r="I535" s="314"/>
      <c r="J535" s="314"/>
      <c r="K535" s="321"/>
      <c r="L535" s="321"/>
      <c r="M535" s="314"/>
      <c r="N535" s="314"/>
      <c r="O535" s="314"/>
      <c r="P535" s="314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  <c r="AN535" s="321"/>
    </row>
    <row r="536" ht="15.75" customHeight="1">
      <c r="A536" s="314"/>
      <c r="B536" s="314"/>
      <c r="C536" s="314"/>
      <c r="D536" s="314"/>
      <c r="E536" s="314"/>
      <c r="F536" s="314"/>
      <c r="G536" s="314"/>
      <c r="H536" s="314"/>
      <c r="I536" s="314"/>
      <c r="J536" s="314"/>
      <c r="K536" s="321"/>
      <c r="L536" s="321"/>
      <c r="M536" s="314"/>
      <c r="N536" s="314"/>
      <c r="O536" s="314"/>
      <c r="P536" s="314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  <c r="AN536" s="321"/>
    </row>
    <row r="537" ht="15.75" customHeight="1">
      <c r="A537" s="314"/>
      <c r="B537" s="314"/>
      <c r="C537" s="314"/>
      <c r="D537" s="314"/>
      <c r="E537" s="314"/>
      <c r="F537" s="314"/>
      <c r="G537" s="314"/>
      <c r="H537" s="314"/>
      <c r="I537" s="314"/>
      <c r="J537" s="314"/>
      <c r="K537" s="321"/>
      <c r="L537" s="321"/>
      <c r="M537" s="314"/>
      <c r="N537" s="314"/>
      <c r="O537" s="314"/>
      <c r="P537" s="314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  <c r="AN537" s="321"/>
    </row>
    <row r="538" ht="15.75" customHeight="1">
      <c r="A538" s="314"/>
      <c r="B538" s="314"/>
      <c r="C538" s="314"/>
      <c r="D538" s="314"/>
      <c r="E538" s="314"/>
      <c r="F538" s="314"/>
      <c r="G538" s="314"/>
      <c r="H538" s="314"/>
      <c r="I538" s="314"/>
      <c r="J538" s="314"/>
      <c r="K538" s="321"/>
      <c r="L538" s="321"/>
      <c r="M538" s="314"/>
      <c r="N538" s="314"/>
      <c r="O538" s="314"/>
      <c r="P538" s="314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  <c r="AN538" s="321"/>
    </row>
    <row r="539" ht="15.75" customHeight="1">
      <c r="A539" s="314"/>
      <c r="B539" s="314"/>
      <c r="C539" s="314"/>
      <c r="D539" s="314"/>
      <c r="E539" s="314"/>
      <c r="F539" s="314"/>
      <c r="G539" s="314"/>
      <c r="H539" s="314"/>
      <c r="I539" s="314"/>
      <c r="J539" s="314"/>
      <c r="K539" s="321"/>
      <c r="L539" s="321"/>
      <c r="M539" s="314"/>
      <c r="N539" s="314"/>
      <c r="O539" s="314"/>
      <c r="P539" s="314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  <c r="AN539" s="321"/>
    </row>
    <row r="540" ht="15.75" customHeight="1">
      <c r="A540" s="314"/>
      <c r="B540" s="314"/>
      <c r="C540" s="314"/>
      <c r="D540" s="314"/>
      <c r="E540" s="314"/>
      <c r="F540" s="314"/>
      <c r="G540" s="314"/>
      <c r="H540" s="314"/>
      <c r="I540" s="314"/>
      <c r="J540" s="314"/>
      <c r="K540" s="321"/>
      <c r="L540" s="321"/>
      <c r="M540" s="314"/>
      <c r="N540" s="314"/>
      <c r="O540" s="314"/>
      <c r="P540" s="314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  <c r="AN540" s="321"/>
    </row>
    <row r="541" ht="15.75" customHeight="1">
      <c r="A541" s="314"/>
      <c r="B541" s="314"/>
      <c r="C541" s="314"/>
      <c r="D541" s="314"/>
      <c r="E541" s="314"/>
      <c r="F541" s="314"/>
      <c r="G541" s="314"/>
      <c r="H541" s="314"/>
      <c r="I541" s="314"/>
      <c r="J541" s="314"/>
      <c r="K541" s="321"/>
      <c r="L541" s="321"/>
      <c r="M541" s="314"/>
      <c r="N541" s="314"/>
      <c r="O541" s="314"/>
      <c r="P541" s="314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  <c r="AN541" s="321"/>
    </row>
    <row r="542" ht="15.75" customHeight="1">
      <c r="A542" s="314"/>
      <c r="B542" s="314"/>
      <c r="C542" s="314"/>
      <c r="D542" s="314"/>
      <c r="E542" s="314"/>
      <c r="F542" s="314"/>
      <c r="G542" s="314"/>
      <c r="H542" s="314"/>
      <c r="I542" s="314"/>
      <c r="J542" s="314"/>
      <c r="K542" s="321"/>
      <c r="L542" s="321"/>
      <c r="M542" s="314"/>
      <c r="N542" s="314"/>
      <c r="O542" s="314"/>
      <c r="P542" s="314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  <c r="AN542" s="321"/>
    </row>
    <row r="543" ht="15.75" customHeight="1">
      <c r="A543" s="314"/>
      <c r="B543" s="314"/>
      <c r="C543" s="314"/>
      <c r="D543" s="314"/>
      <c r="E543" s="314"/>
      <c r="F543" s="314"/>
      <c r="G543" s="314"/>
      <c r="H543" s="314"/>
      <c r="I543" s="314"/>
      <c r="J543" s="314"/>
      <c r="K543" s="321"/>
      <c r="L543" s="321"/>
      <c r="M543" s="314"/>
      <c r="N543" s="314"/>
      <c r="O543" s="314"/>
      <c r="P543" s="314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  <c r="AN543" s="321"/>
    </row>
    <row r="544" ht="15.75" customHeight="1">
      <c r="A544" s="314"/>
      <c r="B544" s="314"/>
      <c r="C544" s="314"/>
      <c r="D544" s="314"/>
      <c r="E544" s="314"/>
      <c r="F544" s="314"/>
      <c r="G544" s="314"/>
      <c r="H544" s="314"/>
      <c r="I544" s="314"/>
      <c r="J544" s="314"/>
      <c r="K544" s="321"/>
      <c r="L544" s="321"/>
      <c r="M544" s="314"/>
      <c r="N544" s="314"/>
      <c r="O544" s="314"/>
      <c r="P544" s="314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  <c r="AN544" s="321"/>
    </row>
    <row r="545" ht="15.75" customHeight="1">
      <c r="A545" s="314"/>
      <c r="B545" s="314"/>
      <c r="C545" s="314"/>
      <c r="D545" s="314"/>
      <c r="E545" s="314"/>
      <c r="F545" s="314"/>
      <c r="G545" s="314"/>
      <c r="H545" s="314"/>
      <c r="I545" s="314"/>
      <c r="J545" s="314"/>
      <c r="K545" s="321"/>
      <c r="L545" s="321"/>
      <c r="M545" s="314"/>
      <c r="N545" s="314"/>
      <c r="O545" s="314"/>
      <c r="P545" s="314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  <c r="AN545" s="321"/>
    </row>
    <row r="546" ht="15.75" customHeight="1">
      <c r="A546" s="314"/>
      <c r="B546" s="314"/>
      <c r="C546" s="314"/>
      <c r="D546" s="314"/>
      <c r="E546" s="314"/>
      <c r="F546" s="314"/>
      <c r="G546" s="314"/>
      <c r="H546" s="314"/>
      <c r="I546" s="314"/>
      <c r="J546" s="314"/>
      <c r="K546" s="321"/>
      <c r="L546" s="321"/>
      <c r="M546" s="314"/>
      <c r="N546" s="314"/>
      <c r="O546" s="314"/>
      <c r="P546" s="314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  <c r="AN546" s="321"/>
    </row>
    <row r="547" ht="15.75" customHeight="1">
      <c r="A547" s="314"/>
      <c r="B547" s="314"/>
      <c r="C547" s="314"/>
      <c r="D547" s="314"/>
      <c r="E547" s="314"/>
      <c r="F547" s="314"/>
      <c r="G547" s="314"/>
      <c r="H547" s="314"/>
      <c r="I547" s="314"/>
      <c r="J547" s="314"/>
      <c r="K547" s="321"/>
      <c r="L547" s="321"/>
      <c r="M547" s="314"/>
      <c r="N547" s="314"/>
      <c r="O547" s="314"/>
      <c r="P547" s="314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  <c r="AN547" s="321"/>
    </row>
    <row r="548" ht="15.75" customHeight="1">
      <c r="A548" s="314"/>
      <c r="B548" s="314"/>
      <c r="C548" s="314"/>
      <c r="D548" s="314"/>
      <c r="E548" s="314"/>
      <c r="F548" s="314"/>
      <c r="G548" s="314"/>
      <c r="H548" s="314"/>
      <c r="I548" s="314"/>
      <c r="J548" s="314"/>
      <c r="K548" s="321"/>
      <c r="L548" s="321"/>
      <c r="M548" s="314"/>
      <c r="N548" s="314"/>
      <c r="O548" s="314"/>
      <c r="P548" s="314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  <c r="AN548" s="321"/>
    </row>
    <row r="549" ht="15.75" customHeight="1">
      <c r="A549" s="314"/>
      <c r="B549" s="314"/>
      <c r="C549" s="314"/>
      <c r="D549" s="314"/>
      <c r="E549" s="314"/>
      <c r="F549" s="314"/>
      <c r="G549" s="314"/>
      <c r="H549" s="314"/>
      <c r="I549" s="314"/>
      <c r="J549" s="314"/>
      <c r="K549" s="321"/>
      <c r="L549" s="321"/>
      <c r="M549" s="314"/>
      <c r="N549" s="314"/>
      <c r="O549" s="314"/>
      <c r="P549" s="314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  <c r="AN549" s="321"/>
    </row>
    <row r="550" ht="15.75" customHeight="1">
      <c r="A550" s="314"/>
      <c r="B550" s="314"/>
      <c r="C550" s="314"/>
      <c r="D550" s="314"/>
      <c r="E550" s="314"/>
      <c r="F550" s="314"/>
      <c r="G550" s="314"/>
      <c r="H550" s="314"/>
      <c r="I550" s="314"/>
      <c r="J550" s="314"/>
      <c r="K550" s="321"/>
      <c r="L550" s="321"/>
      <c r="M550" s="314"/>
      <c r="N550" s="314"/>
      <c r="O550" s="314"/>
      <c r="P550" s="314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  <c r="AN550" s="321"/>
    </row>
    <row r="551" ht="15.75" customHeight="1">
      <c r="A551" s="314"/>
      <c r="B551" s="314"/>
      <c r="C551" s="314"/>
      <c r="D551" s="314"/>
      <c r="E551" s="314"/>
      <c r="F551" s="314"/>
      <c r="G551" s="314"/>
      <c r="H551" s="314"/>
      <c r="I551" s="314"/>
      <c r="J551" s="314"/>
      <c r="K551" s="321"/>
      <c r="L551" s="321"/>
      <c r="M551" s="314"/>
      <c r="N551" s="314"/>
      <c r="O551" s="314"/>
      <c r="P551" s="314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  <c r="AN551" s="321"/>
    </row>
    <row r="552" ht="15.75" customHeight="1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21"/>
      <c r="L552" s="321"/>
      <c r="M552" s="314"/>
      <c r="N552" s="314"/>
      <c r="O552" s="314"/>
      <c r="P552" s="314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  <c r="AN552" s="321"/>
    </row>
    <row r="553" ht="15.75" customHeight="1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21"/>
      <c r="L553" s="321"/>
      <c r="M553" s="314"/>
      <c r="N553" s="314"/>
      <c r="O553" s="314"/>
      <c r="P553" s="314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  <c r="AN553" s="321"/>
    </row>
    <row r="554" ht="15.75" customHeight="1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21"/>
      <c r="L554" s="321"/>
      <c r="M554" s="314"/>
      <c r="N554" s="314"/>
      <c r="O554" s="314"/>
      <c r="P554" s="314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  <c r="AN554" s="321"/>
    </row>
    <row r="555" ht="15.75" customHeight="1">
      <c r="A555" s="314"/>
      <c r="B555" s="314"/>
      <c r="C555" s="314"/>
      <c r="D555" s="314"/>
      <c r="E555" s="314"/>
      <c r="F555" s="314"/>
      <c r="G555" s="314"/>
      <c r="H555" s="314"/>
      <c r="I555" s="314"/>
      <c r="J555" s="314"/>
      <c r="K555" s="321"/>
      <c r="L555" s="321"/>
      <c r="M555" s="314"/>
      <c r="N555" s="314"/>
      <c r="O555" s="314"/>
      <c r="P555" s="314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  <c r="AN555" s="321"/>
    </row>
    <row r="556" ht="15.75" customHeight="1">
      <c r="A556" s="314"/>
      <c r="B556" s="314"/>
      <c r="C556" s="314"/>
      <c r="D556" s="314"/>
      <c r="E556" s="314"/>
      <c r="F556" s="314"/>
      <c r="G556" s="314"/>
      <c r="H556" s="314"/>
      <c r="I556" s="314"/>
      <c r="J556" s="314"/>
      <c r="K556" s="321"/>
      <c r="L556" s="321"/>
      <c r="M556" s="314"/>
      <c r="N556" s="314"/>
      <c r="O556" s="314"/>
      <c r="P556" s="314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  <c r="AN556" s="321"/>
    </row>
    <row r="557" ht="15.75" customHeight="1">
      <c r="A557" s="314"/>
      <c r="B557" s="314"/>
      <c r="C557" s="314"/>
      <c r="D557" s="314"/>
      <c r="E557" s="314"/>
      <c r="F557" s="314"/>
      <c r="G557" s="314"/>
      <c r="H557" s="314"/>
      <c r="I557" s="314"/>
      <c r="J557" s="314"/>
      <c r="K557" s="321"/>
      <c r="L557" s="321"/>
      <c r="M557" s="314"/>
      <c r="N557" s="314"/>
      <c r="O557" s="314"/>
      <c r="P557" s="314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  <c r="AN557" s="321"/>
    </row>
    <row r="558" ht="15.75" customHeight="1">
      <c r="A558" s="314"/>
      <c r="B558" s="314"/>
      <c r="C558" s="314"/>
      <c r="D558" s="314"/>
      <c r="E558" s="314"/>
      <c r="F558" s="314"/>
      <c r="G558" s="314"/>
      <c r="H558" s="314"/>
      <c r="I558" s="314"/>
      <c r="J558" s="314"/>
      <c r="K558" s="321"/>
      <c r="L558" s="321"/>
      <c r="M558" s="314"/>
      <c r="N558" s="314"/>
      <c r="O558" s="314"/>
      <c r="P558" s="314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  <c r="AN558" s="321"/>
    </row>
    <row r="559" ht="15.75" customHeight="1">
      <c r="A559" s="314"/>
      <c r="B559" s="314"/>
      <c r="C559" s="314"/>
      <c r="D559" s="314"/>
      <c r="E559" s="314"/>
      <c r="F559" s="314"/>
      <c r="G559" s="314"/>
      <c r="H559" s="314"/>
      <c r="I559" s="314"/>
      <c r="J559" s="314"/>
      <c r="K559" s="321"/>
      <c r="L559" s="321"/>
      <c r="M559" s="314"/>
      <c r="N559" s="314"/>
      <c r="O559" s="314"/>
      <c r="P559" s="314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  <c r="AN559" s="321"/>
    </row>
    <row r="560" ht="15.75" customHeight="1">
      <c r="A560" s="314"/>
      <c r="B560" s="314"/>
      <c r="C560" s="314"/>
      <c r="D560" s="314"/>
      <c r="E560" s="314"/>
      <c r="F560" s="314"/>
      <c r="G560" s="314"/>
      <c r="H560" s="314"/>
      <c r="I560" s="314"/>
      <c r="J560" s="314"/>
      <c r="K560" s="321"/>
      <c r="L560" s="321"/>
      <c r="M560" s="314"/>
      <c r="N560" s="314"/>
      <c r="O560" s="314"/>
      <c r="P560" s="314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  <c r="AN560" s="321"/>
    </row>
    <row r="561" ht="15.75" customHeight="1">
      <c r="A561" s="314"/>
      <c r="B561" s="314"/>
      <c r="C561" s="314"/>
      <c r="D561" s="314"/>
      <c r="E561" s="314"/>
      <c r="F561" s="314"/>
      <c r="G561" s="314"/>
      <c r="H561" s="314"/>
      <c r="I561" s="314"/>
      <c r="J561" s="314"/>
      <c r="K561" s="321"/>
      <c r="L561" s="321"/>
      <c r="M561" s="314"/>
      <c r="N561" s="314"/>
      <c r="O561" s="314"/>
      <c r="P561" s="314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  <c r="AN561" s="321"/>
    </row>
    <row r="562" ht="15.75" customHeight="1">
      <c r="A562" s="314"/>
      <c r="B562" s="314"/>
      <c r="C562" s="314"/>
      <c r="D562" s="314"/>
      <c r="E562" s="314"/>
      <c r="F562" s="314"/>
      <c r="G562" s="314"/>
      <c r="H562" s="314"/>
      <c r="I562" s="314"/>
      <c r="J562" s="314"/>
      <c r="K562" s="321"/>
      <c r="L562" s="321"/>
      <c r="M562" s="314"/>
      <c r="N562" s="314"/>
      <c r="O562" s="314"/>
      <c r="P562" s="314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  <c r="AN562" s="321"/>
    </row>
    <row r="563" ht="15.75" customHeight="1">
      <c r="A563" s="314"/>
      <c r="B563" s="314"/>
      <c r="C563" s="314"/>
      <c r="D563" s="314"/>
      <c r="E563" s="314"/>
      <c r="F563" s="314"/>
      <c r="G563" s="314"/>
      <c r="H563" s="314"/>
      <c r="I563" s="314"/>
      <c r="J563" s="314"/>
      <c r="K563" s="321"/>
      <c r="L563" s="321"/>
      <c r="M563" s="314"/>
      <c r="N563" s="314"/>
      <c r="O563" s="314"/>
      <c r="P563" s="314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  <c r="AN563" s="321"/>
    </row>
    <row r="564" ht="15.75" customHeight="1">
      <c r="A564" s="314"/>
      <c r="B564" s="314"/>
      <c r="C564" s="314"/>
      <c r="D564" s="314"/>
      <c r="E564" s="314"/>
      <c r="F564" s="314"/>
      <c r="G564" s="314"/>
      <c r="H564" s="314"/>
      <c r="I564" s="314"/>
      <c r="J564" s="314"/>
      <c r="K564" s="321"/>
      <c r="L564" s="321"/>
      <c r="M564" s="314"/>
      <c r="N564" s="314"/>
      <c r="O564" s="314"/>
      <c r="P564" s="314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  <c r="AN564" s="321"/>
    </row>
    <row r="565" ht="15.75" customHeight="1">
      <c r="A565" s="314"/>
      <c r="B565" s="314"/>
      <c r="C565" s="314"/>
      <c r="D565" s="314"/>
      <c r="E565" s="314"/>
      <c r="F565" s="314"/>
      <c r="G565" s="314"/>
      <c r="H565" s="314"/>
      <c r="I565" s="314"/>
      <c r="J565" s="314"/>
      <c r="K565" s="321"/>
      <c r="L565" s="321"/>
      <c r="M565" s="314"/>
      <c r="N565" s="314"/>
      <c r="O565" s="314"/>
      <c r="P565" s="314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  <c r="AN565" s="321"/>
    </row>
    <row r="566" ht="15.75" customHeight="1">
      <c r="A566" s="314"/>
      <c r="B566" s="314"/>
      <c r="C566" s="314"/>
      <c r="D566" s="314"/>
      <c r="E566" s="314"/>
      <c r="F566" s="314"/>
      <c r="G566" s="314"/>
      <c r="H566" s="314"/>
      <c r="I566" s="314"/>
      <c r="J566" s="314"/>
      <c r="K566" s="321"/>
      <c r="L566" s="321"/>
      <c r="M566" s="314"/>
      <c r="N566" s="314"/>
      <c r="O566" s="314"/>
      <c r="P566" s="314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  <c r="AN566" s="321"/>
    </row>
    <row r="567" ht="15.75" customHeight="1">
      <c r="A567" s="314"/>
      <c r="B567" s="314"/>
      <c r="C567" s="314"/>
      <c r="D567" s="314"/>
      <c r="E567" s="314"/>
      <c r="F567" s="314"/>
      <c r="G567" s="314"/>
      <c r="H567" s="314"/>
      <c r="I567" s="314"/>
      <c r="J567" s="314"/>
      <c r="K567" s="321"/>
      <c r="L567" s="321"/>
      <c r="M567" s="314"/>
      <c r="N567" s="314"/>
      <c r="O567" s="314"/>
      <c r="P567" s="314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  <c r="AN567" s="321"/>
    </row>
    <row r="568" ht="15.75" customHeight="1">
      <c r="A568" s="314"/>
      <c r="B568" s="314"/>
      <c r="C568" s="314"/>
      <c r="D568" s="314"/>
      <c r="E568" s="314"/>
      <c r="F568" s="314"/>
      <c r="G568" s="314"/>
      <c r="H568" s="314"/>
      <c r="I568" s="314"/>
      <c r="J568" s="314"/>
      <c r="K568" s="321"/>
      <c r="L568" s="321"/>
      <c r="M568" s="314"/>
      <c r="N568" s="314"/>
      <c r="O568" s="314"/>
      <c r="P568" s="314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  <c r="AN568" s="321"/>
    </row>
    <row r="569" ht="15.75" customHeight="1">
      <c r="A569" s="314"/>
      <c r="B569" s="314"/>
      <c r="C569" s="314"/>
      <c r="D569" s="314"/>
      <c r="E569" s="314"/>
      <c r="F569" s="314"/>
      <c r="G569" s="314"/>
      <c r="H569" s="314"/>
      <c r="I569" s="314"/>
      <c r="J569" s="314"/>
      <c r="K569" s="321"/>
      <c r="L569" s="321"/>
      <c r="M569" s="314"/>
      <c r="N569" s="314"/>
      <c r="O569" s="314"/>
      <c r="P569" s="314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  <c r="AN569" s="321"/>
    </row>
    <row r="570" ht="15.75" customHeight="1">
      <c r="A570" s="314"/>
      <c r="B570" s="314"/>
      <c r="C570" s="314"/>
      <c r="D570" s="314"/>
      <c r="E570" s="314"/>
      <c r="F570" s="314"/>
      <c r="G570" s="314"/>
      <c r="H570" s="314"/>
      <c r="I570" s="314"/>
      <c r="J570" s="314"/>
      <c r="K570" s="321"/>
      <c r="L570" s="321"/>
      <c r="M570" s="314"/>
      <c r="N570" s="314"/>
      <c r="O570" s="314"/>
      <c r="P570" s="314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  <c r="AN570" s="321"/>
    </row>
    <row r="571" ht="15.75" customHeight="1">
      <c r="A571" s="314"/>
      <c r="B571" s="314"/>
      <c r="C571" s="314"/>
      <c r="D571" s="314"/>
      <c r="E571" s="314"/>
      <c r="F571" s="314"/>
      <c r="G571" s="314"/>
      <c r="H571" s="314"/>
      <c r="I571" s="314"/>
      <c r="J571" s="314"/>
      <c r="K571" s="321"/>
      <c r="L571" s="321"/>
      <c r="M571" s="314"/>
      <c r="N571" s="314"/>
      <c r="O571" s="314"/>
      <c r="P571" s="314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  <c r="AN571" s="321"/>
    </row>
    <row r="572" ht="15.75" customHeight="1">
      <c r="A572" s="314"/>
      <c r="B572" s="314"/>
      <c r="C572" s="314"/>
      <c r="D572" s="314"/>
      <c r="E572" s="314"/>
      <c r="F572" s="314"/>
      <c r="G572" s="314"/>
      <c r="H572" s="314"/>
      <c r="I572" s="314"/>
      <c r="J572" s="314"/>
      <c r="K572" s="321"/>
      <c r="L572" s="321"/>
      <c r="M572" s="314"/>
      <c r="N572" s="314"/>
      <c r="O572" s="314"/>
      <c r="P572" s="314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  <c r="AN572" s="321"/>
    </row>
    <row r="573" ht="15.75" customHeight="1">
      <c r="A573" s="314"/>
      <c r="B573" s="314"/>
      <c r="C573" s="314"/>
      <c r="D573" s="314"/>
      <c r="E573" s="314"/>
      <c r="F573" s="314"/>
      <c r="G573" s="314"/>
      <c r="H573" s="314"/>
      <c r="I573" s="314"/>
      <c r="J573" s="314"/>
      <c r="K573" s="321"/>
      <c r="L573" s="321"/>
      <c r="M573" s="314"/>
      <c r="N573" s="314"/>
      <c r="O573" s="314"/>
      <c r="P573" s="314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  <c r="AN573" s="321"/>
    </row>
    <row r="574" ht="15.75" customHeight="1">
      <c r="A574" s="314"/>
      <c r="B574" s="314"/>
      <c r="C574" s="314"/>
      <c r="D574" s="314"/>
      <c r="E574" s="314"/>
      <c r="F574" s="314"/>
      <c r="G574" s="314"/>
      <c r="H574" s="314"/>
      <c r="I574" s="314"/>
      <c r="J574" s="314"/>
      <c r="K574" s="321"/>
      <c r="L574" s="321"/>
      <c r="M574" s="314"/>
      <c r="N574" s="314"/>
      <c r="O574" s="314"/>
      <c r="P574" s="314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  <c r="AN574" s="321"/>
    </row>
    <row r="575" ht="15.75" customHeight="1">
      <c r="A575" s="314"/>
      <c r="B575" s="314"/>
      <c r="C575" s="314"/>
      <c r="D575" s="314"/>
      <c r="E575" s="314"/>
      <c r="F575" s="314"/>
      <c r="G575" s="314"/>
      <c r="H575" s="314"/>
      <c r="I575" s="314"/>
      <c r="J575" s="314"/>
      <c r="K575" s="321"/>
      <c r="L575" s="321"/>
      <c r="M575" s="314"/>
      <c r="N575" s="314"/>
      <c r="O575" s="314"/>
      <c r="P575" s="314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  <c r="AN575" s="321"/>
    </row>
    <row r="576" ht="15.75" customHeight="1">
      <c r="A576" s="314"/>
      <c r="B576" s="314"/>
      <c r="C576" s="314"/>
      <c r="D576" s="314"/>
      <c r="E576" s="314"/>
      <c r="F576" s="314"/>
      <c r="G576" s="314"/>
      <c r="H576" s="314"/>
      <c r="I576" s="314"/>
      <c r="J576" s="314"/>
      <c r="K576" s="321"/>
      <c r="L576" s="321"/>
      <c r="M576" s="314"/>
      <c r="N576" s="314"/>
      <c r="O576" s="314"/>
      <c r="P576" s="314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  <c r="AN576" s="321"/>
    </row>
    <row r="577" ht="15.75" customHeight="1">
      <c r="A577" s="314"/>
      <c r="B577" s="314"/>
      <c r="C577" s="314"/>
      <c r="D577" s="314"/>
      <c r="E577" s="314"/>
      <c r="F577" s="314"/>
      <c r="G577" s="314"/>
      <c r="H577" s="314"/>
      <c r="I577" s="314"/>
      <c r="J577" s="314"/>
      <c r="K577" s="321"/>
      <c r="L577" s="321"/>
      <c r="M577" s="314"/>
      <c r="N577" s="314"/>
      <c r="O577" s="314"/>
      <c r="P577" s="314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  <c r="AN577" s="321"/>
    </row>
    <row r="578" ht="15.75" customHeight="1">
      <c r="A578" s="314"/>
      <c r="B578" s="314"/>
      <c r="C578" s="314"/>
      <c r="D578" s="314"/>
      <c r="E578" s="314"/>
      <c r="F578" s="314"/>
      <c r="G578" s="314"/>
      <c r="H578" s="314"/>
      <c r="I578" s="314"/>
      <c r="J578" s="314"/>
      <c r="K578" s="321"/>
      <c r="L578" s="321"/>
      <c r="M578" s="314"/>
      <c r="N578" s="314"/>
      <c r="O578" s="314"/>
      <c r="P578" s="314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  <c r="AN578" s="321"/>
    </row>
    <row r="579" ht="15.75" customHeight="1">
      <c r="A579" s="314"/>
      <c r="B579" s="314"/>
      <c r="C579" s="314"/>
      <c r="D579" s="314"/>
      <c r="E579" s="314"/>
      <c r="F579" s="314"/>
      <c r="G579" s="314"/>
      <c r="H579" s="314"/>
      <c r="I579" s="314"/>
      <c r="J579" s="314"/>
      <c r="K579" s="321"/>
      <c r="L579" s="321"/>
      <c r="M579" s="314"/>
      <c r="N579" s="314"/>
      <c r="O579" s="314"/>
      <c r="P579" s="314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  <c r="AN579" s="321"/>
    </row>
    <row r="580" ht="15.75" customHeight="1">
      <c r="A580" s="314"/>
      <c r="B580" s="314"/>
      <c r="C580" s="314"/>
      <c r="D580" s="314"/>
      <c r="E580" s="314"/>
      <c r="F580" s="314"/>
      <c r="G580" s="314"/>
      <c r="H580" s="314"/>
      <c r="I580" s="314"/>
      <c r="J580" s="314"/>
      <c r="K580" s="321"/>
      <c r="L580" s="321"/>
      <c r="M580" s="314"/>
      <c r="N580" s="314"/>
      <c r="O580" s="314"/>
      <c r="P580" s="314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  <c r="AN580" s="321"/>
    </row>
    <row r="581" ht="15.75" customHeight="1">
      <c r="A581" s="314"/>
      <c r="B581" s="314"/>
      <c r="C581" s="314"/>
      <c r="D581" s="314"/>
      <c r="E581" s="314"/>
      <c r="F581" s="314"/>
      <c r="G581" s="314"/>
      <c r="H581" s="314"/>
      <c r="I581" s="314"/>
      <c r="J581" s="314"/>
      <c r="K581" s="321"/>
      <c r="L581" s="321"/>
      <c r="M581" s="314"/>
      <c r="N581" s="314"/>
      <c r="O581" s="314"/>
      <c r="P581" s="314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  <c r="AN581" s="321"/>
    </row>
    <row r="582" ht="15.75" customHeight="1">
      <c r="A582" s="314"/>
      <c r="B582" s="314"/>
      <c r="C582" s="314"/>
      <c r="D582" s="314"/>
      <c r="E582" s="314"/>
      <c r="F582" s="314"/>
      <c r="G582" s="314"/>
      <c r="H582" s="314"/>
      <c r="I582" s="314"/>
      <c r="J582" s="314"/>
      <c r="K582" s="321"/>
      <c r="L582" s="321"/>
      <c r="M582" s="314"/>
      <c r="N582" s="314"/>
      <c r="O582" s="314"/>
      <c r="P582" s="314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  <c r="AN582" s="321"/>
    </row>
    <row r="583" ht="15.75" customHeight="1">
      <c r="A583" s="314"/>
      <c r="B583" s="314"/>
      <c r="C583" s="314"/>
      <c r="D583" s="314"/>
      <c r="E583" s="314"/>
      <c r="F583" s="314"/>
      <c r="G583" s="314"/>
      <c r="H583" s="314"/>
      <c r="I583" s="314"/>
      <c r="J583" s="314"/>
      <c r="K583" s="321"/>
      <c r="L583" s="321"/>
      <c r="M583" s="314"/>
      <c r="N583" s="314"/>
      <c r="O583" s="314"/>
      <c r="P583" s="314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  <c r="AN583" s="321"/>
    </row>
    <row r="584" ht="15.75" customHeight="1">
      <c r="A584" s="314"/>
      <c r="B584" s="314"/>
      <c r="C584" s="314"/>
      <c r="D584" s="314"/>
      <c r="E584" s="314"/>
      <c r="F584" s="314"/>
      <c r="G584" s="314"/>
      <c r="H584" s="314"/>
      <c r="I584" s="314"/>
      <c r="J584" s="314"/>
      <c r="K584" s="321"/>
      <c r="L584" s="321"/>
      <c r="M584" s="314"/>
      <c r="N584" s="314"/>
      <c r="O584" s="314"/>
      <c r="P584" s="314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  <c r="AN584" s="321"/>
    </row>
    <row r="585" ht="15.75" customHeight="1">
      <c r="A585" s="314"/>
      <c r="B585" s="314"/>
      <c r="C585" s="314"/>
      <c r="D585" s="314"/>
      <c r="E585" s="314"/>
      <c r="F585" s="314"/>
      <c r="G585" s="314"/>
      <c r="H585" s="314"/>
      <c r="I585" s="314"/>
      <c r="J585" s="314"/>
      <c r="K585" s="321"/>
      <c r="L585" s="321"/>
      <c r="M585" s="314"/>
      <c r="N585" s="314"/>
      <c r="O585" s="314"/>
      <c r="P585" s="314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  <c r="AN585" s="321"/>
    </row>
    <row r="586" ht="15.75" customHeight="1">
      <c r="A586" s="314"/>
      <c r="B586" s="314"/>
      <c r="C586" s="314"/>
      <c r="D586" s="314"/>
      <c r="E586" s="314"/>
      <c r="F586" s="314"/>
      <c r="G586" s="314"/>
      <c r="H586" s="314"/>
      <c r="I586" s="314"/>
      <c r="J586" s="314"/>
      <c r="K586" s="321"/>
      <c r="L586" s="321"/>
      <c r="M586" s="314"/>
      <c r="N586" s="314"/>
      <c r="O586" s="314"/>
      <c r="P586" s="314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  <c r="AN586" s="321"/>
    </row>
    <row r="587" ht="15.75" customHeight="1">
      <c r="A587" s="314"/>
      <c r="B587" s="314"/>
      <c r="C587" s="314"/>
      <c r="D587" s="314"/>
      <c r="E587" s="314"/>
      <c r="F587" s="314"/>
      <c r="G587" s="314"/>
      <c r="H587" s="314"/>
      <c r="I587" s="314"/>
      <c r="J587" s="314"/>
      <c r="K587" s="321"/>
      <c r="L587" s="321"/>
      <c r="M587" s="314"/>
      <c r="N587" s="314"/>
      <c r="O587" s="314"/>
      <c r="P587" s="314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  <c r="AN587" s="321"/>
    </row>
    <row r="588" ht="15.75" customHeight="1">
      <c r="A588" s="314"/>
      <c r="B588" s="314"/>
      <c r="C588" s="314"/>
      <c r="D588" s="314"/>
      <c r="E588" s="314"/>
      <c r="F588" s="314"/>
      <c r="G588" s="314"/>
      <c r="H588" s="314"/>
      <c r="I588" s="314"/>
      <c r="J588" s="314"/>
      <c r="K588" s="321"/>
      <c r="L588" s="321"/>
      <c r="M588" s="314"/>
      <c r="N588" s="314"/>
      <c r="O588" s="314"/>
      <c r="P588" s="314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  <c r="AN588" s="321"/>
    </row>
    <row r="589" ht="15.75" customHeight="1">
      <c r="A589" s="314"/>
      <c r="B589" s="314"/>
      <c r="C589" s="314"/>
      <c r="D589" s="314"/>
      <c r="E589" s="314"/>
      <c r="F589" s="314"/>
      <c r="G589" s="314"/>
      <c r="H589" s="314"/>
      <c r="I589" s="314"/>
      <c r="J589" s="314"/>
      <c r="K589" s="321"/>
      <c r="L589" s="321"/>
      <c r="M589" s="314"/>
      <c r="N589" s="314"/>
      <c r="O589" s="314"/>
      <c r="P589" s="314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  <c r="AN589" s="321"/>
    </row>
    <row r="590" ht="15.75" customHeight="1">
      <c r="A590" s="314"/>
      <c r="B590" s="314"/>
      <c r="C590" s="314"/>
      <c r="D590" s="314"/>
      <c r="E590" s="314"/>
      <c r="F590" s="314"/>
      <c r="G590" s="314"/>
      <c r="H590" s="314"/>
      <c r="I590" s="314"/>
      <c r="J590" s="314"/>
      <c r="K590" s="321"/>
      <c r="L590" s="321"/>
      <c r="M590" s="314"/>
      <c r="N590" s="314"/>
      <c r="O590" s="314"/>
      <c r="P590" s="314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  <c r="AN590" s="321"/>
    </row>
    <row r="591" ht="15.75" customHeight="1">
      <c r="A591" s="314"/>
      <c r="B591" s="314"/>
      <c r="C591" s="314"/>
      <c r="D591" s="314"/>
      <c r="E591" s="314"/>
      <c r="F591" s="314"/>
      <c r="G591" s="314"/>
      <c r="H591" s="314"/>
      <c r="I591" s="314"/>
      <c r="J591" s="314"/>
      <c r="K591" s="321"/>
      <c r="L591" s="321"/>
      <c r="M591" s="314"/>
      <c r="N591" s="314"/>
      <c r="O591" s="314"/>
      <c r="P591" s="314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  <c r="AN591" s="321"/>
    </row>
    <row r="592" ht="15.75" customHeight="1">
      <c r="A592" s="314"/>
      <c r="B592" s="314"/>
      <c r="C592" s="314"/>
      <c r="D592" s="314"/>
      <c r="E592" s="314"/>
      <c r="F592" s="314"/>
      <c r="G592" s="314"/>
      <c r="H592" s="314"/>
      <c r="I592" s="314"/>
      <c r="J592" s="314"/>
      <c r="K592" s="321"/>
      <c r="L592" s="321"/>
      <c r="M592" s="314"/>
      <c r="N592" s="314"/>
      <c r="O592" s="314"/>
      <c r="P592" s="314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  <c r="AN592" s="321"/>
    </row>
    <row r="593" ht="15.75" customHeight="1">
      <c r="A593" s="314"/>
      <c r="B593" s="314"/>
      <c r="C593" s="314"/>
      <c r="D593" s="314"/>
      <c r="E593" s="314"/>
      <c r="F593" s="314"/>
      <c r="G593" s="314"/>
      <c r="H593" s="314"/>
      <c r="I593" s="314"/>
      <c r="J593" s="314"/>
      <c r="K593" s="321"/>
      <c r="L593" s="321"/>
      <c r="M593" s="314"/>
      <c r="N593" s="314"/>
      <c r="O593" s="314"/>
      <c r="P593" s="314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  <c r="AN593" s="321"/>
    </row>
    <row r="594" ht="15.75" customHeight="1">
      <c r="A594" s="314"/>
      <c r="B594" s="314"/>
      <c r="C594" s="314"/>
      <c r="D594" s="314"/>
      <c r="E594" s="314"/>
      <c r="F594" s="314"/>
      <c r="G594" s="314"/>
      <c r="H594" s="314"/>
      <c r="I594" s="314"/>
      <c r="J594" s="314"/>
      <c r="K594" s="321"/>
      <c r="L594" s="321"/>
      <c r="M594" s="314"/>
      <c r="N594" s="314"/>
      <c r="O594" s="314"/>
      <c r="P594" s="314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  <c r="AN594" s="321"/>
    </row>
    <row r="595" ht="15.75" customHeight="1">
      <c r="A595" s="314"/>
      <c r="B595" s="314"/>
      <c r="C595" s="314"/>
      <c r="D595" s="314"/>
      <c r="E595" s="314"/>
      <c r="F595" s="314"/>
      <c r="G595" s="314"/>
      <c r="H595" s="314"/>
      <c r="I595" s="314"/>
      <c r="J595" s="314"/>
      <c r="K595" s="321"/>
      <c r="L595" s="321"/>
      <c r="M595" s="314"/>
      <c r="N595" s="314"/>
      <c r="O595" s="314"/>
      <c r="P595" s="314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  <c r="AN595" s="321"/>
    </row>
    <row r="596" ht="15.75" customHeight="1">
      <c r="A596" s="314"/>
      <c r="B596" s="314"/>
      <c r="C596" s="314"/>
      <c r="D596" s="314"/>
      <c r="E596" s="314"/>
      <c r="F596" s="314"/>
      <c r="G596" s="314"/>
      <c r="H596" s="314"/>
      <c r="I596" s="314"/>
      <c r="J596" s="314"/>
      <c r="K596" s="321"/>
      <c r="L596" s="321"/>
      <c r="M596" s="314"/>
      <c r="N596" s="314"/>
      <c r="O596" s="314"/>
      <c r="P596" s="314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  <c r="AN596" s="321"/>
    </row>
    <row r="597" ht="15.75" customHeight="1">
      <c r="A597" s="314"/>
      <c r="B597" s="314"/>
      <c r="C597" s="314"/>
      <c r="D597" s="314"/>
      <c r="E597" s="314"/>
      <c r="F597" s="314"/>
      <c r="G597" s="314"/>
      <c r="H597" s="314"/>
      <c r="I597" s="314"/>
      <c r="J597" s="314"/>
      <c r="K597" s="321"/>
      <c r="L597" s="321"/>
      <c r="M597" s="314"/>
      <c r="N597" s="314"/>
      <c r="O597" s="314"/>
      <c r="P597" s="314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  <c r="AN597" s="321"/>
    </row>
    <row r="598" ht="15.75" customHeight="1">
      <c r="A598" s="314"/>
      <c r="B598" s="314"/>
      <c r="C598" s="314"/>
      <c r="D598" s="314"/>
      <c r="E598" s="314"/>
      <c r="F598" s="314"/>
      <c r="G598" s="314"/>
      <c r="H598" s="314"/>
      <c r="I598" s="314"/>
      <c r="J598" s="314"/>
      <c r="K598" s="321"/>
      <c r="L598" s="321"/>
      <c r="M598" s="314"/>
      <c r="N598" s="314"/>
      <c r="O598" s="314"/>
      <c r="P598" s="314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  <c r="AN598" s="321"/>
    </row>
    <row r="599" ht="15.75" customHeight="1">
      <c r="A599" s="314"/>
      <c r="B599" s="314"/>
      <c r="C599" s="314"/>
      <c r="D599" s="314"/>
      <c r="E599" s="314"/>
      <c r="F599" s="314"/>
      <c r="G599" s="314"/>
      <c r="H599" s="314"/>
      <c r="I599" s="314"/>
      <c r="J599" s="314"/>
      <c r="K599" s="321"/>
      <c r="L599" s="321"/>
      <c r="M599" s="314"/>
      <c r="N599" s="314"/>
      <c r="O599" s="314"/>
      <c r="P599" s="314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  <c r="AN599" s="321"/>
    </row>
    <row r="600" ht="15.75" customHeight="1">
      <c r="A600" s="314"/>
      <c r="B600" s="314"/>
      <c r="C600" s="314"/>
      <c r="D600" s="314"/>
      <c r="E600" s="314"/>
      <c r="F600" s="314"/>
      <c r="G600" s="314"/>
      <c r="H600" s="314"/>
      <c r="I600" s="314"/>
      <c r="J600" s="314"/>
      <c r="K600" s="321"/>
      <c r="L600" s="321"/>
      <c r="M600" s="314"/>
      <c r="N600" s="314"/>
      <c r="O600" s="314"/>
      <c r="P600" s="314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  <c r="AN600" s="321"/>
    </row>
    <row r="601" ht="15.75" customHeight="1">
      <c r="A601" s="314"/>
      <c r="B601" s="314"/>
      <c r="C601" s="314"/>
      <c r="D601" s="314"/>
      <c r="E601" s="314"/>
      <c r="F601" s="314"/>
      <c r="G601" s="314"/>
      <c r="H601" s="314"/>
      <c r="I601" s="314"/>
      <c r="J601" s="314"/>
      <c r="K601" s="321"/>
      <c r="L601" s="321"/>
      <c r="M601" s="314"/>
      <c r="N601" s="314"/>
      <c r="O601" s="314"/>
      <c r="P601" s="314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  <c r="AN601" s="321"/>
    </row>
    <row r="602" ht="15.75" customHeight="1">
      <c r="A602" s="314"/>
      <c r="B602" s="314"/>
      <c r="C602" s="314"/>
      <c r="D602" s="314"/>
      <c r="E602" s="314"/>
      <c r="F602" s="314"/>
      <c r="G602" s="314"/>
      <c r="H602" s="314"/>
      <c r="I602" s="314"/>
      <c r="J602" s="314"/>
      <c r="K602" s="321"/>
      <c r="L602" s="321"/>
      <c r="M602" s="314"/>
      <c r="N602" s="314"/>
      <c r="O602" s="314"/>
      <c r="P602" s="314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  <c r="AN602" s="321"/>
    </row>
    <row r="603" ht="15.75" customHeight="1">
      <c r="A603" s="314"/>
      <c r="B603" s="314"/>
      <c r="C603" s="314"/>
      <c r="D603" s="314"/>
      <c r="E603" s="314"/>
      <c r="F603" s="314"/>
      <c r="G603" s="314"/>
      <c r="H603" s="314"/>
      <c r="I603" s="314"/>
      <c r="J603" s="314"/>
      <c r="K603" s="321"/>
      <c r="L603" s="321"/>
      <c r="M603" s="314"/>
      <c r="N603" s="314"/>
      <c r="O603" s="314"/>
      <c r="P603" s="314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  <c r="AN603" s="321"/>
    </row>
    <row r="604" ht="15.75" customHeight="1">
      <c r="A604" s="314"/>
      <c r="B604" s="314"/>
      <c r="C604" s="314"/>
      <c r="D604" s="314"/>
      <c r="E604" s="314"/>
      <c r="F604" s="314"/>
      <c r="G604" s="314"/>
      <c r="H604" s="314"/>
      <c r="I604" s="314"/>
      <c r="J604" s="314"/>
      <c r="K604" s="321"/>
      <c r="L604" s="321"/>
      <c r="M604" s="314"/>
      <c r="N604" s="314"/>
      <c r="O604" s="314"/>
      <c r="P604" s="314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  <c r="AN604" s="321"/>
    </row>
    <row r="605" ht="15.75" customHeight="1">
      <c r="A605" s="314"/>
      <c r="B605" s="314"/>
      <c r="C605" s="314"/>
      <c r="D605" s="314"/>
      <c r="E605" s="314"/>
      <c r="F605" s="314"/>
      <c r="G605" s="314"/>
      <c r="H605" s="314"/>
      <c r="I605" s="314"/>
      <c r="J605" s="314"/>
      <c r="K605" s="321"/>
      <c r="L605" s="321"/>
      <c r="M605" s="314"/>
      <c r="N605" s="314"/>
      <c r="O605" s="314"/>
      <c r="P605" s="314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  <c r="AN605" s="321"/>
    </row>
    <row r="606" ht="15.75" customHeight="1">
      <c r="A606" s="314"/>
      <c r="B606" s="314"/>
      <c r="C606" s="314"/>
      <c r="D606" s="314"/>
      <c r="E606" s="314"/>
      <c r="F606" s="314"/>
      <c r="G606" s="314"/>
      <c r="H606" s="314"/>
      <c r="I606" s="314"/>
      <c r="J606" s="314"/>
      <c r="K606" s="321"/>
      <c r="L606" s="321"/>
      <c r="M606" s="314"/>
      <c r="N606" s="314"/>
      <c r="O606" s="314"/>
      <c r="P606" s="314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  <c r="AN606" s="321"/>
    </row>
    <row r="607" ht="15.75" customHeight="1">
      <c r="A607" s="314"/>
      <c r="B607" s="314"/>
      <c r="C607" s="314"/>
      <c r="D607" s="314"/>
      <c r="E607" s="314"/>
      <c r="F607" s="314"/>
      <c r="G607" s="314"/>
      <c r="H607" s="314"/>
      <c r="I607" s="314"/>
      <c r="J607" s="314"/>
      <c r="K607" s="321"/>
      <c r="L607" s="321"/>
      <c r="M607" s="314"/>
      <c r="N607" s="314"/>
      <c r="O607" s="314"/>
      <c r="P607" s="314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  <c r="AN607" s="321"/>
    </row>
    <row r="608" ht="15.75" customHeight="1">
      <c r="A608" s="314"/>
      <c r="B608" s="314"/>
      <c r="C608" s="314"/>
      <c r="D608" s="314"/>
      <c r="E608" s="314"/>
      <c r="F608" s="314"/>
      <c r="G608" s="314"/>
      <c r="H608" s="314"/>
      <c r="I608" s="314"/>
      <c r="J608" s="314"/>
      <c r="K608" s="321"/>
      <c r="L608" s="321"/>
      <c r="M608" s="314"/>
      <c r="N608" s="314"/>
      <c r="O608" s="314"/>
      <c r="P608" s="314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  <c r="AN608" s="321"/>
    </row>
    <row r="609" ht="15.75" customHeight="1">
      <c r="A609" s="314"/>
      <c r="B609" s="314"/>
      <c r="C609" s="314"/>
      <c r="D609" s="314"/>
      <c r="E609" s="314"/>
      <c r="F609" s="314"/>
      <c r="G609" s="314"/>
      <c r="H609" s="314"/>
      <c r="I609" s="314"/>
      <c r="J609" s="314"/>
      <c r="K609" s="321"/>
      <c r="L609" s="321"/>
      <c r="M609" s="314"/>
      <c r="N609" s="314"/>
      <c r="O609" s="314"/>
      <c r="P609" s="314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  <c r="AN609" s="321"/>
    </row>
    <row r="610" ht="15.75" customHeight="1">
      <c r="A610" s="314"/>
      <c r="B610" s="314"/>
      <c r="C610" s="314"/>
      <c r="D610" s="314"/>
      <c r="E610" s="314"/>
      <c r="F610" s="314"/>
      <c r="G610" s="314"/>
      <c r="H610" s="314"/>
      <c r="I610" s="314"/>
      <c r="J610" s="314"/>
      <c r="K610" s="321"/>
      <c r="L610" s="321"/>
      <c r="M610" s="314"/>
      <c r="N610" s="314"/>
      <c r="O610" s="314"/>
      <c r="P610" s="314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  <c r="AN610" s="321"/>
    </row>
    <row r="611" ht="15.75" customHeight="1">
      <c r="A611" s="314"/>
      <c r="B611" s="314"/>
      <c r="C611" s="314"/>
      <c r="D611" s="314"/>
      <c r="E611" s="314"/>
      <c r="F611" s="314"/>
      <c r="G611" s="314"/>
      <c r="H611" s="314"/>
      <c r="I611" s="314"/>
      <c r="J611" s="314"/>
      <c r="K611" s="321"/>
      <c r="L611" s="321"/>
      <c r="M611" s="314"/>
      <c r="N611" s="314"/>
      <c r="O611" s="314"/>
      <c r="P611" s="314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  <c r="AN611" s="321"/>
    </row>
    <row r="612" ht="15.75" customHeight="1">
      <c r="A612" s="314"/>
      <c r="B612" s="314"/>
      <c r="C612" s="314"/>
      <c r="D612" s="314"/>
      <c r="E612" s="314"/>
      <c r="F612" s="314"/>
      <c r="G612" s="314"/>
      <c r="H612" s="314"/>
      <c r="I612" s="314"/>
      <c r="J612" s="314"/>
      <c r="K612" s="321"/>
      <c r="L612" s="321"/>
      <c r="M612" s="314"/>
      <c r="N612" s="314"/>
      <c r="O612" s="314"/>
      <c r="P612" s="314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  <c r="AN612" s="321"/>
    </row>
    <row r="613" ht="15.75" customHeight="1">
      <c r="A613" s="314"/>
      <c r="B613" s="314"/>
      <c r="C613" s="314"/>
      <c r="D613" s="314"/>
      <c r="E613" s="314"/>
      <c r="F613" s="314"/>
      <c r="G613" s="314"/>
      <c r="H613" s="314"/>
      <c r="I613" s="314"/>
      <c r="J613" s="314"/>
      <c r="K613" s="321"/>
      <c r="L613" s="321"/>
      <c r="M613" s="314"/>
      <c r="N613" s="314"/>
      <c r="O613" s="314"/>
      <c r="P613" s="314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  <c r="AN613" s="321"/>
    </row>
    <row r="614" ht="15.75" customHeight="1">
      <c r="A614" s="314"/>
      <c r="B614" s="314"/>
      <c r="C614" s="314"/>
      <c r="D614" s="314"/>
      <c r="E614" s="314"/>
      <c r="F614" s="314"/>
      <c r="G614" s="314"/>
      <c r="H614" s="314"/>
      <c r="I614" s="314"/>
      <c r="J614" s="314"/>
      <c r="K614" s="321"/>
      <c r="L614" s="321"/>
      <c r="M614" s="314"/>
      <c r="N614" s="314"/>
      <c r="O614" s="314"/>
      <c r="P614" s="314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  <c r="AN614" s="321"/>
    </row>
    <row r="615" ht="15.75" customHeight="1">
      <c r="A615" s="314"/>
      <c r="B615" s="314"/>
      <c r="C615" s="314"/>
      <c r="D615" s="314"/>
      <c r="E615" s="314"/>
      <c r="F615" s="314"/>
      <c r="G615" s="314"/>
      <c r="H615" s="314"/>
      <c r="I615" s="314"/>
      <c r="J615" s="314"/>
      <c r="K615" s="321"/>
      <c r="L615" s="321"/>
      <c r="M615" s="314"/>
      <c r="N615" s="314"/>
      <c r="O615" s="314"/>
      <c r="P615" s="314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  <c r="AN615" s="321"/>
    </row>
    <row r="616" ht="15.75" customHeight="1">
      <c r="A616" s="314"/>
      <c r="B616" s="314"/>
      <c r="C616" s="314"/>
      <c r="D616" s="314"/>
      <c r="E616" s="314"/>
      <c r="F616" s="314"/>
      <c r="G616" s="314"/>
      <c r="H616" s="314"/>
      <c r="I616" s="314"/>
      <c r="J616" s="314"/>
      <c r="K616" s="321"/>
      <c r="L616" s="321"/>
      <c r="M616" s="314"/>
      <c r="N616" s="314"/>
      <c r="O616" s="314"/>
      <c r="P616" s="314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  <c r="AN616" s="321"/>
    </row>
    <row r="617" ht="15.75" customHeight="1">
      <c r="A617" s="314"/>
      <c r="B617" s="314"/>
      <c r="C617" s="314"/>
      <c r="D617" s="314"/>
      <c r="E617" s="314"/>
      <c r="F617" s="314"/>
      <c r="G617" s="314"/>
      <c r="H617" s="314"/>
      <c r="I617" s="314"/>
      <c r="J617" s="314"/>
      <c r="K617" s="321"/>
      <c r="L617" s="321"/>
      <c r="M617" s="314"/>
      <c r="N617" s="314"/>
      <c r="O617" s="314"/>
      <c r="P617" s="314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  <c r="AN617" s="321"/>
    </row>
    <row r="618" ht="15.75" customHeight="1">
      <c r="A618" s="314"/>
      <c r="B618" s="314"/>
      <c r="C618" s="314"/>
      <c r="D618" s="314"/>
      <c r="E618" s="314"/>
      <c r="F618" s="314"/>
      <c r="G618" s="314"/>
      <c r="H618" s="314"/>
      <c r="I618" s="314"/>
      <c r="J618" s="314"/>
      <c r="K618" s="321"/>
      <c r="L618" s="321"/>
      <c r="M618" s="314"/>
      <c r="N618" s="314"/>
      <c r="O618" s="314"/>
      <c r="P618" s="314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  <c r="AN618" s="321"/>
    </row>
    <row r="619" ht="15.75" customHeight="1">
      <c r="A619" s="314"/>
      <c r="B619" s="314"/>
      <c r="C619" s="314"/>
      <c r="D619" s="314"/>
      <c r="E619" s="314"/>
      <c r="F619" s="314"/>
      <c r="G619" s="314"/>
      <c r="H619" s="314"/>
      <c r="I619" s="314"/>
      <c r="J619" s="314"/>
      <c r="K619" s="321"/>
      <c r="L619" s="321"/>
      <c r="M619" s="314"/>
      <c r="N619" s="314"/>
      <c r="O619" s="314"/>
      <c r="P619" s="314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  <c r="AN619" s="321"/>
    </row>
    <row r="620" ht="15.75" customHeight="1">
      <c r="A620" s="314"/>
      <c r="B620" s="314"/>
      <c r="C620" s="314"/>
      <c r="D620" s="314"/>
      <c r="E620" s="314"/>
      <c r="F620" s="314"/>
      <c r="G620" s="314"/>
      <c r="H620" s="314"/>
      <c r="I620" s="314"/>
      <c r="J620" s="314"/>
      <c r="K620" s="321"/>
      <c r="L620" s="321"/>
      <c r="M620" s="314"/>
      <c r="N620" s="314"/>
      <c r="O620" s="314"/>
      <c r="P620" s="314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  <c r="AN620" s="321"/>
    </row>
    <row r="621" ht="15.75" customHeight="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21"/>
      <c r="L621" s="321"/>
      <c r="M621" s="314"/>
      <c r="N621" s="314"/>
      <c r="O621" s="314"/>
      <c r="P621" s="314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  <c r="AN621" s="321"/>
    </row>
    <row r="622" ht="15.75" customHeight="1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21"/>
      <c r="L622" s="321"/>
      <c r="M622" s="314"/>
      <c r="N622" s="314"/>
      <c r="O622" s="314"/>
      <c r="P622" s="314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  <c r="AN622" s="321"/>
    </row>
    <row r="623" ht="15.75" customHeight="1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21"/>
      <c r="L623" s="321"/>
      <c r="M623" s="314"/>
      <c r="N623" s="314"/>
      <c r="O623" s="314"/>
      <c r="P623" s="314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  <c r="AN623" s="321"/>
    </row>
    <row r="624" ht="15.75" customHeight="1">
      <c r="A624" s="314"/>
      <c r="B624" s="314"/>
      <c r="C624" s="314"/>
      <c r="D624" s="314"/>
      <c r="E624" s="314"/>
      <c r="F624" s="314"/>
      <c r="G624" s="314"/>
      <c r="H624" s="314"/>
      <c r="I624" s="314"/>
      <c r="J624" s="314"/>
      <c r="K624" s="321"/>
      <c r="L624" s="321"/>
      <c r="M624" s="314"/>
      <c r="N624" s="314"/>
      <c r="O624" s="314"/>
      <c r="P624" s="314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  <c r="AN624" s="321"/>
    </row>
    <row r="625" ht="15.75" customHeight="1">
      <c r="A625" s="314"/>
      <c r="B625" s="314"/>
      <c r="C625" s="314"/>
      <c r="D625" s="314"/>
      <c r="E625" s="314"/>
      <c r="F625" s="314"/>
      <c r="G625" s="314"/>
      <c r="H625" s="314"/>
      <c r="I625" s="314"/>
      <c r="J625" s="314"/>
      <c r="K625" s="321"/>
      <c r="L625" s="321"/>
      <c r="M625" s="314"/>
      <c r="N625" s="314"/>
      <c r="O625" s="314"/>
      <c r="P625" s="314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  <c r="AN625" s="321"/>
    </row>
    <row r="626" ht="15.75" customHeight="1">
      <c r="A626" s="314"/>
      <c r="B626" s="314"/>
      <c r="C626" s="314"/>
      <c r="D626" s="314"/>
      <c r="E626" s="314"/>
      <c r="F626" s="314"/>
      <c r="G626" s="314"/>
      <c r="H626" s="314"/>
      <c r="I626" s="314"/>
      <c r="J626" s="314"/>
      <c r="K626" s="321"/>
      <c r="L626" s="321"/>
      <c r="M626" s="314"/>
      <c r="N626" s="314"/>
      <c r="O626" s="314"/>
      <c r="P626" s="314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  <c r="AN626" s="321"/>
    </row>
    <row r="627" ht="15.75" customHeight="1">
      <c r="A627" s="314"/>
      <c r="B627" s="314"/>
      <c r="C627" s="314"/>
      <c r="D627" s="314"/>
      <c r="E627" s="314"/>
      <c r="F627" s="314"/>
      <c r="G627" s="314"/>
      <c r="H627" s="314"/>
      <c r="I627" s="314"/>
      <c r="J627" s="314"/>
      <c r="K627" s="321"/>
      <c r="L627" s="321"/>
      <c r="M627" s="314"/>
      <c r="N627" s="314"/>
      <c r="O627" s="314"/>
      <c r="P627" s="314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  <c r="AN627" s="321"/>
    </row>
    <row r="628" ht="15.75" customHeight="1">
      <c r="A628" s="314"/>
      <c r="B628" s="314"/>
      <c r="C628" s="314"/>
      <c r="D628" s="314"/>
      <c r="E628" s="314"/>
      <c r="F628" s="314"/>
      <c r="G628" s="314"/>
      <c r="H628" s="314"/>
      <c r="I628" s="314"/>
      <c r="J628" s="314"/>
      <c r="K628" s="321"/>
      <c r="L628" s="321"/>
      <c r="M628" s="314"/>
      <c r="N628" s="314"/>
      <c r="O628" s="314"/>
      <c r="P628" s="314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  <c r="AN628" s="321"/>
    </row>
    <row r="629" ht="15.75" customHeight="1">
      <c r="A629" s="314"/>
      <c r="B629" s="314"/>
      <c r="C629" s="314"/>
      <c r="D629" s="314"/>
      <c r="E629" s="314"/>
      <c r="F629" s="314"/>
      <c r="G629" s="314"/>
      <c r="H629" s="314"/>
      <c r="I629" s="314"/>
      <c r="J629" s="314"/>
      <c r="K629" s="321"/>
      <c r="L629" s="321"/>
      <c r="M629" s="314"/>
      <c r="N629" s="314"/>
      <c r="O629" s="314"/>
      <c r="P629" s="314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  <c r="AN629" s="321"/>
    </row>
    <row r="630" ht="15.75" customHeight="1">
      <c r="A630" s="314"/>
      <c r="B630" s="314"/>
      <c r="C630" s="314"/>
      <c r="D630" s="314"/>
      <c r="E630" s="314"/>
      <c r="F630" s="314"/>
      <c r="G630" s="314"/>
      <c r="H630" s="314"/>
      <c r="I630" s="314"/>
      <c r="J630" s="314"/>
      <c r="K630" s="321"/>
      <c r="L630" s="321"/>
      <c r="M630" s="314"/>
      <c r="N630" s="314"/>
      <c r="O630" s="314"/>
      <c r="P630" s="314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  <c r="AN630" s="321"/>
    </row>
    <row r="631" ht="15.75" customHeight="1">
      <c r="A631" s="314"/>
      <c r="B631" s="314"/>
      <c r="C631" s="314"/>
      <c r="D631" s="314"/>
      <c r="E631" s="314"/>
      <c r="F631" s="314"/>
      <c r="G631" s="314"/>
      <c r="H631" s="314"/>
      <c r="I631" s="314"/>
      <c r="J631" s="314"/>
      <c r="K631" s="321"/>
      <c r="L631" s="321"/>
      <c r="M631" s="314"/>
      <c r="N631" s="314"/>
      <c r="O631" s="314"/>
      <c r="P631" s="314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  <c r="AN631" s="321"/>
    </row>
    <row r="632" ht="15.75" customHeight="1">
      <c r="A632" s="314"/>
      <c r="B632" s="314"/>
      <c r="C632" s="314"/>
      <c r="D632" s="314"/>
      <c r="E632" s="314"/>
      <c r="F632" s="314"/>
      <c r="G632" s="314"/>
      <c r="H632" s="314"/>
      <c r="I632" s="314"/>
      <c r="J632" s="314"/>
      <c r="K632" s="321"/>
      <c r="L632" s="321"/>
      <c r="M632" s="314"/>
      <c r="N632" s="314"/>
      <c r="O632" s="314"/>
      <c r="P632" s="314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  <c r="AN632" s="321"/>
    </row>
    <row r="633" ht="15.75" customHeight="1">
      <c r="A633" s="314"/>
      <c r="B633" s="314"/>
      <c r="C633" s="314"/>
      <c r="D633" s="314"/>
      <c r="E633" s="314"/>
      <c r="F633" s="314"/>
      <c r="G633" s="314"/>
      <c r="H633" s="314"/>
      <c r="I633" s="314"/>
      <c r="J633" s="314"/>
      <c r="K633" s="321"/>
      <c r="L633" s="321"/>
      <c r="M633" s="314"/>
      <c r="N633" s="314"/>
      <c r="O633" s="314"/>
      <c r="P633" s="314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  <c r="AN633" s="321"/>
    </row>
    <row r="634" ht="15.75" customHeight="1">
      <c r="A634" s="314"/>
      <c r="B634" s="314"/>
      <c r="C634" s="314"/>
      <c r="D634" s="314"/>
      <c r="E634" s="314"/>
      <c r="F634" s="314"/>
      <c r="G634" s="314"/>
      <c r="H634" s="314"/>
      <c r="I634" s="314"/>
      <c r="J634" s="314"/>
      <c r="K634" s="321"/>
      <c r="L634" s="321"/>
      <c r="M634" s="314"/>
      <c r="N634" s="314"/>
      <c r="O634" s="314"/>
      <c r="P634" s="314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  <c r="AN634" s="321"/>
    </row>
    <row r="635" ht="15.75" customHeight="1">
      <c r="A635" s="314"/>
      <c r="B635" s="314"/>
      <c r="C635" s="314"/>
      <c r="D635" s="314"/>
      <c r="E635" s="314"/>
      <c r="F635" s="314"/>
      <c r="G635" s="314"/>
      <c r="H635" s="314"/>
      <c r="I635" s="314"/>
      <c r="J635" s="314"/>
      <c r="K635" s="321"/>
      <c r="L635" s="321"/>
      <c r="M635" s="314"/>
      <c r="N635" s="314"/>
      <c r="O635" s="314"/>
      <c r="P635" s="314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  <c r="AN635" s="321"/>
    </row>
    <row r="636" ht="15.75" customHeight="1">
      <c r="A636" s="314"/>
      <c r="B636" s="314"/>
      <c r="C636" s="314"/>
      <c r="D636" s="314"/>
      <c r="E636" s="314"/>
      <c r="F636" s="314"/>
      <c r="G636" s="314"/>
      <c r="H636" s="314"/>
      <c r="I636" s="314"/>
      <c r="J636" s="314"/>
      <c r="K636" s="321"/>
      <c r="L636" s="321"/>
      <c r="M636" s="314"/>
      <c r="N636" s="314"/>
      <c r="O636" s="314"/>
      <c r="P636" s="314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  <c r="AN636" s="321"/>
    </row>
    <row r="637" ht="15.75" customHeight="1">
      <c r="A637" s="314"/>
      <c r="B637" s="314"/>
      <c r="C637" s="314"/>
      <c r="D637" s="314"/>
      <c r="E637" s="314"/>
      <c r="F637" s="314"/>
      <c r="G637" s="314"/>
      <c r="H637" s="314"/>
      <c r="I637" s="314"/>
      <c r="J637" s="314"/>
      <c r="K637" s="321"/>
      <c r="L637" s="321"/>
      <c r="M637" s="314"/>
      <c r="N637" s="314"/>
      <c r="O637" s="314"/>
      <c r="P637" s="314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  <c r="AN637" s="321"/>
    </row>
    <row r="638" ht="15.75" customHeight="1">
      <c r="A638" s="314"/>
      <c r="B638" s="314"/>
      <c r="C638" s="314"/>
      <c r="D638" s="314"/>
      <c r="E638" s="314"/>
      <c r="F638" s="314"/>
      <c r="G638" s="314"/>
      <c r="H638" s="314"/>
      <c r="I638" s="314"/>
      <c r="J638" s="314"/>
      <c r="K638" s="321"/>
      <c r="L638" s="321"/>
      <c r="M638" s="314"/>
      <c r="N638" s="314"/>
      <c r="O638" s="314"/>
      <c r="P638" s="314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  <c r="AN638" s="321"/>
    </row>
    <row r="639" ht="15.75" customHeight="1">
      <c r="A639" s="314"/>
      <c r="B639" s="314"/>
      <c r="C639" s="314"/>
      <c r="D639" s="314"/>
      <c r="E639" s="314"/>
      <c r="F639" s="314"/>
      <c r="G639" s="314"/>
      <c r="H639" s="314"/>
      <c r="I639" s="314"/>
      <c r="J639" s="314"/>
      <c r="K639" s="321"/>
      <c r="L639" s="321"/>
      <c r="M639" s="314"/>
      <c r="N639" s="314"/>
      <c r="O639" s="314"/>
      <c r="P639" s="314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  <c r="AN639" s="321"/>
    </row>
    <row r="640" ht="15.75" customHeight="1">
      <c r="A640" s="314"/>
      <c r="B640" s="314"/>
      <c r="C640" s="314"/>
      <c r="D640" s="314"/>
      <c r="E640" s="314"/>
      <c r="F640" s="314"/>
      <c r="G640" s="314"/>
      <c r="H640" s="314"/>
      <c r="I640" s="314"/>
      <c r="J640" s="314"/>
      <c r="K640" s="321"/>
      <c r="L640" s="321"/>
      <c r="M640" s="314"/>
      <c r="N640" s="314"/>
      <c r="O640" s="314"/>
      <c r="P640" s="314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  <c r="AN640" s="321"/>
    </row>
    <row r="641" ht="15.75" customHeight="1">
      <c r="A641" s="314"/>
      <c r="B641" s="314"/>
      <c r="C641" s="314"/>
      <c r="D641" s="314"/>
      <c r="E641" s="314"/>
      <c r="F641" s="314"/>
      <c r="G641" s="314"/>
      <c r="H641" s="314"/>
      <c r="I641" s="314"/>
      <c r="J641" s="314"/>
      <c r="K641" s="321"/>
      <c r="L641" s="321"/>
      <c r="M641" s="314"/>
      <c r="N641" s="314"/>
      <c r="O641" s="314"/>
      <c r="P641" s="314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  <c r="AN641" s="321"/>
    </row>
    <row r="642" ht="15.75" customHeight="1">
      <c r="A642" s="314"/>
      <c r="B642" s="314"/>
      <c r="C642" s="314"/>
      <c r="D642" s="314"/>
      <c r="E642" s="314"/>
      <c r="F642" s="314"/>
      <c r="G642" s="314"/>
      <c r="H642" s="314"/>
      <c r="I642" s="314"/>
      <c r="J642" s="314"/>
      <c r="K642" s="321"/>
      <c r="L642" s="321"/>
      <c r="M642" s="314"/>
      <c r="N642" s="314"/>
      <c r="O642" s="314"/>
      <c r="P642" s="314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  <c r="AN642" s="321"/>
    </row>
    <row r="643" ht="15.75" customHeight="1">
      <c r="A643" s="314"/>
      <c r="B643" s="314"/>
      <c r="C643" s="314"/>
      <c r="D643" s="314"/>
      <c r="E643" s="314"/>
      <c r="F643" s="314"/>
      <c r="G643" s="314"/>
      <c r="H643" s="314"/>
      <c r="I643" s="314"/>
      <c r="J643" s="314"/>
      <c r="K643" s="321"/>
      <c r="L643" s="321"/>
      <c r="M643" s="314"/>
      <c r="N643" s="314"/>
      <c r="O643" s="314"/>
      <c r="P643" s="314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  <c r="AN643" s="321"/>
    </row>
    <row r="644" ht="15.75" customHeight="1">
      <c r="A644" s="314"/>
      <c r="B644" s="314"/>
      <c r="C644" s="314"/>
      <c r="D644" s="314"/>
      <c r="E644" s="314"/>
      <c r="F644" s="314"/>
      <c r="G644" s="314"/>
      <c r="H644" s="314"/>
      <c r="I644" s="314"/>
      <c r="J644" s="314"/>
      <c r="K644" s="321"/>
      <c r="L644" s="321"/>
      <c r="M644" s="314"/>
      <c r="N644" s="314"/>
      <c r="O644" s="314"/>
      <c r="P644" s="314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  <c r="AN644" s="321"/>
    </row>
    <row r="645" ht="15.75" customHeight="1">
      <c r="A645" s="314"/>
      <c r="B645" s="314"/>
      <c r="C645" s="314"/>
      <c r="D645" s="314"/>
      <c r="E645" s="314"/>
      <c r="F645" s="314"/>
      <c r="G645" s="314"/>
      <c r="H645" s="314"/>
      <c r="I645" s="314"/>
      <c r="J645" s="314"/>
      <c r="K645" s="321"/>
      <c r="L645" s="321"/>
      <c r="M645" s="314"/>
      <c r="N645" s="314"/>
      <c r="O645" s="314"/>
      <c r="P645" s="314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  <c r="AN645" s="321"/>
    </row>
    <row r="646" ht="15.75" customHeight="1">
      <c r="A646" s="314"/>
      <c r="B646" s="314"/>
      <c r="C646" s="314"/>
      <c r="D646" s="314"/>
      <c r="E646" s="314"/>
      <c r="F646" s="314"/>
      <c r="G646" s="314"/>
      <c r="H646" s="314"/>
      <c r="I646" s="314"/>
      <c r="J646" s="314"/>
      <c r="K646" s="321"/>
      <c r="L646" s="321"/>
      <c r="M646" s="314"/>
      <c r="N646" s="314"/>
      <c r="O646" s="314"/>
      <c r="P646" s="314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  <c r="AN646" s="321"/>
    </row>
    <row r="647" ht="15.75" customHeight="1">
      <c r="A647" s="314"/>
      <c r="B647" s="314"/>
      <c r="C647" s="314"/>
      <c r="D647" s="314"/>
      <c r="E647" s="314"/>
      <c r="F647" s="314"/>
      <c r="G647" s="314"/>
      <c r="H647" s="314"/>
      <c r="I647" s="314"/>
      <c r="J647" s="314"/>
      <c r="K647" s="321"/>
      <c r="L647" s="321"/>
      <c r="M647" s="314"/>
      <c r="N647" s="314"/>
      <c r="O647" s="314"/>
      <c r="P647" s="314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  <c r="AN647" s="321"/>
    </row>
    <row r="648" ht="15.75" customHeight="1">
      <c r="A648" s="314"/>
      <c r="B648" s="314"/>
      <c r="C648" s="314"/>
      <c r="D648" s="314"/>
      <c r="E648" s="314"/>
      <c r="F648" s="314"/>
      <c r="G648" s="314"/>
      <c r="H648" s="314"/>
      <c r="I648" s="314"/>
      <c r="J648" s="314"/>
      <c r="K648" s="321"/>
      <c r="L648" s="321"/>
      <c r="M648" s="314"/>
      <c r="N648" s="314"/>
      <c r="O648" s="314"/>
      <c r="P648" s="314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  <c r="AN648" s="321"/>
    </row>
    <row r="649" ht="15.75" customHeight="1">
      <c r="A649" s="314"/>
      <c r="B649" s="314"/>
      <c r="C649" s="314"/>
      <c r="D649" s="314"/>
      <c r="E649" s="314"/>
      <c r="F649" s="314"/>
      <c r="G649" s="314"/>
      <c r="H649" s="314"/>
      <c r="I649" s="314"/>
      <c r="J649" s="314"/>
      <c r="K649" s="321"/>
      <c r="L649" s="321"/>
      <c r="M649" s="314"/>
      <c r="N649" s="314"/>
      <c r="O649" s="314"/>
      <c r="P649" s="314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  <c r="AN649" s="321"/>
    </row>
    <row r="650" ht="15.75" customHeight="1">
      <c r="A650" s="314"/>
      <c r="B650" s="314"/>
      <c r="C650" s="314"/>
      <c r="D650" s="314"/>
      <c r="E650" s="314"/>
      <c r="F650" s="314"/>
      <c r="G650" s="314"/>
      <c r="H650" s="314"/>
      <c r="I650" s="314"/>
      <c r="J650" s="314"/>
      <c r="K650" s="321"/>
      <c r="L650" s="321"/>
      <c r="M650" s="314"/>
      <c r="N650" s="314"/>
      <c r="O650" s="314"/>
      <c r="P650" s="314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  <c r="AN650" s="321"/>
    </row>
    <row r="651" ht="15.75" customHeight="1">
      <c r="A651" s="314"/>
      <c r="B651" s="314"/>
      <c r="C651" s="314"/>
      <c r="D651" s="314"/>
      <c r="E651" s="314"/>
      <c r="F651" s="314"/>
      <c r="G651" s="314"/>
      <c r="H651" s="314"/>
      <c r="I651" s="314"/>
      <c r="J651" s="314"/>
      <c r="K651" s="321"/>
      <c r="L651" s="321"/>
      <c r="M651" s="314"/>
      <c r="N651" s="314"/>
      <c r="O651" s="314"/>
      <c r="P651" s="314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  <c r="AN651" s="321"/>
    </row>
    <row r="652" ht="15.75" customHeight="1">
      <c r="A652" s="314"/>
      <c r="B652" s="314"/>
      <c r="C652" s="314"/>
      <c r="D652" s="314"/>
      <c r="E652" s="314"/>
      <c r="F652" s="314"/>
      <c r="G652" s="314"/>
      <c r="H652" s="314"/>
      <c r="I652" s="314"/>
      <c r="J652" s="314"/>
      <c r="K652" s="321"/>
      <c r="L652" s="321"/>
      <c r="M652" s="314"/>
      <c r="N652" s="314"/>
      <c r="O652" s="314"/>
      <c r="P652" s="314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  <c r="AN652" s="321"/>
    </row>
    <row r="653" ht="15.75" customHeight="1">
      <c r="A653" s="314"/>
      <c r="B653" s="314"/>
      <c r="C653" s="314"/>
      <c r="D653" s="314"/>
      <c r="E653" s="314"/>
      <c r="F653" s="314"/>
      <c r="G653" s="314"/>
      <c r="H653" s="314"/>
      <c r="I653" s="314"/>
      <c r="J653" s="314"/>
      <c r="K653" s="321"/>
      <c r="L653" s="321"/>
      <c r="M653" s="314"/>
      <c r="N653" s="314"/>
      <c r="O653" s="314"/>
      <c r="P653" s="314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  <c r="AN653" s="321"/>
    </row>
    <row r="654" ht="15.75" customHeight="1">
      <c r="A654" s="314"/>
      <c r="B654" s="314"/>
      <c r="C654" s="314"/>
      <c r="D654" s="314"/>
      <c r="E654" s="314"/>
      <c r="F654" s="314"/>
      <c r="G654" s="314"/>
      <c r="H654" s="314"/>
      <c r="I654" s="314"/>
      <c r="J654" s="314"/>
      <c r="K654" s="321"/>
      <c r="L654" s="321"/>
      <c r="M654" s="314"/>
      <c r="N654" s="314"/>
      <c r="O654" s="314"/>
      <c r="P654" s="314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  <c r="AN654" s="321"/>
    </row>
    <row r="655" ht="15.75" customHeight="1">
      <c r="A655" s="314"/>
      <c r="B655" s="314"/>
      <c r="C655" s="314"/>
      <c r="D655" s="314"/>
      <c r="E655" s="314"/>
      <c r="F655" s="314"/>
      <c r="G655" s="314"/>
      <c r="H655" s="314"/>
      <c r="I655" s="314"/>
      <c r="J655" s="314"/>
      <c r="K655" s="321"/>
      <c r="L655" s="321"/>
      <c r="M655" s="314"/>
      <c r="N655" s="314"/>
      <c r="O655" s="314"/>
      <c r="P655" s="314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  <c r="AN655" s="321"/>
    </row>
    <row r="656" ht="15.75" customHeight="1">
      <c r="A656" s="314"/>
      <c r="B656" s="314"/>
      <c r="C656" s="314"/>
      <c r="D656" s="314"/>
      <c r="E656" s="314"/>
      <c r="F656" s="314"/>
      <c r="G656" s="314"/>
      <c r="H656" s="314"/>
      <c r="I656" s="314"/>
      <c r="J656" s="314"/>
      <c r="K656" s="321"/>
      <c r="L656" s="321"/>
      <c r="M656" s="314"/>
      <c r="N656" s="314"/>
      <c r="O656" s="314"/>
      <c r="P656" s="314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  <c r="AN656" s="321"/>
    </row>
    <row r="657" ht="15.75" customHeight="1">
      <c r="A657" s="314"/>
      <c r="B657" s="314"/>
      <c r="C657" s="314"/>
      <c r="D657" s="314"/>
      <c r="E657" s="314"/>
      <c r="F657" s="314"/>
      <c r="G657" s="314"/>
      <c r="H657" s="314"/>
      <c r="I657" s="314"/>
      <c r="J657" s="314"/>
      <c r="K657" s="321"/>
      <c r="L657" s="321"/>
      <c r="M657" s="314"/>
      <c r="N657" s="314"/>
      <c r="O657" s="314"/>
      <c r="P657" s="314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  <c r="AN657" s="321"/>
    </row>
    <row r="658" ht="15.75" customHeight="1">
      <c r="A658" s="314"/>
      <c r="B658" s="314"/>
      <c r="C658" s="314"/>
      <c r="D658" s="314"/>
      <c r="E658" s="314"/>
      <c r="F658" s="314"/>
      <c r="G658" s="314"/>
      <c r="H658" s="314"/>
      <c r="I658" s="314"/>
      <c r="J658" s="314"/>
      <c r="K658" s="321"/>
      <c r="L658" s="321"/>
      <c r="M658" s="314"/>
      <c r="N658" s="314"/>
      <c r="O658" s="314"/>
      <c r="P658" s="314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  <c r="AN658" s="321"/>
    </row>
    <row r="659" ht="15.75" customHeight="1">
      <c r="A659" s="314"/>
      <c r="B659" s="314"/>
      <c r="C659" s="314"/>
      <c r="D659" s="314"/>
      <c r="E659" s="314"/>
      <c r="F659" s="314"/>
      <c r="G659" s="314"/>
      <c r="H659" s="314"/>
      <c r="I659" s="314"/>
      <c r="J659" s="314"/>
      <c r="K659" s="321"/>
      <c r="L659" s="321"/>
      <c r="M659" s="314"/>
      <c r="N659" s="314"/>
      <c r="O659" s="314"/>
      <c r="P659" s="314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  <c r="AN659" s="321"/>
    </row>
    <row r="660" ht="15.75" customHeight="1">
      <c r="A660" s="314"/>
      <c r="B660" s="314"/>
      <c r="C660" s="314"/>
      <c r="D660" s="314"/>
      <c r="E660" s="314"/>
      <c r="F660" s="314"/>
      <c r="G660" s="314"/>
      <c r="H660" s="314"/>
      <c r="I660" s="314"/>
      <c r="J660" s="314"/>
      <c r="K660" s="321"/>
      <c r="L660" s="321"/>
      <c r="M660" s="314"/>
      <c r="N660" s="314"/>
      <c r="O660" s="314"/>
      <c r="P660" s="314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  <c r="AN660" s="321"/>
    </row>
    <row r="661" ht="15.75" customHeight="1">
      <c r="A661" s="314"/>
      <c r="B661" s="314"/>
      <c r="C661" s="314"/>
      <c r="D661" s="314"/>
      <c r="E661" s="314"/>
      <c r="F661" s="314"/>
      <c r="G661" s="314"/>
      <c r="H661" s="314"/>
      <c r="I661" s="314"/>
      <c r="J661" s="314"/>
      <c r="K661" s="321"/>
      <c r="L661" s="321"/>
      <c r="M661" s="314"/>
      <c r="N661" s="314"/>
      <c r="O661" s="314"/>
      <c r="P661" s="314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  <c r="AN661" s="321"/>
    </row>
    <row r="662" ht="15.75" customHeight="1">
      <c r="A662" s="314"/>
      <c r="B662" s="314"/>
      <c r="C662" s="314"/>
      <c r="D662" s="314"/>
      <c r="E662" s="314"/>
      <c r="F662" s="314"/>
      <c r="G662" s="314"/>
      <c r="H662" s="314"/>
      <c r="I662" s="314"/>
      <c r="J662" s="314"/>
      <c r="K662" s="321"/>
      <c r="L662" s="321"/>
      <c r="M662" s="314"/>
      <c r="N662" s="314"/>
      <c r="O662" s="314"/>
      <c r="P662" s="314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  <c r="AN662" s="321"/>
    </row>
    <row r="663" ht="15.75" customHeight="1">
      <c r="A663" s="314"/>
      <c r="B663" s="314"/>
      <c r="C663" s="314"/>
      <c r="D663" s="314"/>
      <c r="E663" s="314"/>
      <c r="F663" s="314"/>
      <c r="G663" s="314"/>
      <c r="H663" s="314"/>
      <c r="I663" s="314"/>
      <c r="J663" s="314"/>
      <c r="K663" s="321"/>
      <c r="L663" s="321"/>
      <c r="M663" s="314"/>
      <c r="N663" s="314"/>
      <c r="O663" s="314"/>
      <c r="P663" s="314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  <c r="AN663" s="321"/>
    </row>
    <row r="664" ht="15.75" customHeight="1">
      <c r="A664" s="314"/>
      <c r="B664" s="314"/>
      <c r="C664" s="314"/>
      <c r="D664" s="314"/>
      <c r="E664" s="314"/>
      <c r="F664" s="314"/>
      <c r="G664" s="314"/>
      <c r="H664" s="314"/>
      <c r="I664" s="314"/>
      <c r="J664" s="314"/>
      <c r="K664" s="321"/>
      <c r="L664" s="321"/>
      <c r="M664" s="314"/>
      <c r="N664" s="314"/>
      <c r="O664" s="314"/>
      <c r="P664" s="314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  <c r="AN664" s="321"/>
    </row>
    <row r="665" ht="15.75" customHeight="1">
      <c r="A665" s="314"/>
      <c r="B665" s="314"/>
      <c r="C665" s="314"/>
      <c r="D665" s="314"/>
      <c r="E665" s="314"/>
      <c r="F665" s="314"/>
      <c r="G665" s="314"/>
      <c r="H665" s="314"/>
      <c r="I665" s="314"/>
      <c r="J665" s="314"/>
      <c r="K665" s="321"/>
      <c r="L665" s="321"/>
      <c r="M665" s="314"/>
      <c r="N665" s="314"/>
      <c r="O665" s="314"/>
      <c r="P665" s="314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  <c r="AN665" s="321"/>
    </row>
    <row r="666" ht="15.75" customHeight="1">
      <c r="A666" s="314"/>
      <c r="B666" s="314"/>
      <c r="C666" s="314"/>
      <c r="D666" s="314"/>
      <c r="E666" s="314"/>
      <c r="F666" s="314"/>
      <c r="G666" s="314"/>
      <c r="H666" s="314"/>
      <c r="I666" s="314"/>
      <c r="J666" s="314"/>
      <c r="K666" s="321"/>
      <c r="L666" s="321"/>
      <c r="M666" s="314"/>
      <c r="N666" s="314"/>
      <c r="O666" s="314"/>
      <c r="P666" s="314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  <c r="AN666" s="321"/>
    </row>
    <row r="667" ht="15.75" customHeight="1">
      <c r="A667" s="314"/>
      <c r="B667" s="314"/>
      <c r="C667" s="314"/>
      <c r="D667" s="314"/>
      <c r="E667" s="314"/>
      <c r="F667" s="314"/>
      <c r="G667" s="314"/>
      <c r="H667" s="314"/>
      <c r="I667" s="314"/>
      <c r="J667" s="314"/>
      <c r="K667" s="321"/>
      <c r="L667" s="321"/>
      <c r="M667" s="314"/>
      <c r="N667" s="314"/>
      <c r="O667" s="314"/>
      <c r="P667" s="314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  <c r="AN667" s="321"/>
    </row>
    <row r="668" ht="15.75" customHeight="1">
      <c r="A668" s="314"/>
      <c r="B668" s="314"/>
      <c r="C668" s="314"/>
      <c r="D668" s="314"/>
      <c r="E668" s="314"/>
      <c r="F668" s="314"/>
      <c r="G668" s="314"/>
      <c r="H668" s="314"/>
      <c r="I668" s="314"/>
      <c r="J668" s="314"/>
      <c r="K668" s="321"/>
      <c r="L668" s="321"/>
      <c r="M668" s="314"/>
      <c r="N668" s="314"/>
      <c r="O668" s="314"/>
      <c r="P668" s="314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  <c r="AN668" s="321"/>
    </row>
    <row r="669" ht="15.75" customHeight="1">
      <c r="A669" s="314"/>
      <c r="B669" s="314"/>
      <c r="C669" s="314"/>
      <c r="D669" s="314"/>
      <c r="E669" s="314"/>
      <c r="F669" s="314"/>
      <c r="G669" s="314"/>
      <c r="H669" s="314"/>
      <c r="I669" s="314"/>
      <c r="J669" s="314"/>
      <c r="K669" s="321"/>
      <c r="L669" s="321"/>
      <c r="M669" s="314"/>
      <c r="N669" s="314"/>
      <c r="O669" s="314"/>
      <c r="P669" s="314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  <c r="AN669" s="321"/>
    </row>
    <row r="670" ht="15.75" customHeight="1">
      <c r="A670" s="314"/>
      <c r="B670" s="314"/>
      <c r="C670" s="314"/>
      <c r="D670" s="314"/>
      <c r="E670" s="314"/>
      <c r="F670" s="314"/>
      <c r="G670" s="314"/>
      <c r="H670" s="314"/>
      <c r="I670" s="314"/>
      <c r="J670" s="314"/>
      <c r="K670" s="321"/>
      <c r="L670" s="321"/>
      <c r="M670" s="314"/>
      <c r="N670" s="314"/>
      <c r="O670" s="314"/>
      <c r="P670" s="314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  <c r="AN670" s="321"/>
    </row>
    <row r="671" ht="15.75" customHeight="1">
      <c r="A671" s="314"/>
      <c r="B671" s="314"/>
      <c r="C671" s="314"/>
      <c r="D671" s="314"/>
      <c r="E671" s="314"/>
      <c r="F671" s="314"/>
      <c r="G671" s="314"/>
      <c r="H671" s="314"/>
      <c r="I671" s="314"/>
      <c r="J671" s="314"/>
      <c r="K671" s="321"/>
      <c r="L671" s="321"/>
      <c r="M671" s="314"/>
      <c r="N671" s="314"/>
      <c r="O671" s="314"/>
      <c r="P671" s="314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  <c r="AN671" s="321"/>
    </row>
    <row r="672" ht="15.75" customHeight="1">
      <c r="A672" s="314"/>
      <c r="B672" s="314"/>
      <c r="C672" s="314"/>
      <c r="D672" s="314"/>
      <c r="E672" s="314"/>
      <c r="F672" s="314"/>
      <c r="G672" s="314"/>
      <c r="H672" s="314"/>
      <c r="I672" s="314"/>
      <c r="J672" s="314"/>
      <c r="K672" s="321"/>
      <c r="L672" s="321"/>
      <c r="M672" s="314"/>
      <c r="N672" s="314"/>
      <c r="O672" s="314"/>
      <c r="P672" s="314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  <c r="AN672" s="321"/>
    </row>
    <row r="673" ht="15.75" customHeight="1">
      <c r="A673" s="314"/>
      <c r="B673" s="314"/>
      <c r="C673" s="314"/>
      <c r="D673" s="314"/>
      <c r="E673" s="314"/>
      <c r="F673" s="314"/>
      <c r="G673" s="314"/>
      <c r="H673" s="314"/>
      <c r="I673" s="314"/>
      <c r="J673" s="314"/>
      <c r="K673" s="321"/>
      <c r="L673" s="321"/>
      <c r="M673" s="314"/>
      <c r="N673" s="314"/>
      <c r="O673" s="314"/>
      <c r="P673" s="314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  <c r="AN673" s="321"/>
    </row>
    <row r="674" ht="15.75" customHeight="1">
      <c r="A674" s="314"/>
      <c r="B674" s="314"/>
      <c r="C674" s="314"/>
      <c r="D674" s="314"/>
      <c r="E674" s="314"/>
      <c r="F674" s="314"/>
      <c r="G674" s="314"/>
      <c r="H674" s="314"/>
      <c r="I674" s="314"/>
      <c r="J674" s="314"/>
      <c r="K674" s="321"/>
      <c r="L674" s="321"/>
      <c r="M674" s="314"/>
      <c r="N674" s="314"/>
      <c r="O674" s="314"/>
      <c r="P674" s="314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  <c r="AN674" s="321"/>
    </row>
    <row r="675" ht="15.75" customHeight="1">
      <c r="A675" s="314"/>
      <c r="B675" s="314"/>
      <c r="C675" s="314"/>
      <c r="D675" s="314"/>
      <c r="E675" s="314"/>
      <c r="F675" s="314"/>
      <c r="G675" s="314"/>
      <c r="H675" s="314"/>
      <c r="I675" s="314"/>
      <c r="J675" s="314"/>
      <c r="K675" s="321"/>
      <c r="L675" s="321"/>
      <c r="M675" s="314"/>
      <c r="N675" s="314"/>
      <c r="O675" s="314"/>
      <c r="P675" s="314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  <c r="AN675" s="321"/>
    </row>
    <row r="676" ht="15.75" customHeight="1">
      <c r="A676" s="314"/>
      <c r="B676" s="314"/>
      <c r="C676" s="314"/>
      <c r="D676" s="314"/>
      <c r="E676" s="314"/>
      <c r="F676" s="314"/>
      <c r="G676" s="314"/>
      <c r="H676" s="314"/>
      <c r="I676" s="314"/>
      <c r="J676" s="314"/>
      <c r="K676" s="321"/>
      <c r="L676" s="321"/>
      <c r="M676" s="314"/>
      <c r="N676" s="314"/>
      <c r="O676" s="314"/>
      <c r="P676" s="314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  <c r="AN676" s="321"/>
    </row>
    <row r="677" ht="15.75" customHeight="1">
      <c r="A677" s="314"/>
      <c r="B677" s="314"/>
      <c r="C677" s="314"/>
      <c r="D677" s="314"/>
      <c r="E677" s="314"/>
      <c r="F677" s="314"/>
      <c r="G677" s="314"/>
      <c r="H677" s="314"/>
      <c r="I677" s="314"/>
      <c r="J677" s="314"/>
      <c r="K677" s="321"/>
      <c r="L677" s="321"/>
      <c r="M677" s="314"/>
      <c r="N677" s="314"/>
      <c r="O677" s="314"/>
      <c r="P677" s="314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  <c r="AN677" s="321"/>
    </row>
    <row r="678" ht="15.75" customHeight="1">
      <c r="A678" s="314"/>
      <c r="B678" s="314"/>
      <c r="C678" s="314"/>
      <c r="D678" s="314"/>
      <c r="E678" s="314"/>
      <c r="F678" s="314"/>
      <c r="G678" s="314"/>
      <c r="H678" s="314"/>
      <c r="I678" s="314"/>
      <c r="J678" s="314"/>
      <c r="K678" s="321"/>
      <c r="L678" s="321"/>
      <c r="M678" s="314"/>
      <c r="N678" s="314"/>
      <c r="O678" s="314"/>
      <c r="P678" s="314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  <c r="AN678" s="321"/>
    </row>
    <row r="679" ht="15.75" customHeight="1">
      <c r="A679" s="314"/>
      <c r="B679" s="314"/>
      <c r="C679" s="314"/>
      <c r="D679" s="314"/>
      <c r="E679" s="314"/>
      <c r="F679" s="314"/>
      <c r="G679" s="314"/>
      <c r="H679" s="314"/>
      <c r="I679" s="314"/>
      <c r="J679" s="314"/>
      <c r="K679" s="321"/>
      <c r="L679" s="321"/>
      <c r="M679" s="314"/>
      <c r="N679" s="314"/>
      <c r="O679" s="314"/>
      <c r="P679" s="314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  <c r="AN679" s="321"/>
    </row>
    <row r="680" ht="15.75" customHeight="1">
      <c r="A680" s="314"/>
      <c r="B680" s="314"/>
      <c r="C680" s="314"/>
      <c r="D680" s="314"/>
      <c r="E680" s="314"/>
      <c r="F680" s="314"/>
      <c r="G680" s="314"/>
      <c r="H680" s="314"/>
      <c r="I680" s="314"/>
      <c r="J680" s="314"/>
      <c r="K680" s="321"/>
      <c r="L680" s="321"/>
      <c r="M680" s="314"/>
      <c r="N680" s="314"/>
      <c r="O680" s="314"/>
      <c r="P680" s="314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  <c r="AN680" s="321"/>
    </row>
    <row r="681" ht="15.75" customHeight="1">
      <c r="A681" s="314"/>
      <c r="B681" s="314"/>
      <c r="C681" s="314"/>
      <c r="D681" s="314"/>
      <c r="E681" s="314"/>
      <c r="F681" s="314"/>
      <c r="G681" s="314"/>
      <c r="H681" s="314"/>
      <c r="I681" s="314"/>
      <c r="J681" s="314"/>
      <c r="K681" s="321"/>
      <c r="L681" s="321"/>
      <c r="M681" s="314"/>
      <c r="N681" s="314"/>
      <c r="O681" s="314"/>
      <c r="P681" s="314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  <c r="AN681" s="321"/>
    </row>
    <row r="682" ht="15.75" customHeight="1">
      <c r="A682" s="314"/>
      <c r="B682" s="314"/>
      <c r="C682" s="314"/>
      <c r="D682" s="314"/>
      <c r="E682" s="314"/>
      <c r="F682" s="314"/>
      <c r="G682" s="314"/>
      <c r="H682" s="314"/>
      <c r="I682" s="314"/>
      <c r="J682" s="314"/>
      <c r="K682" s="321"/>
      <c r="L682" s="321"/>
      <c r="M682" s="314"/>
      <c r="N682" s="314"/>
      <c r="O682" s="314"/>
      <c r="P682" s="314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  <c r="AN682" s="321"/>
    </row>
    <row r="683" ht="15.75" customHeight="1">
      <c r="A683" s="314"/>
      <c r="B683" s="314"/>
      <c r="C683" s="314"/>
      <c r="D683" s="314"/>
      <c r="E683" s="314"/>
      <c r="F683" s="314"/>
      <c r="G683" s="314"/>
      <c r="H683" s="314"/>
      <c r="I683" s="314"/>
      <c r="J683" s="314"/>
      <c r="K683" s="321"/>
      <c r="L683" s="321"/>
      <c r="M683" s="314"/>
      <c r="N683" s="314"/>
      <c r="O683" s="314"/>
      <c r="P683" s="314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  <c r="AN683" s="321"/>
    </row>
    <row r="684" ht="15.75" customHeight="1">
      <c r="A684" s="314"/>
      <c r="B684" s="314"/>
      <c r="C684" s="314"/>
      <c r="D684" s="314"/>
      <c r="E684" s="314"/>
      <c r="F684" s="314"/>
      <c r="G684" s="314"/>
      <c r="H684" s="314"/>
      <c r="I684" s="314"/>
      <c r="J684" s="314"/>
      <c r="K684" s="321"/>
      <c r="L684" s="321"/>
      <c r="M684" s="314"/>
      <c r="N684" s="314"/>
      <c r="O684" s="314"/>
      <c r="P684" s="314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  <c r="AN684" s="321"/>
    </row>
    <row r="685" ht="15.75" customHeight="1">
      <c r="A685" s="314"/>
      <c r="B685" s="314"/>
      <c r="C685" s="314"/>
      <c r="D685" s="314"/>
      <c r="E685" s="314"/>
      <c r="F685" s="314"/>
      <c r="G685" s="314"/>
      <c r="H685" s="314"/>
      <c r="I685" s="314"/>
      <c r="J685" s="314"/>
      <c r="K685" s="321"/>
      <c r="L685" s="321"/>
      <c r="M685" s="314"/>
      <c r="N685" s="314"/>
      <c r="O685" s="314"/>
      <c r="P685" s="314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  <c r="AN685" s="321"/>
    </row>
    <row r="686" ht="15.75" customHeight="1">
      <c r="A686" s="314"/>
      <c r="B686" s="314"/>
      <c r="C686" s="314"/>
      <c r="D686" s="314"/>
      <c r="E686" s="314"/>
      <c r="F686" s="314"/>
      <c r="G686" s="314"/>
      <c r="H686" s="314"/>
      <c r="I686" s="314"/>
      <c r="J686" s="314"/>
      <c r="K686" s="321"/>
      <c r="L686" s="321"/>
      <c r="M686" s="314"/>
      <c r="N686" s="314"/>
      <c r="O686" s="314"/>
      <c r="P686" s="314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  <c r="AN686" s="321"/>
    </row>
    <row r="687" ht="15.75" customHeight="1">
      <c r="A687" s="314"/>
      <c r="B687" s="314"/>
      <c r="C687" s="314"/>
      <c r="D687" s="314"/>
      <c r="E687" s="314"/>
      <c r="F687" s="314"/>
      <c r="G687" s="314"/>
      <c r="H687" s="314"/>
      <c r="I687" s="314"/>
      <c r="J687" s="314"/>
      <c r="K687" s="321"/>
      <c r="L687" s="321"/>
      <c r="M687" s="314"/>
      <c r="N687" s="314"/>
      <c r="O687" s="314"/>
      <c r="P687" s="314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  <c r="AN687" s="321"/>
    </row>
    <row r="688" ht="15.75" customHeight="1">
      <c r="A688" s="314"/>
      <c r="B688" s="314"/>
      <c r="C688" s="314"/>
      <c r="D688" s="314"/>
      <c r="E688" s="314"/>
      <c r="F688" s="314"/>
      <c r="G688" s="314"/>
      <c r="H688" s="314"/>
      <c r="I688" s="314"/>
      <c r="J688" s="314"/>
      <c r="K688" s="321"/>
      <c r="L688" s="321"/>
      <c r="M688" s="314"/>
      <c r="N688" s="314"/>
      <c r="O688" s="314"/>
      <c r="P688" s="314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  <c r="AN688" s="321"/>
    </row>
    <row r="689" ht="15.75" customHeight="1">
      <c r="A689" s="314"/>
      <c r="B689" s="314"/>
      <c r="C689" s="314"/>
      <c r="D689" s="314"/>
      <c r="E689" s="314"/>
      <c r="F689" s="314"/>
      <c r="G689" s="314"/>
      <c r="H689" s="314"/>
      <c r="I689" s="314"/>
      <c r="J689" s="314"/>
      <c r="K689" s="321"/>
      <c r="L689" s="321"/>
      <c r="M689" s="314"/>
      <c r="N689" s="314"/>
      <c r="O689" s="314"/>
      <c r="P689" s="314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  <c r="AN689" s="321"/>
    </row>
    <row r="690" ht="15.75" customHeight="1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21"/>
      <c r="L690" s="321"/>
      <c r="M690" s="314"/>
      <c r="N690" s="314"/>
      <c r="O690" s="314"/>
      <c r="P690" s="314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  <c r="AN690" s="321"/>
    </row>
    <row r="691" ht="15.75" customHeight="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21"/>
      <c r="L691" s="321"/>
      <c r="M691" s="314"/>
      <c r="N691" s="314"/>
      <c r="O691" s="314"/>
      <c r="P691" s="314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  <c r="AN691" s="321"/>
    </row>
    <row r="692" ht="15.75" customHeight="1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21"/>
      <c r="L692" s="321"/>
      <c r="M692" s="314"/>
      <c r="N692" s="314"/>
      <c r="O692" s="314"/>
      <c r="P692" s="314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  <c r="AN692" s="321"/>
    </row>
    <row r="693" ht="15.75" customHeight="1">
      <c r="A693" s="314"/>
      <c r="B693" s="314"/>
      <c r="C693" s="314"/>
      <c r="D693" s="314"/>
      <c r="E693" s="314"/>
      <c r="F693" s="314"/>
      <c r="G693" s="314"/>
      <c r="H693" s="314"/>
      <c r="I693" s="314"/>
      <c r="J693" s="314"/>
      <c r="K693" s="321"/>
      <c r="L693" s="321"/>
      <c r="M693" s="314"/>
      <c r="N693" s="314"/>
      <c r="O693" s="314"/>
      <c r="P693" s="314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  <c r="AN693" s="321"/>
    </row>
    <row r="694" ht="15.75" customHeight="1">
      <c r="A694" s="314"/>
      <c r="B694" s="314"/>
      <c r="C694" s="314"/>
      <c r="D694" s="314"/>
      <c r="E694" s="314"/>
      <c r="F694" s="314"/>
      <c r="G694" s="314"/>
      <c r="H694" s="314"/>
      <c r="I694" s="314"/>
      <c r="J694" s="314"/>
      <c r="K694" s="321"/>
      <c r="L694" s="321"/>
      <c r="M694" s="314"/>
      <c r="N694" s="314"/>
      <c r="O694" s="314"/>
      <c r="P694" s="314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  <c r="AN694" s="321"/>
    </row>
    <row r="695" ht="15.75" customHeight="1">
      <c r="A695" s="314"/>
      <c r="B695" s="314"/>
      <c r="C695" s="314"/>
      <c r="D695" s="314"/>
      <c r="E695" s="314"/>
      <c r="F695" s="314"/>
      <c r="G695" s="314"/>
      <c r="H695" s="314"/>
      <c r="I695" s="314"/>
      <c r="J695" s="314"/>
      <c r="K695" s="321"/>
      <c r="L695" s="321"/>
      <c r="M695" s="314"/>
      <c r="N695" s="314"/>
      <c r="O695" s="314"/>
      <c r="P695" s="314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  <c r="AN695" s="321"/>
    </row>
    <row r="696" ht="15.75" customHeight="1">
      <c r="A696" s="314"/>
      <c r="B696" s="314"/>
      <c r="C696" s="314"/>
      <c r="D696" s="314"/>
      <c r="E696" s="314"/>
      <c r="F696" s="314"/>
      <c r="G696" s="314"/>
      <c r="H696" s="314"/>
      <c r="I696" s="314"/>
      <c r="J696" s="314"/>
      <c r="K696" s="321"/>
      <c r="L696" s="321"/>
      <c r="M696" s="314"/>
      <c r="N696" s="314"/>
      <c r="O696" s="314"/>
      <c r="P696" s="314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  <c r="AN696" s="321"/>
    </row>
    <row r="697" ht="15.75" customHeight="1">
      <c r="A697" s="314"/>
      <c r="B697" s="314"/>
      <c r="C697" s="314"/>
      <c r="D697" s="314"/>
      <c r="E697" s="314"/>
      <c r="F697" s="314"/>
      <c r="G697" s="314"/>
      <c r="H697" s="314"/>
      <c r="I697" s="314"/>
      <c r="J697" s="314"/>
      <c r="K697" s="321"/>
      <c r="L697" s="321"/>
      <c r="M697" s="314"/>
      <c r="N697" s="314"/>
      <c r="O697" s="314"/>
      <c r="P697" s="314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  <c r="AN697" s="321"/>
    </row>
    <row r="698" ht="15.75" customHeight="1">
      <c r="A698" s="314"/>
      <c r="B698" s="314"/>
      <c r="C698" s="314"/>
      <c r="D698" s="314"/>
      <c r="E698" s="314"/>
      <c r="F698" s="314"/>
      <c r="G698" s="314"/>
      <c r="H698" s="314"/>
      <c r="I698" s="314"/>
      <c r="J698" s="314"/>
      <c r="K698" s="321"/>
      <c r="L698" s="321"/>
      <c r="M698" s="314"/>
      <c r="N698" s="314"/>
      <c r="O698" s="314"/>
      <c r="P698" s="314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  <c r="AN698" s="321"/>
    </row>
    <row r="699" ht="15.75" customHeight="1">
      <c r="A699" s="314"/>
      <c r="B699" s="314"/>
      <c r="C699" s="314"/>
      <c r="D699" s="314"/>
      <c r="E699" s="314"/>
      <c r="F699" s="314"/>
      <c r="G699" s="314"/>
      <c r="H699" s="314"/>
      <c r="I699" s="314"/>
      <c r="J699" s="314"/>
      <c r="K699" s="321"/>
      <c r="L699" s="321"/>
      <c r="M699" s="314"/>
      <c r="N699" s="314"/>
      <c r="O699" s="314"/>
      <c r="P699" s="314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  <c r="AN699" s="321"/>
    </row>
    <row r="700" ht="15.75" customHeight="1">
      <c r="A700" s="314"/>
      <c r="B700" s="314"/>
      <c r="C700" s="314"/>
      <c r="D700" s="314"/>
      <c r="E700" s="314"/>
      <c r="F700" s="314"/>
      <c r="G700" s="314"/>
      <c r="H700" s="314"/>
      <c r="I700" s="314"/>
      <c r="J700" s="314"/>
      <c r="K700" s="321"/>
      <c r="L700" s="321"/>
      <c r="M700" s="314"/>
      <c r="N700" s="314"/>
      <c r="O700" s="314"/>
      <c r="P700" s="314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  <c r="AN700" s="321"/>
    </row>
    <row r="701" ht="15.75" customHeight="1">
      <c r="A701" s="314"/>
      <c r="B701" s="314"/>
      <c r="C701" s="314"/>
      <c r="D701" s="314"/>
      <c r="E701" s="314"/>
      <c r="F701" s="314"/>
      <c r="G701" s="314"/>
      <c r="H701" s="314"/>
      <c r="I701" s="314"/>
      <c r="J701" s="314"/>
      <c r="K701" s="321"/>
      <c r="L701" s="321"/>
      <c r="M701" s="314"/>
      <c r="N701" s="314"/>
      <c r="O701" s="314"/>
      <c r="P701" s="314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  <c r="AN701" s="321"/>
    </row>
    <row r="702" ht="15.75" customHeight="1">
      <c r="A702" s="314"/>
      <c r="B702" s="314"/>
      <c r="C702" s="314"/>
      <c r="D702" s="314"/>
      <c r="E702" s="314"/>
      <c r="F702" s="314"/>
      <c r="G702" s="314"/>
      <c r="H702" s="314"/>
      <c r="I702" s="314"/>
      <c r="J702" s="314"/>
      <c r="K702" s="321"/>
      <c r="L702" s="321"/>
      <c r="M702" s="314"/>
      <c r="N702" s="314"/>
      <c r="O702" s="314"/>
      <c r="P702" s="314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  <c r="AN702" s="321"/>
    </row>
    <row r="703" ht="15.75" customHeight="1">
      <c r="A703" s="314"/>
      <c r="B703" s="314"/>
      <c r="C703" s="314"/>
      <c r="D703" s="314"/>
      <c r="E703" s="314"/>
      <c r="F703" s="314"/>
      <c r="G703" s="314"/>
      <c r="H703" s="314"/>
      <c r="I703" s="314"/>
      <c r="J703" s="314"/>
      <c r="K703" s="321"/>
      <c r="L703" s="321"/>
      <c r="M703" s="314"/>
      <c r="N703" s="314"/>
      <c r="O703" s="314"/>
      <c r="P703" s="314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  <c r="AN703" s="321"/>
    </row>
    <row r="704" ht="15.75" customHeight="1">
      <c r="A704" s="314"/>
      <c r="B704" s="314"/>
      <c r="C704" s="314"/>
      <c r="D704" s="314"/>
      <c r="E704" s="314"/>
      <c r="F704" s="314"/>
      <c r="G704" s="314"/>
      <c r="H704" s="314"/>
      <c r="I704" s="314"/>
      <c r="J704" s="314"/>
      <c r="K704" s="321"/>
      <c r="L704" s="321"/>
      <c r="M704" s="314"/>
      <c r="N704" s="314"/>
      <c r="O704" s="314"/>
      <c r="P704" s="314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  <c r="AN704" s="321"/>
    </row>
    <row r="705" ht="15.75" customHeight="1">
      <c r="A705" s="314"/>
      <c r="B705" s="314"/>
      <c r="C705" s="314"/>
      <c r="D705" s="314"/>
      <c r="E705" s="314"/>
      <c r="F705" s="314"/>
      <c r="G705" s="314"/>
      <c r="H705" s="314"/>
      <c r="I705" s="314"/>
      <c r="J705" s="314"/>
      <c r="K705" s="321"/>
      <c r="L705" s="321"/>
      <c r="M705" s="314"/>
      <c r="N705" s="314"/>
      <c r="O705" s="314"/>
      <c r="P705" s="314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  <c r="AN705" s="321"/>
    </row>
    <row r="706" ht="15.75" customHeight="1">
      <c r="A706" s="314"/>
      <c r="B706" s="314"/>
      <c r="C706" s="314"/>
      <c r="D706" s="314"/>
      <c r="E706" s="314"/>
      <c r="F706" s="314"/>
      <c r="G706" s="314"/>
      <c r="H706" s="314"/>
      <c r="I706" s="314"/>
      <c r="J706" s="314"/>
      <c r="K706" s="321"/>
      <c r="L706" s="321"/>
      <c r="M706" s="314"/>
      <c r="N706" s="314"/>
      <c r="O706" s="314"/>
      <c r="P706" s="314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  <c r="AN706" s="321"/>
    </row>
    <row r="707" ht="15.75" customHeight="1">
      <c r="A707" s="314"/>
      <c r="B707" s="314"/>
      <c r="C707" s="314"/>
      <c r="D707" s="314"/>
      <c r="E707" s="314"/>
      <c r="F707" s="314"/>
      <c r="G707" s="314"/>
      <c r="H707" s="314"/>
      <c r="I707" s="314"/>
      <c r="J707" s="314"/>
      <c r="K707" s="321"/>
      <c r="L707" s="321"/>
      <c r="M707" s="314"/>
      <c r="N707" s="314"/>
      <c r="O707" s="314"/>
      <c r="P707" s="314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  <c r="AN707" s="321"/>
    </row>
    <row r="708" ht="15.75" customHeight="1">
      <c r="A708" s="314"/>
      <c r="B708" s="314"/>
      <c r="C708" s="314"/>
      <c r="D708" s="314"/>
      <c r="E708" s="314"/>
      <c r="F708" s="314"/>
      <c r="G708" s="314"/>
      <c r="H708" s="314"/>
      <c r="I708" s="314"/>
      <c r="J708" s="314"/>
      <c r="K708" s="321"/>
      <c r="L708" s="321"/>
      <c r="M708" s="314"/>
      <c r="N708" s="314"/>
      <c r="O708" s="314"/>
      <c r="P708" s="314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  <c r="AN708" s="321"/>
    </row>
    <row r="709" ht="15.75" customHeight="1">
      <c r="A709" s="314"/>
      <c r="B709" s="314"/>
      <c r="C709" s="314"/>
      <c r="D709" s="314"/>
      <c r="E709" s="314"/>
      <c r="F709" s="314"/>
      <c r="G709" s="314"/>
      <c r="H709" s="314"/>
      <c r="I709" s="314"/>
      <c r="J709" s="314"/>
      <c r="K709" s="321"/>
      <c r="L709" s="321"/>
      <c r="M709" s="314"/>
      <c r="N709" s="314"/>
      <c r="O709" s="314"/>
      <c r="P709" s="314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  <c r="AN709" s="321"/>
    </row>
    <row r="710" ht="15.75" customHeight="1">
      <c r="A710" s="314"/>
      <c r="B710" s="314"/>
      <c r="C710" s="314"/>
      <c r="D710" s="314"/>
      <c r="E710" s="314"/>
      <c r="F710" s="314"/>
      <c r="G710" s="314"/>
      <c r="H710" s="314"/>
      <c r="I710" s="314"/>
      <c r="J710" s="314"/>
      <c r="K710" s="321"/>
      <c r="L710" s="321"/>
      <c r="M710" s="314"/>
      <c r="N710" s="314"/>
      <c r="O710" s="314"/>
      <c r="P710" s="314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  <c r="AN710" s="321"/>
    </row>
    <row r="711" ht="15.75" customHeight="1">
      <c r="A711" s="314"/>
      <c r="B711" s="314"/>
      <c r="C711" s="314"/>
      <c r="D711" s="314"/>
      <c r="E711" s="314"/>
      <c r="F711" s="314"/>
      <c r="G711" s="314"/>
      <c r="H711" s="314"/>
      <c r="I711" s="314"/>
      <c r="J711" s="314"/>
      <c r="K711" s="321"/>
      <c r="L711" s="321"/>
      <c r="M711" s="314"/>
      <c r="N711" s="314"/>
      <c r="O711" s="314"/>
      <c r="P711" s="314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  <c r="AN711" s="321"/>
    </row>
    <row r="712" ht="15.75" customHeight="1">
      <c r="A712" s="314"/>
      <c r="B712" s="314"/>
      <c r="C712" s="314"/>
      <c r="D712" s="314"/>
      <c r="E712" s="314"/>
      <c r="F712" s="314"/>
      <c r="G712" s="314"/>
      <c r="H712" s="314"/>
      <c r="I712" s="314"/>
      <c r="J712" s="314"/>
      <c r="K712" s="321"/>
      <c r="L712" s="321"/>
      <c r="M712" s="314"/>
      <c r="N712" s="314"/>
      <c r="O712" s="314"/>
      <c r="P712" s="314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  <c r="AN712" s="321"/>
    </row>
    <row r="713" ht="15.75" customHeight="1">
      <c r="A713" s="314"/>
      <c r="B713" s="314"/>
      <c r="C713" s="314"/>
      <c r="D713" s="314"/>
      <c r="E713" s="314"/>
      <c r="F713" s="314"/>
      <c r="G713" s="314"/>
      <c r="H713" s="314"/>
      <c r="I713" s="314"/>
      <c r="J713" s="314"/>
      <c r="K713" s="321"/>
      <c r="L713" s="321"/>
      <c r="M713" s="314"/>
      <c r="N713" s="314"/>
      <c r="O713" s="314"/>
      <c r="P713" s="314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  <c r="AN713" s="321"/>
    </row>
    <row r="714" ht="15.75" customHeight="1">
      <c r="A714" s="314"/>
      <c r="B714" s="314"/>
      <c r="C714" s="314"/>
      <c r="D714" s="314"/>
      <c r="E714" s="314"/>
      <c r="F714" s="314"/>
      <c r="G714" s="314"/>
      <c r="H714" s="314"/>
      <c r="I714" s="314"/>
      <c r="J714" s="314"/>
      <c r="K714" s="321"/>
      <c r="L714" s="321"/>
      <c r="M714" s="314"/>
      <c r="N714" s="314"/>
      <c r="O714" s="314"/>
      <c r="P714" s="314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  <c r="AN714" s="321"/>
    </row>
    <row r="715" ht="15.75" customHeight="1">
      <c r="A715" s="314"/>
      <c r="B715" s="314"/>
      <c r="C715" s="314"/>
      <c r="D715" s="314"/>
      <c r="E715" s="314"/>
      <c r="F715" s="314"/>
      <c r="G715" s="314"/>
      <c r="H715" s="314"/>
      <c r="I715" s="314"/>
      <c r="J715" s="314"/>
      <c r="K715" s="321"/>
      <c r="L715" s="321"/>
      <c r="M715" s="314"/>
      <c r="N715" s="314"/>
      <c r="O715" s="314"/>
      <c r="P715" s="314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  <c r="AN715" s="321"/>
    </row>
    <row r="716" ht="15.75" customHeight="1">
      <c r="A716" s="314"/>
      <c r="B716" s="314"/>
      <c r="C716" s="314"/>
      <c r="D716" s="314"/>
      <c r="E716" s="314"/>
      <c r="F716" s="314"/>
      <c r="G716" s="314"/>
      <c r="H716" s="314"/>
      <c r="I716" s="314"/>
      <c r="J716" s="314"/>
      <c r="K716" s="321"/>
      <c r="L716" s="321"/>
      <c r="M716" s="314"/>
      <c r="N716" s="314"/>
      <c r="O716" s="314"/>
      <c r="P716" s="314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  <c r="AN716" s="321"/>
    </row>
    <row r="717" ht="15.75" customHeight="1">
      <c r="A717" s="314"/>
      <c r="B717" s="314"/>
      <c r="C717" s="314"/>
      <c r="D717" s="314"/>
      <c r="E717" s="314"/>
      <c r="F717" s="314"/>
      <c r="G717" s="314"/>
      <c r="H717" s="314"/>
      <c r="I717" s="314"/>
      <c r="J717" s="314"/>
      <c r="K717" s="321"/>
      <c r="L717" s="321"/>
      <c r="M717" s="314"/>
      <c r="N717" s="314"/>
      <c r="O717" s="314"/>
      <c r="P717" s="314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  <c r="AN717" s="321"/>
    </row>
    <row r="718" ht="15.75" customHeight="1">
      <c r="A718" s="314"/>
      <c r="B718" s="314"/>
      <c r="C718" s="314"/>
      <c r="D718" s="314"/>
      <c r="E718" s="314"/>
      <c r="F718" s="314"/>
      <c r="G718" s="314"/>
      <c r="H718" s="314"/>
      <c r="I718" s="314"/>
      <c r="J718" s="314"/>
      <c r="K718" s="321"/>
      <c r="L718" s="321"/>
      <c r="M718" s="314"/>
      <c r="N718" s="314"/>
      <c r="O718" s="314"/>
      <c r="P718" s="314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  <c r="AN718" s="321"/>
    </row>
    <row r="719" ht="15.75" customHeight="1">
      <c r="A719" s="314"/>
      <c r="B719" s="314"/>
      <c r="C719" s="314"/>
      <c r="D719" s="314"/>
      <c r="E719" s="314"/>
      <c r="F719" s="314"/>
      <c r="G719" s="314"/>
      <c r="H719" s="314"/>
      <c r="I719" s="314"/>
      <c r="J719" s="314"/>
      <c r="K719" s="321"/>
      <c r="L719" s="321"/>
      <c r="M719" s="314"/>
      <c r="N719" s="314"/>
      <c r="O719" s="314"/>
      <c r="P719" s="314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  <c r="AN719" s="321"/>
    </row>
    <row r="720" ht="15.75" customHeight="1">
      <c r="A720" s="314"/>
      <c r="B720" s="314"/>
      <c r="C720" s="314"/>
      <c r="D720" s="314"/>
      <c r="E720" s="314"/>
      <c r="F720" s="314"/>
      <c r="G720" s="314"/>
      <c r="H720" s="314"/>
      <c r="I720" s="314"/>
      <c r="J720" s="314"/>
      <c r="K720" s="321"/>
      <c r="L720" s="321"/>
      <c r="M720" s="314"/>
      <c r="N720" s="314"/>
      <c r="O720" s="314"/>
      <c r="P720" s="314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  <c r="AN720" s="321"/>
    </row>
    <row r="721" ht="15.75" customHeight="1">
      <c r="A721" s="314"/>
      <c r="B721" s="314"/>
      <c r="C721" s="314"/>
      <c r="D721" s="314"/>
      <c r="E721" s="314"/>
      <c r="F721" s="314"/>
      <c r="G721" s="314"/>
      <c r="H721" s="314"/>
      <c r="I721" s="314"/>
      <c r="J721" s="314"/>
      <c r="K721" s="321"/>
      <c r="L721" s="321"/>
      <c r="M721" s="314"/>
      <c r="N721" s="314"/>
      <c r="O721" s="314"/>
      <c r="P721" s="314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  <c r="AN721" s="321"/>
    </row>
    <row r="722" ht="15.75" customHeight="1">
      <c r="A722" s="314"/>
      <c r="B722" s="314"/>
      <c r="C722" s="314"/>
      <c r="D722" s="314"/>
      <c r="E722" s="314"/>
      <c r="F722" s="314"/>
      <c r="G722" s="314"/>
      <c r="H722" s="314"/>
      <c r="I722" s="314"/>
      <c r="J722" s="314"/>
      <c r="K722" s="321"/>
      <c r="L722" s="321"/>
      <c r="M722" s="314"/>
      <c r="N722" s="314"/>
      <c r="O722" s="314"/>
      <c r="P722" s="314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  <c r="AN722" s="321"/>
    </row>
    <row r="723" ht="15.75" customHeight="1">
      <c r="A723" s="314"/>
      <c r="B723" s="314"/>
      <c r="C723" s="314"/>
      <c r="D723" s="314"/>
      <c r="E723" s="314"/>
      <c r="F723" s="314"/>
      <c r="G723" s="314"/>
      <c r="H723" s="314"/>
      <c r="I723" s="314"/>
      <c r="J723" s="314"/>
      <c r="K723" s="321"/>
      <c r="L723" s="321"/>
      <c r="M723" s="314"/>
      <c r="N723" s="314"/>
      <c r="O723" s="314"/>
      <c r="P723" s="314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  <c r="AN723" s="321"/>
    </row>
    <row r="724" ht="15.75" customHeight="1">
      <c r="A724" s="314"/>
      <c r="B724" s="314"/>
      <c r="C724" s="314"/>
      <c r="D724" s="314"/>
      <c r="E724" s="314"/>
      <c r="F724" s="314"/>
      <c r="G724" s="314"/>
      <c r="H724" s="314"/>
      <c r="I724" s="314"/>
      <c r="J724" s="314"/>
      <c r="K724" s="321"/>
      <c r="L724" s="321"/>
      <c r="M724" s="314"/>
      <c r="N724" s="314"/>
      <c r="O724" s="314"/>
      <c r="P724" s="314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  <c r="AN724" s="321"/>
    </row>
    <row r="725" ht="15.75" customHeight="1">
      <c r="A725" s="314"/>
      <c r="B725" s="314"/>
      <c r="C725" s="314"/>
      <c r="D725" s="314"/>
      <c r="E725" s="314"/>
      <c r="F725" s="314"/>
      <c r="G725" s="314"/>
      <c r="H725" s="314"/>
      <c r="I725" s="314"/>
      <c r="J725" s="314"/>
      <c r="K725" s="321"/>
      <c r="L725" s="321"/>
      <c r="M725" s="314"/>
      <c r="N725" s="314"/>
      <c r="O725" s="314"/>
      <c r="P725" s="314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  <c r="AN725" s="321"/>
    </row>
    <row r="726" ht="15.75" customHeight="1">
      <c r="A726" s="314"/>
      <c r="B726" s="314"/>
      <c r="C726" s="314"/>
      <c r="D726" s="314"/>
      <c r="E726" s="314"/>
      <c r="F726" s="314"/>
      <c r="G726" s="314"/>
      <c r="H726" s="314"/>
      <c r="I726" s="314"/>
      <c r="J726" s="314"/>
      <c r="K726" s="321"/>
      <c r="L726" s="321"/>
      <c r="M726" s="314"/>
      <c r="N726" s="314"/>
      <c r="O726" s="314"/>
      <c r="P726" s="314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  <c r="AN726" s="321"/>
    </row>
    <row r="727" ht="15.75" customHeight="1">
      <c r="A727" s="314"/>
      <c r="B727" s="314"/>
      <c r="C727" s="314"/>
      <c r="D727" s="314"/>
      <c r="E727" s="314"/>
      <c r="F727" s="314"/>
      <c r="G727" s="314"/>
      <c r="H727" s="314"/>
      <c r="I727" s="314"/>
      <c r="J727" s="314"/>
      <c r="K727" s="321"/>
      <c r="L727" s="321"/>
      <c r="M727" s="314"/>
      <c r="N727" s="314"/>
      <c r="O727" s="314"/>
      <c r="P727" s="314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  <c r="AN727" s="321"/>
    </row>
    <row r="728" ht="15.75" customHeight="1">
      <c r="A728" s="314"/>
      <c r="B728" s="314"/>
      <c r="C728" s="314"/>
      <c r="D728" s="314"/>
      <c r="E728" s="314"/>
      <c r="F728" s="314"/>
      <c r="G728" s="314"/>
      <c r="H728" s="314"/>
      <c r="I728" s="314"/>
      <c r="J728" s="314"/>
      <c r="K728" s="321"/>
      <c r="L728" s="321"/>
      <c r="M728" s="314"/>
      <c r="N728" s="314"/>
      <c r="O728" s="314"/>
      <c r="P728" s="314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  <c r="AN728" s="321"/>
    </row>
    <row r="729" ht="15.75" customHeight="1">
      <c r="A729" s="314"/>
      <c r="B729" s="314"/>
      <c r="C729" s="314"/>
      <c r="D729" s="314"/>
      <c r="E729" s="314"/>
      <c r="F729" s="314"/>
      <c r="G729" s="314"/>
      <c r="H729" s="314"/>
      <c r="I729" s="314"/>
      <c r="J729" s="314"/>
      <c r="K729" s="321"/>
      <c r="L729" s="321"/>
      <c r="M729" s="314"/>
      <c r="N729" s="314"/>
      <c r="O729" s="314"/>
      <c r="P729" s="314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  <c r="AN729" s="321"/>
    </row>
    <row r="730" ht="15.75" customHeight="1">
      <c r="A730" s="314"/>
      <c r="B730" s="314"/>
      <c r="C730" s="314"/>
      <c r="D730" s="314"/>
      <c r="E730" s="314"/>
      <c r="F730" s="314"/>
      <c r="G730" s="314"/>
      <c r="H730" s="314"/>
      <c r="I730" s="314"/>
      <c r="J730" s="314"/>
      <c r="K730" s="321"/>
      <c r="L730" s="321"/>
      <c r="M730" s="314"/>
      <c r="N730" s="314"/>
      <c r="O730" s="314"/>
      <c r="P730" s="314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  <c r="AN730" s="321"/>
    </row>
    <row r="731" ht="15.75" customHeight="1">
      <c r="A731" s="314"/>
      <c r="B731" s="314"/>
      <c r="C731" s="314"/>
      <c r="D731" s="314"/>
      <c r="E731" s="314"/>
      <c r="F731" s="314"/>
      <c r="G731" s="314"/>
      <c r="H731" s="314"/>
      <c r="I731" s="314"/>
      <c r="J731" s="314"/>
      <c r="K731" s="321"/>
      <c r="L731" s="321"/>
      <c r="M731" s="314"/>
      <c r="N731" s="314"/>
      <c r="O731" s="314"/>
      <c r="P731" s="314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  <c r="AN731" s="321"/>
    </row>
    <row r="732" ht="15.75" customHeight="1">
      <c r="A732" s="314"/>
      <c r="B732" s="314"/>
      <c r="C732" s="314"/>
      <c r="D732" s="314"/>
      <c r="E732" s="314"/>
      <c r="F732" s="314"/>
      <c r="G732" s="314"/>
      <c r="H732" s="314"/>
      <c r="I732" s="314"/>
      <c r="J732" s="314"/>
      <c r="K732" s="321"/>
      <c r="L732" s="321"/>
      <c r="M732" s="314"/>
      <c r="N732" s="314"/>
      <c r="O732" s="314"/>
      <c r="P732" s="314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  <c r="AN732" s="321"/>
    </row>
    <row r="733" ht="15.75" customHeight="1">
      <c r="A733" s="314"/>
      <c r="B733" s="314"/>
      <c r="C733" s="314"/>
      <c r="D733" s="314"/>
      <c r="E733" s="314"/>
      <c r="F733" s="314"/>
      <c r="G733" s="314"/>
      <c r="H733" s="314"/>
      <c r="I733" s="314"/>
      <c r="J733" s="314"/>
      <c r="K733" s="321"/>
      <c r="L733" s="321"/>
      <c r="M733" s="314"/>
      <c r="N733" s="314"/>
      <c r="O733" s="314"/>
      <c r="P733" s="314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  <c r="AN733" s="321"/>
    </row>
    <row r="734" ht="15.75" customHeight="1">
      <c r="A734" s="314"/>
      <c r="B734" s="314"/>
      <c r="C734" s="314"/>
      <c r="D734" s="314"/>
      <c r="E734" s="314"/>
      <c r="F734" s="314"/>
      <c r="G734" s="314"/>
      <c r="H734" s="314"/>
      <c r="I734" s="314"/>
      <c r="J734" s="314"/>
      <c r="K734" s="321"/>
      <c r="L734" s="321"/>
      <c r="M734" s="314"/>
      <c r="N734" s="314"/>
      <c r="O734" s="314"/>
      <c r="P734" s="314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  <c r="AN734" s="321"/>
    </row>
    <row r="735" ht="15.75" customHeight="1">
      <c r="A735" s="314"/>
      <c r="B735" s="314"/>
      <c r="C735" s="314"/>
      <c r="D735" s="314"/>
      <c r="E735" s="314"/>
      <c r="F735" s="314"/>
      <c r="G735" s="314"/>
      <c r="H735" s="314"/>
      <c r="I735" s="314"/>
      <c r="J735" s="314"/>
      <c r="K735" s="321"/>
      <c r="L735" s="321"/>
      <c r="M735" s="314"/>
      <c r="N735" s="314"/>
      <c r="O735" s="314"/>
      <c r="P735" s="314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  <c r="AN735" s="321"/>
    </row>
    <row r="736" ht="15.75" customHeight="1">
      <c r="A736" s="314"/>
      <c r="B736" s="314"/>
      <c r="C736" s="314"/>
      <c r="D736" s="314"/>
      <c r="E736" s="314"/>
      <c r="F736" s="314"/>
      <c r="G736" s="314"/>
      <c r="H736" s="314"/>
      <c r="I736" s="314"/>
      <c r="J736" s="314"/>
      <c r="K736" s="321"/>
      <c r="L736" s="321"/>
      <c r="M736" s="314"/>
      <c r="N736" s="314"/>
      <c r="O736" s="314"/>
      <c r="P736" s="314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  <c r="AN736" s="321"/>
    </row>
    <row r="737" ht="15.75" customHeight="1">
      <c r="A737" s="314"/>
      <c r="B737" s="314"/>
      <c r="C737" s="314"/>
      <c r="D737" s="314"/>
      <c r="E737" s="314"/>
      <c r="F737" s="314"/>
      <c r="G737" s="314"/>
      <c r="H737" s="314"/>
      <c r="I737" s="314"/>
      <c r="J737" s="314"/>
      <c r="K737" s="321"/>
      <c r="L737" s="321"/>
      <c r="M737" s="314"/>
      <c r="N737" s="314"/>
      <c r="O737" s="314"/>
      <c r="P737" s="314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  <c r="AN737" s="321"/>
    </row>
    <row r="738" ht="15.75" customHeight="1">
      <c r="A738" s="314"/>
      <c r="B738" s="314"/>
      <c r="C738" s="314"/>
      <c r="D738" s="314"/>
      <c r="E738" s="314"/>
      <c r="F738" s="314"/>
      <c r="G738" s="314"/>
      <c r="H738" s="314"/>
      <c r="I738" s="314"/>
      <c r="J738" s="314"/>
      <c r="K738" s="321"/>
      <c r="L738" s="321"/>
      <c r="M738" s="314"/>
      <c r="N738" s="314"/>
      <c r="O738" s="314"/>
      <c r="P738" s="314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  <c r="AN738" s="321"/>
    </row>
    <row r="739" ht="15.75" customHeight="1">
      <c r="A739" s="314"/>
      <c r="B739" s="314"/>
      <c r="C739" s="314"/>
      <c r="D739" s="314"/>
      <c r="E739" s="314"/>
      <c r="F739" s="314"/>
      <c r="G739" s="314"/>
      <c r="H739" s="314"/>
      <c r="I739" s="314"/>
      <c r="J739" s="314"/>
      <c r="K739" s="321"/>
      <c r="L739" s="321"/>
      <c r="M739" s="314"/>
      <c r="N739" s="314"/>
      <c r="O739" s="314"/>
      <c r="P739" s="314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  <c r="AN739" s="321"/>
    </row>
    <row r="740" ht="15.75" customHeight="1">
      <c r="A740" s="314"/>
      <c r="B740" s="314"/>
      <c r="C740" s="314"/>
      <c r="D740" s="314"/>
      <c r="E740" s="314"/>
      <c r="F740" s="314"/>
      <c r="G740" s="314"/>
      <c r="H740" s="314"/>
      <c r="I740" s="314"/>
      <c r="J740" s="314"/>
      <c r="K740" s="321"/>
      <c r="L740" s="321"/>
      <c r="M740" s="314"/>
      <c r="N740" s="314"/>
      <c r="O740" s="314"/>
      <c r="P740" s="314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  <c r="AN740" s="321"/>
    </row>
    <row r="741" ht="15.75" customHeight="1">
      <c r="A741" s="314"/>
      <c r="B741" s="314"/>
      <c r="C741" s="314"/>
      <c r="D741" s="314"/>
      <c r="E741" s="314"/>
      <c r="F741" s="314"/>
      <c r="G741" s="314"/>
      <c r="H741" s="314"/>
      <c r="I741" s="314"/>
      <c r="J741" s="314"/>
      <c r="K741" s="321"/>
      <c r="L741" s="321"/>
      <c r="M741" s="314"/>
      <c r="N741" s="314"/>
      <c r="O741" s="314"/>
      <c r="P741" s="314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  <c r="AN741" s="321"/>
    </row>
    <row r="742" ht="15.75" customHeight="1">
      <c r="A742" s="314"/>
      <c r="B742" s="314"/>
      <c r="C742" s="314"/>
      <c r="D742" s="314"/>
      <c r="E742" s="314"/>
      <c r="F742" s="314"/>
      <c r="G742" s="314"/>
      <c r="H742" s="314"/>
      <c r="I742" s="314"/>
      <c r="J742" s="314"/>
      <c r="K742" s="321"/>
      <c r="L742" s="321"/>
      <c r="M742" s="314"/>
      <c r="N742" s="314"/>
      <c r="O742" s="314"/>
      <c r="P742" s="314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  <c r="AN742" s="321"/>
    </row>
    <row r="743" ht="15.75" customHeight="1">
      <c r="A743" s="314"/>
      <c r="B743" s="314"/>
      <c r="C743" s="314"/>
      <c r="D743" s="314"/>
      <c r="E743" s="314"/>
      <c r="F743" s="314"/>
      <c r="G743" s="314"/>
      <c r="H743" s="314"/>
      <c r="I743" s="314"/>
      <c r="J743" s="314"/>
      <c r="K743" s="321"/>
      <c r="L743" s="321"/>
      <c r="M743" s="314"/>
      <c r="N743" s="314"/>
      <c r="O743" s="314"/>
      <c r="P743" s="314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  <c r="AN743" s="321"/>
    </row>
    <row r="744" ht="15.75" customHeight="1">
      <c r="A744" s="314"/>
      <c r="B744" s="314"/>
      <c r="C744" s="314"/>
      <c r="D744" s="314"/>
      <c r="E744" s="314"/>
      <c r="F744" s="314"/>
      <c r="G744" s="314"/>
      <c r="H744" s="314"/>
      <c r="I744" s="314"/>
      <c r="J744" s="314"/>
      <c r="K744" s="321"/>
      <c r="L744" s="321"/>
      <c r="M744" s="314"/>
      <c r="N744" s="314"/>
      <c r="O744" s="314"/>
      <c r="P744" s="314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  <c r="AN744" s="321"/>
    </row>
    <row r="745" ht="15.75" customHeight="1">
      <c r="A745" s="314"/>
      <c r="B745" s="314"/>
      <c r="C745" s="314"/>
      <c r="D745" s="314"/>
      <c r="E745" s="314"/>
      <c r="F745" s="314"/>
      <c r="G745" s="314"/>
      <c r="H745" s="314"/>
      <c r="I745" s="314"/>
      <c r="J745" s="314"/>
      <c r="K745" s="321"/>
      <c r="L745" s="321"/>
      <c r="M745" s="314"/>
      <c r="N745" s="314"/>
      <c r="O745" s="314"/>
      <c r="P745" s="314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  <c r="AN745" s="321"/>
    </row>
    <row r="746" ht="15.75" customHeight="1">
      <c r="A746" s="314"/>
      <c r="B746" s="314"/>
      <c r="C746" s="314"/>
      <c r="D746" s="314"/>
      <c r="E746" s="314"/>
      <c r="F746" s="314"/>
      <c r="G746" s="314"/>
      <c r="H746" s="314"/>
      <c r="I746" s="314"/>
      <c r="J746" s="314"/>
      <c r="K746" s="321"/>
      <c r="L746" s="321"/>
      <c r="M746" s="314"/>
      <c r="N746" s="314"/>
      <c r="O746" s="314"/>
      <c r="P746" s="314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  <c r="AN746" s="321"/>
    </row>
    <row r="747" ht="15.75" customHeight="1">
      <c r="A747" s="314"/>
      <c r="B747" s="314"/>
      <c r="C747" s="314"/>
      <c r="D747" s="314"/>
      <c r="E747" s="314"/>
      <c r="F747" s="314"/>
      <c r="G747" s="314"/>
      <c r="H747" s="314"/>
      <c r="I747" s="314"/>
      <c r="J747" s="314"/>
      <c r="K747" s="321"/>
      <c r="L747" s="321"/>
      <c r="M747" s="314"/>
      <c r="N747" s="314"/>
      <c r="O747" s="314"/>
      <c r="P747" s="314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  <c r="AN747" s="321"/>
    </row>
    <row r="748" ht="15.75" customHeight="1">
      <c r="A748" s="314"/>
      <c r="B748" s="314"/>
      <c r="C748" s="314"/>
      <c r="D748" s="314"/>
      <c r="E748" s="314"/>
      <c r="F748" s="314"/>
      <c r="G748" s="314"/>
      <c r="H748" s="314"/>
      <c r="I748" s="314"/>
      <c r="J748" s="314"/>
      <c r="K748" s="321"/>
      <c r="L748" s="321"/>
      <c r="M748" s="314"/>
      <c r="N748" s="314"/>
      <c r="O748" s="314"/>
      <c r="P748" s="314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  <c r="AN748" s="321"/>
    </row>
    <row r="749" ht="15.75" customHeight="1">
      <c r="A749" s="314"/>
      <c r="B749" s="314"/>
      <c r="C749" s="314"/>
      <c r="D749" s="314"/>
      <c r="E749" s="314"/>
      <c r="F749" s="314"/>
      <c r="G749" s="314"/>
      <c r="H749" s="314"/>
      <c r="I749" s="314"/>
      <c r="J749" s="314"/>
      <c r="K749" s="321"/>
      <c r="L749" s="321"/>
      <c r="M749" s="314"/>
      <c r="N749" s="314"/>
      <c r="O749" s="314"/>
      <c r="P749" s="314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  <c r="AN749" s="321"/>
    </row>
    <row r="750" ht="15.75" customHeight="1">
      <c r="A750" s="314"/>
      <c r="B750" s="314"/>
      <c r="C750" s="314"/>
      <c r="D750" s="314"/>
      <c r="E750" s="314"/>
      <c r="F750" s="314"/>
      <c r="G750" s="314"/>
      <c r="H750" s="314"/>
      <c r="I750" s="314"/>
      <c r="J750" s="314"/>
      <c r="K750" s="321"/>
      <c r="L750" s="321"/>
      <c r="M750" s="314"/>
      <c r="N750" s="314"/>
      <c r="O750" s="314"/>
      <c r="P750" s="314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  <c r="AN750" s="321"/>
    </row>
    <row r="751" ht="15.75" customHeight="1">
      <c r="A751" s="314"/>
      <c r="B751" s="314"/>
      <c r="C751" s="314"/>
      <c r="D751" s="314"/>
      <c r="E751" s="314"/>
      <c r="F751" s="314"/>
      <c r="G751" s="314"/>
      <c r="H751" s="314"/>
      <c r="I751" s="314"/>
      <c r="J751" s="314"/>
      <c r="K751" s="321"/>
      <c r="L751" s="321"/>
      <c r="M751" s="314"/>
      <c r="N751" s="314"/>
      <c r="O751" s="314"/>
      <c r="P751" s="314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  <c r="AN751" s="321"/>
    </row>
    <row r="752" ht="15.75" customHeight="1">
      <c r="A752" s="314"/>
      <c r="B752" s="314"/>
      <c r="C752" s="314"/>
      <c r="D752" s="314"/>
      <c r="E752" s="314"/>
      <c r="F752" s="314"/>
      <c r="G752" s="314"/>
      <c r="H752" s="314"/>
      <c r="I752" s="314"/>
      <c r="J752" s="314"/>
      <c r="K752" s="321"/>
      <c r="L752" s="321"/>
      <c r="M752" s="314"/>
      <c r="N752" s="314"/>
      <c r="O752" s="314"/>
      <c r="P752" s="314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  <c r="AN752" s="321"/>
    </row>
    <row r="753" ht="15.75" customHeight="1">
      <c r="A753" s="314"/>
      <c r="B753" s="314"/>
      <c r="C753" s="314"/>
      <c r="D753" s="314"/>
      <c r="E753" s="314"/>
      <c r="F753" s="314"/>
      <c r="G753" s="314"/>
      <c r="H753" s="314"/>
      <c r="I753" s="314"/>
      <c r="J753" s="314"/>
      <c r="K753" s="321"/>
      <c r="L753" s="321"/>
      <c r="M753" s="314"/>
      <c r="N753" s="314"/>
      <c r="O753" s="314"/>
      <c r="P753" s="314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  <c r="AN753" s="321"/>
    </row>
    <row r="754" ht="15.75" customHeight="1">
      <c r="A754" s="314"/>
      <c r="B754" s="314"/>
      <c r="C754" s="314"/>
      <c r="D754" s="314"/>
      <c r="E754" s="314"/>
      <c r="F754" s="314"/>
      <c r="G754" s="314"/>
      <c r="H754" s="314"/>
      <c r="I754" s="314"/>
      <c r="J754" s="314"/>
      <c r="K754" s="321"/>
      <c r="L754" s="321"/>
      <c r="M754" s="314"/>
      <c r="N754" s="314"/>
      <c r="O754" s="314"/>
      <c r="P754" s="314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  <c r="AN754" s="321"/>
    </row>
    <row r="755" ht="15.75" customHeight="1">
      <c r="A755" s="314"/>
      <c r="B755" s="314"/>
      <c r="C755" s="314"/>
      <c r="D755" s="314"/>
      <c r="E755" s="314"/>
      <c r="F755" s="314"/>
      <c r="G755" s="314"/>
      <c r="H755" s="314"/>
      <c r="I755" s="314"/>
      <c r="J755" s="314"/>
      <c r="K755" s="321"/>
      <c r="L755" s="321"/>
      <c r="M755" s="314"/>
      <c r="N755" s="314"/>
      <c r="O755" s="314"/>
      <c r="P755" s="314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  <c r="AN755" s="321"/>
    </row>
    <row r="756" ht="15.75" customHeight="1">
      <c r="A756" s="314"/>
      <c r="B756" s="314"/>
      <c r="C756" s="314"/>
      <c r="D756" s="314"/>
      <c r="E756" s="314"/>
      <c r="F756" s="314"/>
      <c r="G756" s="314"/>
      <c r="H756" s="314"/>
      <c r="I756" s="314"/>
      <c r="J756" s="314"/>
      <c r="K756" s="321"/>
      <c r="L756" s="321"/>
      <c r="M756" s="314"/>
      <c r="N756" s="314"/>
      <c r="O756" s="314"/>
      <c r="P756" s="314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  <c r="AN756" s="321"/>
    </row>
    <row r="757" ht="15.75" customHeight="1">
      <c r="A757" s="314"/>
      <c r="B757" s="314"/>
      <c r="C757" s="314"/>
      <c r="D757" s="314"/>
      <c r="E757" s="314"/>
      <c r="F757" s="314"/>
      <c r="G757" s="314"/>
      <c r="H757" s="314"/>
      <c r="I757" s="314"/>
      <c r="J757" s="314"/>
      <c r="K757" s="321"/>
      <c r="L757" s="321"/>
      <c r="M757" s="314"/>
      <c r="N757" s="314"/>
      <c r="O757" s="314"/>
      <c r="P757" s="314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  <c r="AN757" s="321"/>
    </row>
    <row r="758" ht="15.75" customHeight="1">
      <c r="A758" s="314"/>
      <c r="B758" s="314"/>
      <c r="C758" s="314"/>
      <c r="D758" s="314"/>
      <c r="E758" s="314"/>
      <c r="F758" s="314"/>
      <c r="G758" s="314"/>
      <c r="H758" s="314"/>
      <c r="I758" s="314"/>
      <c r="J758" s="314"/>
      <c r="K758" s="321"/>
      <c r="L758" s="321"/>
      <c r="M758" s="314"/>
      <c r="N758" s="314"/>
      <c r="O758" s="314"/>
      <c r="P758" s="314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  <c r="AN758" s="321"/>
    </row>
    <row r="759" ht="15.75" customHeight="1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21"/>
      <c r="L759" s="321"/>
      <c r="M759" s="314"/>
      <c r="N759" s="314"/>
      <c r="O759" s="314"/>
      <c r="P759" s="314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  <c r="AN759" s="321"/>
    </row>
    <row r="760" ht="15.75" customHeight="1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21"/>
      <c r="L760" s="321"/>
      <c r="M760" s="314"/>
      <c r="N760" s="314"/>
      <c r="O760" s="314"/>
      <c r="P760" s="314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  <c r="AN760" s="321"/>
    </row>
    <row r="761" ht="15.75" customHeight="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21"/>
      <c r="L761" s="321"/>
      <c r="M761" s="314"/>
      <c r="N761" s="314"/>
      <c r="O761" s="314"/>
      <c r="P761" s="314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  <c r="AN761" s="321"/>
    </row>
    <row r="762" ht="15.75" customHeight="1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21"/>
      <c r="L762" s="321"/>
      <c r="M762" s="314"/>
      <c r="N762" s="314"/>
      <c r="O762" s="314"/>
      <c r="P762" s="314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  <c r="AN762" s="321"/>
    </row>
    <row r="763" ht="15.75" customHeight="1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21"/>
      <c r="L763" s="321"/>
      <c r="M763" s="314"/>
      <c r="N763" s="314"/>
      <c r="O763" s="314"/>
      <c r="P763" s="314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  <c r="AN763" s="321"/>
    </row>
    <row r="764" ht="15.75" customHeight="1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21"/>
      <c r="L764" s="321"/>
      <c r="M764" s="314"/>
      <c r="N764" s="314"/>
      <c r="O764" s="314"/>
      <c r="P764" s="314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  <c r="AN764" s="321"/>
    </row>
    <row r="765" ht="15.75" customHeight="1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21"/>
      <c r="L765" s="321"/>
      <c r="M765" s="314"/>
      <c r="N765" s="314"/>
      <c r="O765" s="314"/>
      <c r="P765" s="314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  <c r="AN765" s="321"/>
    </row>
    <row r="766" ht="15.75" customHeight="1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21"/>
      <c r="L766" s="321"/>
      <c r="M766" s="314"/>
      <c r="N766" s="314"/>
      <c r="O766" s="314"/>
      <c r="P766" s="314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  <c r="AN766" s="321"/>
    </row>
    <row r="767" ht="15.75" customHeight="1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21"/>
      <c r="L767" s="321"/>
      <c r="M767" s="314"/>
      <c r="N767" s="314"/>
      <c r="O767" s="314"/>
      <c r="P767" s="314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  <c r="AN767" s="321"/>
    </row>
    <row r="768" ht="15.75" customHeight="1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21"/>
      <c r="L768" s="321"/>
      <c r="M768" s="314"/>
      <c r="N768" s="314"/>
      <c r="O768" s="314"/>
      <c r="P768" s="314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  <c r="AN768" s="321"/>
    </row>
    <row r="769" ht="15.75" customHeight="1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21"/>
      <c r="L769" s="321"/>
      <c r="M769" s="314"/>
      <c r="N769" s="314"/>
      <c r="O769" s="314"/>
      <c r="P769" s="314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  <c r="AN769" s="321"/>
    </row>
    <row r="770" ht="15.75" customHeight="1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21"/>
      <c r="L770" s="321"/>
      <c r="M770" s="314"/>
      <c r="N770" s="314"/>
      <c r="O770" s="314"/>
      <c r="P770" s="314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  <c r="AN770" s="321"/>
    </row>
    <row r="771" ht="15.75" customHeight="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21"/>
      <c r="L771" s="321"/>
      <c r="M771" s="314"/>
      <c r="N771" s="314"/>
      <c r="O771" s="314"/>
      <c r="P771" s="314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  <c r="AN771" s="321"/>
    </row>
    <row r="772" ht="15.75" customHeight="1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21"/>
      <c r="L772" s="321"/>
      <c r="M772" s="314"/>
      <c r="N772" s="314"/>
      <c r="O772" s="314"/>
      <c r="P772" s="314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  <c r="AN772" s="321"/>
    </row>
    <row r="773" ht="15.75" customHeight="1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21"/>
      <c r="L773" s="321"/>
      <c r="M773" s="314"/>
      <c r="N773" s="314"/>
      <c r="O773" s="314"/>
      <c r="P773" s="314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  <c r="AN773" s="321"/>
    </row>
    <row r="774" ht="15.75" customHeight="1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21"/>
      <c r="L774" s="321"/>
      <c r="M774" s="314"/>
      <c r="N774" s="314"/>
      <c r="O774" s="314"/>
      <c r="P774" s="314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  <c r="AN774" s="321"/>
    </row>
    <row r="775" ht="15.75" customHeight="1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21"/>
      <c r="L775" s="321"/>
      <c r="M775" s="314"/>
      <c r="N775" s="314"/>
      <c r="O775" s="314"/>
      <c r="P775" s="314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  <c r="AN775" s="321"/>
    </row>
    <row r="776" ht="15.75" customHeight="1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21"/>
      <c r="L776" s="321"/>
      <c r="M776" s="314"/>
      <c r="N776" s="314"/>
      <c r="O776" s="314"/>
      <c r="P776" s="314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  <c r="AN776" s="321"/>
    </row>
    <row r="777" ht="15.75" customHeight="1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21"/>
      <c r="L777" s="321"/>
      <c r="M777" s="314"/>
      <c r="N777" s="314"/>
      <c r="O777" s="314"/>
      <c r="P777" s="314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  <c r="AN777" s="321"/>
    </row>
    <row r="778" ht="15.75" customHeight="1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21"/>
      <c r="L778" s="321"/>
      <c r="M778" s="314"/>
      <c r="N778" s="314"/>
      <c r="O778" s="314"/>
      <c r="P778" s="314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  <c r="AN778" s="321"/>
    </row>
    <row r="779" ht="15.75" customHeight="1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21"/>
      <c r="L779" s="321"/>
      <c r="M779" s="314"/>
      <c r="N779" s="314"/>
      <c r="O779" s="314"/>
      <c r="P779" s="314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  <c r="AN779" s="321"/>
    </row>
    <row r="780" ht="15.75" customHeight="1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21"/>
      <c r="L780" s="321"/>
      <c r="M780" s="314"/>
      <c r="N780" s="314"/>
      <c r="O780" s="314"/>
      <c r="P780" s="314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  <c r="AN780" s="321"/>
    </row>
    <row r="781" ht="15.75" customHeight="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21"/>
      <c r="L781" s="321"/>
      <c r="M781" s="314"/>
      <c r="N781" s="314"/>
      <c r="O781" s="314"/>
      <c r="P781" s="314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  <c r="AN781" s="321"/>
    </row>
    <row r="782" ht="15.75" customHeight="1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21"/>
      <c r="L782" s="321"/>
      <c r="M782" s="314"/>
      <c r="N782" s="314"/>
      <c r="O782" s="314"/>
      <c r="P782" s="314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  <c r="AN782" s="321"/>
    </row>
    <row r="783" ht="15.75" customHeight="1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21"/>
      <c r="L783" s="321"/>
      <c r="M783" s="314"/>
      <c r="N783" s="314"/>
      <c r="O783" s="314"/>
      <c r="P783" s="314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  <c r="AN783" s="321"/>
    </row>
    <row r="784" ht="15.75" customHeight="1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21"/>
      <c r="L784" s="321"/>
      <c r="M784" s="314"/>
      <c r="N784" s="314"/>
      <c r="O784" s="314"/>
      <c r="P784" s="314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  <c r="AN784" s="321"/>
    </row>
    <row r="785" ht="15.75" customHeight="1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21"/>
      <c r="L785" s="321"/>
      <c r="M785" s="314"/>
      <c r="N785" s="314"/>
      <c r="O785" s="314"/>
      <c r="P785" s="314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  <c r="AN785" s="321"/>
    </row>
    <row r="786" ht="15.75" customHeight="1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21"/>
      <c r="L786" s="321"/>
      <c r="M786" s="314"/>
      <c r="N786" s="314"/>
      <c r="O786" s="314"/>
      <c r="P786" s="314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  <c r="AN786" s="321"/>
    </row>
    <row r="787" ht="15.75" customHeight="1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21"/>
      <c r="L787" s="321"/>
      <c r="M787" s="314"/>
      <c r="N787" s="314"/>
      <c r="O787" s="314"/>
      <c r="P787" s="314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  <c r="AN787" s="321"/>
    </row>
    <row r="788" ht="15.75" customHeight="1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21"/>
      <c r="L788" s="321"/>
      <c r="M788" s="314"/>
      <c r="N788" s="314"/>
      <c r="O788" s="314"/>
      <c r="P788" s="314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  <c r="AN788" s="321"/>
    </row>
    <row r="789" ht="15.75" customHeight="1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21"/>
      <c r="L789" s="321"/>
      <c r="M789" s="314"/>
      <c r="N789" s="314"/>
      <c r="O789" s="314"/>
      <c r="P789" s="314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  <c r="AN789" s="321"/>
    </row>
    <row r="790" ht="15.75" customHeight="1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21"/>
      <c r="L790" s="321"/>
      <c r="M790" s="314"/>
      <c r="N790" s="314"/>
      <c r="O790" s="314"/>
      <c r="P790" s="314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  <c r="AN790" s="321"/>
    </row>
    <row r="791" ht="15.75" customHeight="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21"/>
      <c r="L791" s="321"/>
      <c r="M791" s="314"/>
      <c r="N791" s="314"/>
      <c r="O791" s="314"/>
      <c r="P791" s="314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  <c r="AN791" s="321"/>
    </row>
    <row r="792" ht="15.75" customHeight="1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21"/>
      <c r="L792" s="321"/>
      <c r="M792" s="314"/>
      <c r="N792" s="314"/>
      <c r="O792" s="314"/>
      <c r="P792" s="314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  <c r="AN792" s="321"/>
    </row>
    <row r="793" ht="15.75" customHeight="1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21"/>
      <c r="L793" s="321"/>
      <c r="M793" s="314"/>
      <c r="N793" s="314"/>
      <c r="O793" s="314"/>
      <c r="P793" s="314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  <c r="AN793" s="321"/>
    </row>
    <row r="794" ht="15.75" customHeight="1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21"/>
      <c r="L794" s="321"/>
      <c r="M794" s="314"/>
      <c r="N794" s="314"/>
      <c r="O794" s="314"/>
      <c r="P794" s="314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  <c r="AN794" s="321"/>
    </row>
    <row r="795" ht="15.75" customHeight="1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21"/>
      <c r="L795" s="321"/>
      <c r="M795" s="314"/>
      <c r="N795" s="314"/>
      <c r="O795" s="314"/>
      <c r="P795" s="314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  <c r="AN795" s="321"/>
    </row>
    <row r="796" ht="15.75" customHeight="1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21"/>
      <c r="L796" s="321"/>
      <c r="M796" s="314"/>
      <c r="N796" s="314"/>
      <c r="O796" s="314"/>
      <c r="P796" s="314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  <c r="AN796" s="321"/>
    </row>
    <row r="797" ht="15.75" customHeight="1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21"/>
      <c r="L797" s="321"/>
      <c r="M797" s="314"/>
      <c r="N797" s="314"/>
      <c r="O797" s="314"/>
      <c r="P797" s="314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  <c r="AN797" s="321"/>
    </row>
    <row r="798" ht="15.75" customHeight="1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21"/>
      <c r="L798" s="321"/>
      <c r="M798" s="314"/>
      <c r="N798" s="314"/>
      <c r="O798" s="314"/>
      <c r="P798" s="314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  <c r="AN798" s="321"/>
    </row>
    <row r="799" ht="15.75" customHeight="1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21"/>
      <c r="L799" s="321"/>
      <c r="M799" s="314"/>
      <c r="N799" s="314"/>
      <c r="O799" s="314"/>
      <c r="P799" s="314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  <c r="AN799" s="321"/>
    </row>
    <row r="800" ht="15.75" customHeight="1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21"/>
      <c r="L800" s="321"/>
      <c r="M800" s="314"/>
      <c r="N800" s="314"/>
      <c r="O800" s="314"/>
      <c r="P800" s="314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  <c r="AN800" s="321"/>
    </row>
    <row r="801" ht="15.75" customHeight="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21"/>
      <c r="L801" s="321"/>
      <c r="M801" s="314"/>
      <c r="N801" s="314"/>
      <c r="O801" s="314"/>
      <c r="P801" s="314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  <c r="AN801" s="321"/>
    </row>
    <row r="802" ht="15.75" customHeight="1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21"/>
      <c r="L802" s="321"/>
      <c r="M802" s="314"/>
      <c r="N802" s="314"/>
      <c r="O802" s="314"/>
      <c r="P802" s="314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  <c r="AN802" s="321"/>
    </row>
    <row r="803" ht="15.75" customHeight="1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21"/>
      <c r="L803" s="321"/>
      <c r="M803" s="314"/>
      <c r="N803" s="314"/>
      <c r="O803" s="314"/>
      <c r="P803" s="314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  <c r="AN803" s="321"/>
    </row>
    <row r="804" ht="15.75" customHeight="1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21"/>
      <c r="L804" s="321"/>
      <c r="M804" s="314"/>
      <c r="N804" s="314"/>
      <c r="O804" s="314"/>
      <c r="P804" s="314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  <c r="AN804" s="321"/>
    </row>
    <row r="805" ht="15.75" customHeight="1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21"/>
      <c r="L805" s="321"/>
      <c r="M805" s="314"/>
      <c r="N805" s="314"/>
      <c r="O805" s="314"/>
      <c r="P805" s="314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  <c r="AN805" s="321"/>
    </row>
    <row r="806" ht="15.75" customHeight="1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21"/>
      <c r="L806" s="321"/>
      <c r="M806" s="314"/>
      <c r="N806" s="314"/>
      <c r="O806" s="314"/>
      <c r="P806" s="314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  <c r="AN806" s="321"/>
    </row>
    <row r="807" ht="15.75" customHeight="1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21"/>
      <c r="L807" s="321"/>
      <c r="M807" s="314"/>
      <c r="N807" s="314"/>
      <c r="O807" s="314"/>
      <c r="P807" s="314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  <c r="AN807" s="321"/>
    </row>
    <row r="808" ht="15.75" customHeight="1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21"/>
      <c r="L808" s="321"/>
      <c r="M808" s="314"/>
      <c r="N808" s="314"/>
      <c r="O808" s="314"/>
      <c r="P808" s="314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  <c r="AN808" s="321"/>
    </row>
    <row r="809" ht="15.75" customHeight="1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21"/>
      <c r="L809" s="321"/>
      <c r="M809" s="314"/>
      <c r="N809" s="314"/>
      <c r="O809" s="314"/>
      <c r="P809" s="314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  <c r="AN809" s="321"/>
    </row>
    <row r="810" ht="15.75" customHeight="1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21"/>
      <c r="L810" s="321"/>
      <c r="M810" s="314"/>
      <c r="N810" s="314"/>
      <c r="O810" s="314"/>
      <c r="P810" s="314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  <c r="AN810" s="321"/>
    </row>
    <row r="811" ht="15.75" customHeight="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21"/>
      <c r="L811" s="321"/>
      <c r="M811" s="314"/>
      <c r="N811" s="314"/>
      <c r="O811" s="314"/>
      <c r="P811" s="314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  <c r="AN811" s="321"/>
    </row>
    <row r="812" ht="15.75" customHeight="1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21"/>
      <c r="L812" s="321"/>
      <c r="M812" s="314"/>
      <c r="N812" s="314"/>
      <c r="O812" s="314"/>
      <c r="P812" s="314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  <c r="AN812" s="321"/>
    </row>
    <row r="813" ht="15.75" customHeight="1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21"/>
      <c r="L813" s="321"/>
      <c r="M813" s="314"/>
      <c r="N813" s="314"/>
      <c r="O813" s="314"/>
      <c r="P813" s="314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  <c r="AN813" s="321"/>
    </row>
    <row r="814" ht="15.75" customHeight="1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21"/>
      <c r="L814" s="321"/>
      <c r="M814" s="314"/>
      <c r="N814" s="314"/>
      <c r="O814" s="314"/>
      <c r="P814" s="314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  <c r="AN814" s="321"/>
    </row>
    <row r="815" ht="15.75" customHeight="1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21"/>
      <c r="L815" s="321"/>
      <c r="M815" s="314"/>
      <c r="N815" s="314"/>
      <c r="O815" s="314"/>
      <c r="P815" s="314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  <c r="AN815" s="321"/>
    </row>
    <row r="816" ht="15.75" customHeight="1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21"/>
      <c r="L816" s="321"/>
      <c r="M816" s="314"/>
      <c r="N816" s="314"/>
      <c r="O816" s="314"/>
      <c r="P816" s="314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  <c r="AN816" s="321"/>
    </row>
    <row r="817" ht="15.75" customHeight="1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21"/>
      <c r="L817" s="321"/>
      <c r="M817" s="314"/>
      <c r="N817" s="314"/>
      <c r="O817" s="314"/>
      <c r="P817" s="314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  <c r="AN817" s="321"/>
    </row>
    <row r="818" ht="15.75" customHeight="1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21"/>
      <c r="L818" s="321"/>
      <c r="M818" s="314"/>
      <c r="N818" s="314"/>
      <c r="O818" s="314"/>
      <c r="P818" s="314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  <c r="AN818" s="321"/>
    </row>
    <row r="819" ht="15.75" customHeight="1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21"/>
      <c r="L819" s="321"/>
      <c r="M819" s="314"/>
      <c r="N819" s="314"/>
      <c r="O819" s="314"/>
      <c r="P819" s="314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  <c r="AN819" s="321"/>
    </row>
    <row r="820" ht="15.75" customHeight="1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21"/>
      <c r="L820" s="321"/>
      <c r="M820" s="314"/>
      <c r="N820" s="314"/>
      <c r="O820" s="314"/>
      <c r="P820" s="314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  <c r="AN820" s="321"/>
    </row>
    <row r="821" ht="15.75" customHeight="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21"/>
      <c r="L821" s="321"/>
      <c r="M821" s="314"/>
      <c r="N821" s="314"/>
      <c r="O821" s="314"/>
      <c r="P821" s="314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  <c r="AN821" s="321"/>
    </row>
    <row r="822" ht="15.75" customHeight="1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21"/>
      <c r="L822" s="321"/>
      <c r="M822" s="314"/>
      <c r="N822" s="314"/>
      <c r="O822" s="314"/>
      <c r="P822" s="314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  <c r="AN822" s="321"/>
    </row>
    <row r="823" ht="15.75" customHeight="1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21"/>
      <c r="L823" s="321"/>
      <c r="M823" s="314"/>
      <c r="N823" s="314"/>
      <c r="O823" s="314"/>
      <c r="P823" s="314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  <c r="AN823" s="321"/>
    </row>
    <row r="824" ht="15.75" customHeight="1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21"/>
      <c r="L824" s="321"/>
      <c r="M824" s="314"/>
      <c r="N824" s="314"/>
      <c r="O824" s="314"/>
      <c r="P824" s="314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  <c r="AN824" s="321"/>
    </row>
    <row r="825" ht="15.75" customHeight="1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21"/>
      <c r="L825" s="321"/>
      <c r="M825" s="314"/>
      <c r="N825" s="314"/>
      <c r="O825" s="314"/>
      <c r="P825" s="314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  <c r="AN825" s="321"/>
    </row>
    <row r="826" ht="15.75" customHeight="1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21"/>
      <c r="L826" s="321"/>
      <c r="M826" s="314"/>
      <c r="N826" s="314"/>
      <c r="O826" s="314"/>
      <c r="P826" s="314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  <c r="AN826" s="321"/>
    </row>
    <row r="827" ht="15.75" customHeight="1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21"/>
      <c r="L827" s="321"/>
      <c r="M827" s="314"/>
      <c r="N827" s="314"/>
      <c r="O827" s="314"/>
      <c r="P827" s="314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  <c r="AN827" s="321"/>
    </row>
    <row r="828" ht="15.75" customHeight="1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21"/>
      <c r="L828" s="321"/>
      <c r="M828" s="314"/>
      <c r="N828" s="314"/>
      <c r="O828" s="314"/>
      <c r="P828" s="314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  <c r="AN828" s="321"/>
    </row>
    <row r="829" ht="15.75" customHeight="1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21"/>
      <c r="L829" s="321"/>
      <c r="M829" s="314"/>
      <c r="N829" s="314"/>
      <c r="O829" s="314"/>
      <c r="P829" s="314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  <c r="AN829" s="321"/>
    </row>
    <row r="830" ht="15.75" customHeight="1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21"/>
      <c r="L830" s="321"/>
      <c r="M830" s="314"/>
      <c r="N830" s="314"/>
      <c r="O830" s="314"/>
      <c r="P830" s="314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  <c r="AN830" s="321"/>
    </row>
    <row r="831" ht="15.75" customHeight="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21"/>
      <c r="L831" s="321"/>
      <c r="M831" s="314"/>
      <c r="N831" s="314"/>
      <c r="O831" s="314"/>
      <c r="P831" s="314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  <c r="AN831" s="321"/>
    </row>
    <row r="832" ht="15.75" customHeight="1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21"/>
      <c r="L832" s="321"/>
      <c r="M832" s="314"/>
      <c r="N832" s="314"/>
      <c r="O832" s="314"/>
      <c r="P832" s="314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  <c r="AN832" s="321"/>
    </row>
    <row r="833" ht="15.75" customHeight="1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21"/>
      <c r="L833" s="321"/>
      <c r="M833" s="314"/>
      <c r="N833" s="314"/>
      <c r="O833" s="314"/>
      <c r="P833" s="314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  <c r="AN833" s="321"/>
    </row>
    <row r="834" ht="15.75" customHeight="1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21"/>
      <c r="L834" s="321"/>
      <c r="M834" s="314"/>
      <c r="N834" s="314"/>
      <c r="O834" s="314"/>
      <c r="P834" s="314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  <c r="AN834" s="321"/>
    </row>
    <row r="835" ht="15.75" customHeight="1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21"/>
      <c r="L835" s="321"/>
      <c r="M835" s="314"/>
      <c r="N835" s="314"/>
      <c r="O835" s="314"/>
      <c r="P835" s="314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  <c r="AN835" s="321"/>
    </row>
    <row r="836" ht="15.75" customHeight="1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21"/>
      <c r="L836" s="321"/>
      <c r="M836" s="314"/>
      <c r="N836" s="314"/>
      <c r="O836" s="314"/>
      <c r="P836" s="314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  <c r="AN836" s="321"/>
    </row>
    <row r="837" ht="15.75" customHeight="1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21"/>
      <c r="L837" s="321"/>
      <c r="M837" s="314"/>
      <c r="N837" s="314"/>
      <c r="O837" s="314"/>
      <c r="P837" s="314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  <c r="AN837" s="321"/>
    </row>
    <row r="838" ht="15.75" customHeight="1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21"/>
      <c r="L838" s="321"/>
      <c r="M838" s="314"/>
      <c r="N838" s="314"/>
      <c r="O838" s="314"/>
      <c r="P838" s="314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  <c r="AN838" s="321"/>
    </row>
    <row r="839" ht="15.75" customHeight="1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21"/>
      <c r="L839" s="321"/>
      <c r="M839" s="314"/>
      <c r="N839" s="314"/>
      <c r="O839" s="314"/>
      <c r="P839" s="314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  <c r="AN839" s="321"/>
    </row>
    <row r="840" ht="15.75" customHeight="1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21"/>
      <c r="L840" s="321"/>
      <c r="M840" s="314"/>
      <c r="N840" s="314"/>
      <c r="O840" s="314"/>
      <c r="P840" s="314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  <c r="AN840" s="321"/>
    </row>
    <row r="841" ht="15.75" customHeight="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21"/>
      <c r="L841" s="321"/>
      <c r="M841" s="314"/>
      <c r="N841" s="314"/>
      <c r="O841" s="314"/>
      <c r="P841" s="314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  <c r="AN841" s="321"/>
    </row>
    <row r="842" ht="15.75" customHeight="1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21"/>
      <c r="L842" s="321"/>
      <c r="M842" s="314"/>
      <c r="N842" s="314"/>
      <c r="O842" s="314"/>
      <c r="P842" s="314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  <c r="AN842" s="321"/>
    </row>
    <row r="843" ht="15.75" customHeight="1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21"/>
      <c r="L843" s="321"/>
      <c r="M843" s="314"/>
      <c r="N843" s="314"/>
      <c r="O843" s="314"/>
      <c r="P843" s="314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  <c r="AN843" s="321"/>
    </row>
    <row r="844" ht="15.75" customHeight="1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21"/>
      <c r="L844" s="321"/>
      <c r="M844" s="314"/>
      <c r="N844" s="314"/>
      <c r="O844" s="314"/>
      <c r="P844" s="314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  <c r="AN844" s="321"/>
    </row>
    <row r="845" ht="15.75" customHeight="1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21"/>
      <c r="L845" s="321"/>
      <c r="M845" s="314"/>
      <c r="N845" s="314"/>
      <c r="O845" s="314"/>
      <c r="P845" s="314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  <c r="AN845" s="321"/>
    </row>
    <row r="846" ht="15.75" customHeight="1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21"/>
      <c r="L846" s="321"/>
      <c r="M846" s="314"/>
      <c r="N846" s="314"/>
      <c r="O846" s="314"/>
      <c r="P846" s="314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  <c r="AN846" s="321"/>
    </row>
    <row r="847" ht="15.75" customHeight="1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21"/>
      <c r="L847" s="321"/>
      <c r="M847" s="314"/>
      <c r="N847" s="314"/>
      <c r="O847" s="314"/>
      <c r="P847" s="314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  <c r="AN847" s="321"/>
    </row>
    <row r="848" ht="15.75" customHeight="1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21"/>
      <c r="L848" s="321"/>
      <c r="M848" s="314"/>
      <c r="N848" s="314"/>
      <c r="O848" s="314"/>
      <c r="P848" s="314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  <c r="AN848" s="321"/>
    </row>
    <row r="849" ht="15.75" customHeight="1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21"/>
      <c r="L849" s="321"/>
      <c r="M849" s="314"/>
      <c r="N849" s="314"/>
      <c r="O849" s="314"/>
      <c r="P849" s="314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  <c r="AN849" s="321"/>
    </row>
    <row r="850" ht="15.75" customHeight="1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21"/>
      <c r="L850" s="321"/>
      <c r="M850" s="314"/>
      <c r="N850" s="314"/>
      <c r="O850" s="314"/>
      <c r="P850" s="314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  <c r="AN850" s="321"/>
    </row>
    <row r="851" ht="15.75" customHeight="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21"/>
      <c r="L851" s="321"/>
      <c r="M851" s="314"/>
      <c r="N851" s="314"/>
      <c r="O851" s="314"/>
      <c r="P851" s="314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  <c r="AN851" s="321"/>
    </row>
    <row r="852" ht="15.75" customHeight="1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21"/>
      <c r="L852" s="321"/>
      <c r="M852" s="314"/>
      <c r="N852" s="314"/>
      <c r="O852" s="314"/>
      <c r="P852" s="314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  <c r="AN852" s="321"/>
    </row>
    <row r="853" ht="15.75" customHeight="1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21"/>
      <c r="L853" s="321"/>
      <c r="M853" s="314"/>
      <c r="N853" s="314"/>
      <c r="O853" s="314"/>
      <c r="P853" s="314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  <c r="AN853" s="321"/>
    </row>
    <row r="854" ht="15.75" customHeight="1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21"/>
      <c r="L854" s="321"/>
      <c r="M854" s="314"/>
      <c r="N854" s="314"/>
      <c r="O854" s="314"/>
      <c r="P854" s="314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  <c r="AN854" s="321"/>
    </row>
    <row r="855" ht="15.75" customHeight="1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21"/>
      <c r="L855" s="321"/>
      <c r="M855" s="314"/>
      <c r="N855" s="314"/>
      <c r="O855" s="314"/>
      <c r="P855" s="314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  <c r="AN855" s="321"/>
    </row>
    <row r="856" ht="15.75" customHeight="1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21"/>
      <c r="L856" s="321"/>
      <c r="M856" s="314"/>
      <c r="N856" s="314"/>
      <c r="O856" s="314"/>
      <c r="P856" s="314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  <c r="AN856" s="321"/>
    </row>
    <row r="857" ht="15.75" customHeight="1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21"/>
      <c r="L857" s="321"/>
      <c r="M857" s="314"/>
      <c r="N857" s="314"/>
      <c r="O857" s="314"/>
      <c r="P857" s="314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  <c r="AN857" s="321"/>
    </row>
    <row r="858" ht="15.75" customHeight="1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21"/>
      <c r="L858" s="321"/>
      <c r="M858" s="314"/>
      <c r="N858" s="314"/>
      <c r="O858" s="314"/>
      <c r="P858" s="314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  <c r="AN858" s="321"/>
    </row>
    <row r="859" ht="15.75" customHeight="1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21"/>
      <c r="L859" s="321"/>
      <c r="M859" s="314"/>
      <c r="N859" s="314"/>
      <c r="O859" s="314"/>
      <c r="P859" s="314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  <c r="AN859" s="321"/>
    </row>
    <row r="860" ht="15.75" customHeight="1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21"/>
      <c r="L860" s="321"/>
      <c r="M860" s="314"/>
      <c r="N860" s="314"/>
      <c r="O860" s="314"/>
      <c r="P860" s="314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  <c r="AN860" s="321"/>
    </row>
    <row r="861" ht="15.75" customHeight="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21"/>
      <c r="L861" s="321"/>
      <c r="M861" s="314"/>
      <c r="N861" s="314"/>
      <c r="O861" s="314"/>
      <c r="P861" s="314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  <c r="AN861" s="321"/>
    </row>
    <row r="862" ht="15.75" customHeight="1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21"/>
      <c r="L862" s="321"/>
      <c r="M862" s="314"/>
      <c r="N862" s="314"/>
      <c r="O862" s="314"/>
      <c r="P862" s="314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  <c r="AN862" s="321"/>
    </row>
    <row r="863" ht="15.75" customHeight="1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21"/>
      <c r="L863" s="321"/>
      <c r="M863" s="314"/>
      <c r="N863" s="314"/>
      <c r="O863" s="314"/>
      <c r="P863" s="314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  <c r="AN863" s="321"/>
    </row>
    <row r="864" ht="15.75" customHeight="1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21"/>
      <c r="L864" s="321"/>
      <c r="M864" s="314"/>
      <c r="N864" s="314"/>
      <c r="O864" s="314"/>
      <c r="P864" s="314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  <c r="AN864" s="321"/>
    </row>
    <row r="865" ht="15.75" customHeight="1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21"/>
      <c r="L865" s="321"/>
      <c r="M865" s="314"/>
      <c r="N865" s="314"/>
      <c r="O865" s="314"/>
      <c r="P865" s="314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  <c r="AN865" s="321"/>
    </row>
    <row r="866" ht="15.75" customHeight="1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21"/>
      <c r="L866" s="321"/>
      <c r="M866" s="314"/>
      <c r="N866" s="314"/>
      <c r="O866" s="314"/>
      <c r="P866" s="314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  <c r="AN866" s="321"/>
    </row>
    <row r="867" ht="15.75" customHeight="1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21"/>
      <c r="L867" s="321"/>
      <c r="M867" s="314"/>
      <c r="N867" s="314"/>
      <c r="O867" s="314"/>
      <c r="P867" s="314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  <c r="AN867" s="321"/>
    </row>
    <row r="868" ht="15.75" customHeight="1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21"/>
      <c r="L868" s="321"/>
      <c r="M868" s="314"/>
      <c r="N868" s="314"/>
      <c r="O868" s="314"/>
      <c r="P868" s="314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  <c r="AN868" s="321"/>
    </row>
    <row r="869" ht="15.75" customHeight="1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21"/>
      <c r="L869" s="321"/>
      <c r="M869" s="314"/>
      <c r="N869" s="314"/>
      <c r="O869" s="314"/>
      <c r="P869" s="314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  <c r="AN869" s="321"/>
    </row>
    <row r="870" ht="15.75" customHeight="1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21"/>
      <c r="L870" s="321"/>
      <c r="M870" s="314"/>
      <c r="N870" s="314"/>
      <c r="O870" s="314"/>
      <c r="P870" s="314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  <c r="AN870" s="321"/>
    </row>
    <row r="871" ht="15.75" customHeight="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21"/>
      <c r="L871" s="321"/>
      <c r="M871" s="314"/>
      <c r="N871" s="314"/>
      <c r="O871" s="314"/>
      <c r="P871" s="314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  <c r="AN871" s="321"/>
    </row>
    <row r="872" ht="15.75" customHeight="1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21"/>
      <c r="L872" s="321"/>
      <c r="M872" s="314"/>
      <c r="N872" s="314"/>
      <c r="O872" s="314"/>
      <c r="P872" s="314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  <c r="AN872" s="321"/>
    </row>
    <row r="873" ht="15.75" customHeight="1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21"/>
      <c r="L873" s="321"/>
      <c r="M873" s="314"/>
      <c r="N873" s="314"/>
      <c r="O873" s="314"/>
      <c r="P873" s="314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  <c r="AN873" s="321"/>
    </row>
    <row r="874" ht="15.75" customHeight="1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21"/>
      <c r="L874" s="321"/>
      <c r="M874" s="314"/>
      <c r="N874" s="314"/>
      <c r="O874" s="314"/>
      <c r="P874" s="314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  <c r="AN874" s="321"/>
    </row>
    <row r="875" ht="15.75" customHeight="1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21"/>
      <c r="L875" s="321"/>
      <c r="M875" s="314"/>
      <c r="N875" s="314"/>
      <c r="O875" s="314"/>
      <c r="P875" s="314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  <c r="AN875" s="321"/>
    </row>
    <row r="876" ht="15.75" customHeight="1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21"/>
      <c r="L876" s="321"/>
      <c r="M876" s="314"/>
      <c r="N876" s="314"/>
      <c r="O876" s="314"/>
      <c r="P876" s="314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  <c r="AN876" s="321"/>
    </row>
    <row r="877" ht="15.75" customHeight="1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21"/>
      <c r="L877" s="321"/>
      <c r="M877" s="314"/>
      <c r="N877" s="314"/>
      <c r="O877" s="314"/>
      <c r="P877" s="314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  <c r="AN877" s="321"/>
    </row>
    <row r="878" ht="15.75" customHeight="1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21"/>
      <c r="L878" s="321"/>
      <c r="M878" s="314"/>
      <c r="N878" s="314"/>
      <c r="O878" s="314"/>
      <c r="P878" s="314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  <c r="AN878" s="321"/>
    </row>
    <row r="879" ht="15.75" customHeight="1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21"/>
      <c r="L879" s="321"/>
      <c r="M879" s="314"/>
      <c r="N879" s="314"/>
      <c r="O879" s="314"/>
      <c r="P879" s="314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  <c r="AN879" s="321"/>
    </row>
    <row r="880" ht="15.75" customHeight="1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21"/>
      <c r="L880" s="321"/>
      <c r="M880" s="314"/>
      <c r="N880" s="314"/>
      <c r="O880" s="314"/>
      <c r="P880" s="314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  <c r="AN880" s="321"/>
    </row>
    <row r="881" ht="15.75" customHeight="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21"/>
      <c r="L881" s="321"/>
      <c r="M881" s="314"/>
      <c r="N881" s="314"/>
      <c r="O881" s="314"/>
      <c r="P881" s="314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  <c r="AN881" s="321"/>
    </row>
    <row r="882" ht="15.75" customHeight="1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21"/>
      <c r="L882" s="321"/>
      <c r="M882" s="314"/>
      <c r="N882" s="314"/>
      <c r="O882" s="314"/>
      <c r="P882" s="314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  <c r="AN882" s="321"/>
    </row>
    <row r="883" ht="15.75" customHeight="1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21"/>
      <c r="L883" s="321"/>
      <c r="M883" s="314"/>
      <c r="N883" s="314"/>
      <c r="O883" s="314"/>
      <c r="P883" s="314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  <c r="AN883" s="321"/>
    </row>
    <row r="884" ht="15.75" customHeight="1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21"/>
      <c r="L884" s="321"/>
      <c r="M884" s="314"/>
      <c r="N884" s="314"/>
      <c r="O884" s="314"/>
      <c r="P884" s="314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  <c r="AN884" s="321"/>
    </row>
    <row r="885" ht="15.75" customHeight="1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21"/>
      <c r="L885" s="321"/>
      <c r="M885" s="314"/>
      <c r="N885" s="314"/>
      <c r="O885" s="314"/>
      <c r="P885" s="314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  <c r="AN885" s="321"/>
    </row>
    <row r="886" ht="15.75" customHeight="1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21"/>
      <c r="L886" s="321"/>
      <c r="M886" s="314"/>
      <c r="N886" s="314"/>
      <c r="O886" s="314"/>
      <c r="P886" s="314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  <c r="AN886" s="321"/>
    </row>
    <row r="887" ht="15.75" customHeight="1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21"/>
      <c r="L887" s="321"/>
      <c r="M887" s="314"/>
      <c r="N887" s="314"/>
      <c r="O887" s="314"/>
      <c r="P887" s="314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  <c r="AN887" s="321"/>
    </row>
    <row r="888" ht="15.75" customHeight="1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21"/>
      <c r="L888" s="321"/>
      <c r="M888" s="314"/>
      <c r="N888" s="314"/>
      <c r="O888" s="314"/>
      <c r="P888" s="314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  <c r="AN888" s="321"/>
    </row>
    <row r="889" ht="15.75" customHeight="1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21"/>
      <c r="L889" s="321"/>
      <c r="M889" s="314"/>
      <c r="N889" s="314"/>
      <c r="O889" s="314"/>
      <c r="P889" s="314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  <c r="AN889" s="321"/>
    </row>
    <row r="890" ht="15.75" customHeight="1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21"/>
      <c r="L890" s="321"/>
      <c r="M890" s="314"/>
      <c r="N890" s="314"/>
      <c r="O890" s="314"/>
      <c r="P890" s="314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  <c r="AN890" s="321"/>
    </row>
    <row r="891" ht="15.75" customHeight="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21"/>
      <c r="L891" s="321"/>
      <c r="M891" s="314"/>
      <c r="N891" s="314"/>
      <c r="O891" s="314"/>
      <c r="P891" s="314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  <c r="AN891" s="321"/>
    </row>
    <row r="892" ht="15.75" customHeight="1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21"/>
      <c r="L892" s="321"/>
      <c r="M892" s="314"/>
      <c r="N892" s="314"/>
      <c r="O892" s="314"/>
      <c r="P892" s="314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  <c r="AN892" s="321"/>
    </row>
    <row r="893" ht="15.75" customHeight="1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21"/>
      <c r="L893" s="321"/>
      <c r="M893" s="314"/>
      <c r="N893" s="314"/>
      <c r="O893" s="314"/>
      <c r="P893" s="314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  <c r="AN893" s="321"/>
    </row>
    <row r="894" ht="15.75" customHeight="1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21"/>
      <c r="L894" s="321"/>
      <c r="M894" s="314"/>
      <c r="N894" s="314"/>
      <c r="O894" s="314"/>
      <c r="P894" s="314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  <c r="AN894" s="321"/>
    </row>
    <row r="895" ht="15.75" customHeight="1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21"/>
      <c r="L895" s="321"/>
      <c r="M895" s="314"/>
      <c r="N895" s="314"/>
      <c r="O895" s="314"/>
      <c r="P895" s="314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  <c r="AN895" s="321"/>
    </row>
    <row r="896" ht="15.75" customHeight="1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21"/>
      <c r="L896" s="321"/>
      <c r="M896" s="314"/>
      <c r="N896" s="314"/>
      <c r="O896" s="314"/>
      <c r="P896" s="314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  <c r="AN896" s="321"/>
    </row>
    <row r="897" ht="15.75" customHeight="1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21"/>
      <c r="L897" s="321"/>
      <c r="M897" s="314"/>
      <c r="N897" s="314"/>
      <c r="O897" s="314"/>
      <c r="P897" s="314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  <c r="AN897" s="321"/>
    </row>
    <row r="898" ht="15.75" customHeight="1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21"/>
      <c r="L898" s="321"/>
      <c r="M898" s="314"/>
      <c r="N898" s="314"/>
      <c r="O898" s="314"/>
      <c r="P898" s="314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  <c r="AN898" s="321"/>
    </row>
    <row r="899" ht="15.75" customHeight="1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21"/>
      <c r="L899" s="321"/>
      <c r="M899" s="314"/>
      <c r="N899" s="314"/>
      <c r="O899" s="314"/>
      <c r="P899" s="314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  <c r="AN899" s="321"/>
    </row>
    <row r="900" ht="15.75" customHeight="1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21"/>
      <c r="L900" s="321"/>
      <c r="M900" s="314"/>
      <c r="N900" s="314"/>
      <c r="O900" s="314"/>
      <c r="P900" s="314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  <c r="AN900" s="321"/>
    </row>
    <row r="901" ht="15.75" customHeight="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21"/>
      <c r="L901" s="321"/>
      <c r="M901" s="314"/>
      <c r="N901" s="314"/>
      <c r="O901" s="314"/>
      <c r="P901" s="314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  <c r="AN901" s="321"/>
    </row>
    <row r="902" ht="15.75" customHeight="1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21"/>
      <c r="L902" s="321"/>
      <c r="M902" s="314"/>
      <c r="N902" s="314"/>
      <c r="O902" s="314"/>
      <c r="P902" s="314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  <c r="AN902" s="321"/>
    </row>
    <row r="903" ht="15.75" customHeight="1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21"/>
      <c r="L903" s="321"/>
      <c r="M903" s="314"/>
      <c r="N903" s="314"/>
      <c r="O903" s="314"/>
      <c r="P903" s="314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  <c r="AN903" s="321"/>
    </row>
    <row r="904" ht="15.75" customHeight="1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21"/>
      <c r="L904" s="321"/>
      <c r="M904" s="314"/>
      <c r="N904" s="314"/>
      <c r="O904" s="314"/>
      <c r="P904" s="314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  <c r="AN904" s="321"/>
    </row>
    <row r="905" ht="15.75" customHeight="1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21"/>
      <c r="L905" s="321"/>
      <c r="M905" s="314"/>
      <c r="N905" s="314"/>
      <c r="O905" s="314"/>
      <c r="P905" s="314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  <c r="AN905" s="321"/>
    </row>
    <row r="906" ht="15.75" customHeight="1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21"/>
      <c r="L906" s="321"/>
      <c r="M906" s="314"/>
      <c r="N906" s="314"/>
      <c r="O906" s="314"/>
      <c r="P906" s="314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  <c r="AN906" s="321"/>
    </row>
    <row r="907" ht="15.75" customHeight="1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21"/>
      <c r="L907" s="321"/>
      <c r="M907" s="314"/>
      <c r="N907" s="314"/>
      <c r="O907" s="314"/>
      <c r="P907" s="314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  <c r="AN907" s="321"/>
    </row>
    <row r="908" ht="15.75" customHeight="1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21"/>
      <c r="L908" s="321"/>
      <c r="M908" s="314"/>
      <c r="N908" s="314"/>
      <c r="O908" s="314"/>
      <c r="P908" s="314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  <c r="AN908" s="321"/>
    </row>
    <row r="909" ht="15.75" customHeight="1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21"/>
      <c r="L909" s="321"/>
      <c r="M909" s="314"/>
      <c r="N909" s="314"/>
      <c r="O909" s="314"/>
      <c r="P909" s="314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  <c r="AN909" s="321"/>
    </row>
    <row r="910" ht="15.75" customHeight="1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21"/>
      <c r="L910" s="321"/>
      <c r="M910" s="314"/>
      <c r="N910" s="314"/>
      <c r="O910" s="314"/>
      <c r="P910" s="314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  <c r="AN910" s="321"/>
    </row>
    <row r="911" ht="15.75" customHeight="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21"/>
      <c r="L911" s="321"/>
      <c r="M911" s="314"/>
      <c r="N911" s="314"/>
      <c r="O911" s="314"/>
      <c r="P911" s="314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  <c r="AN911" s="321"/>
    </row>
    <row r="912" ht="15.75" customHeight="1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21"/>
      <c r="L912" s="321"/>
      <c r="M912" s="314"/>
      <c r="N912" s="314"/>
      <c r="O912" s="314"/>
      <c r="P912" s="314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  <c r="AN912" s="321"/>
    </row>
    <row r="913" ht="15.75" customHeight="1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21"/>
      <c r="L913" s="321"/>
      <c r="M913" s="314"/>
      <c r="N913" s="314"/>
      <c r="O913" s="314"/>
      <c r="P913" s="314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  <c r="AN913" s="321"/>
    </row>
    <row r="914" ht="15.75" customHeight="1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21"/>
      <c r="L914" s="321"/>
      <c r="M914" s="314"/>
      <c r="N914" s="314"/>
      <c r="O914" s="314"/>
      <c r="P914" s="314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  <c r="AN914" s="321"/>
    </row>
    <row r="915" ht="15.75" customHeight="1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21"/>
      <c r="L915" s="321"/>
      <c r="M915" s="314"/>
      <c r="N915" s="314"/>
      <c r="O915" s="314"/>
      <c r="P915" s="314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  <c r="AN915" s="321"/>
    </row>
    <row r="916" ht="15.75" customHeight="1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21"/>
      <c r="L916" s="321"/>
      <c r="M916" s="314"/>
      <c r="N916" s="314"/>
      <c r="O916" s="314"/>
      <c r="P916" s="314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  <c r="AN916" s="321"/>
    </row>
    <row r="917" ht="15.75" customHeight="1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21"/>
      <c r="L917" s="321"/>
      <c r="M917" s="314"/>
      <c r="N917" s="314"/>
      <c r="O917" s="314"/>
      <c r="P917" s="314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  <c r="AN917" s="321"/>
    </row>
    <row r="918" ht="15.75" customHeight="1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21"/>
      <c r="L918" s="321"/>
      <c r="M918" s="314"/>
      <c r="N918" s="314"/>
      <c r="O918" s="314"/>
      <c r="P918" s="314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  <c r="AN918" s="321"/>
    </row>
    <row r="919" ht="15.75" customHeight="1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21"/>
      <c r="L919" s="321"/>
      <c r="M919" s="314"/>
      <c r="N919" s="314"/>
      <c r="O919" s="314"/>
      <c r="P919" s="314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  <c r="AN919" s="321"/>
    </row>
    <row r="920" ht="15.75" customHeight="1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21"/>
      <c r="L920" s="321"/>
      <c r="M920" s="314"/>
      <c r="N920" s="314"/>
      <c r="O920" s="314"/>
      <c r="P920" s="314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  <c r="AN920" s="321"/>
    </row>
    <row r="921" ht="15.75" customHeight="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21"/>
      <c r="L921" s="321"/>
      <c r="M921" s="314"/>
      <c r="N921" s="314"/>
      <c r="O921" s="314"/>
      <c r="P921" s="314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  <c r="AN921" s="321"/>
    </row>
    <row r="922" ht="15.75" customHeight="1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21"/>
      <c r="L922" s="321"/>
      <c r="M922" s="314"/>
      <c r="N922" s="314"/>
      <c r="O922" s="314"/>
      <c r="P922" s="314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  <c r="AN922" s="321"/>
    </row>
    <row r="923" ht="15.75" customHeight="1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21"/>
      <c r="L923" s="321"/>
      <c r="M923" s="314"/>
      <c r="N923" s="314"/>
      <c r="O923" s="314"/>
      <c r="P923" s="314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  <c r="AN923" s="321"/>
    </row>
    <row r="924" ht="15.75" customHeight="1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21"/>
      <c r="L924" s="321"/>
      <c r="M924" s="314"/>
      <c r="N924" s="314"/>
      <c r="O924" s="314"/>
      <c r="P924" s="314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  <c r="AN924" s="321"/>
    </row>
    <row r="925" ht="15.75" customHeight="1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21"/>
      <c r="L925" s="321"/>
      <c r="M925" s="314"/>
      <c r="N925" s="314"/>
      <c r="O925" s="314"/>
      <c r="P925" s="314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  <c r="AN925" s="321"/>
    </row>
    <row r="926" ht="15.75" customHeight="1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21"/>
      <c r="L926" s="321"/>
      <c r="M926" s="314"/>
      <c r="N926" s="314"/>
      <c r="O926" s="314"/>
      <c r="P926" s="314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  <c r="AN926" s="321"/>
    </row>
    <row r="927" ht="15.75" customHeight="1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21"/>
      <c r="L927" s="321"/>
      <c r="M927" s="314"/>
      <c r="N927" s="314"/>
      <c r="O927" s="314"/>
      <c r="P927" s="314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  <c r="AN927" s="321"/>
    </row>
    <row r="928" ht="15.75" customHeight="1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21"/>
      <c r="L928" s="321"/>
      <c r="M928" s="314"/>
      <c r="N928" s="314"/>
      <c r="O928" s="314"/>
      <c r="P928" s="314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  <c r="AN928" s="321"/>
    </row>
    <row r="929" ht="15.75" customHeight="1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21"/>
      <c r="L929" s="321"/>
      <c r="M929" s="314"/>
      <c r="N929" s="314"/>
      <c r="O929" s="314"/>
      <c r="P929" s="314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  <c r="AN929" s="321"/>
    </row>
    <row r="930" ht="15.75" customHeight="1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21"/>
      <c r="L930" s="321"/>
      <c r="M930" s="314"/>
      <c r="N930" s="314"/>
      <c r="O930" s="314"/>
      <c r="P930" s="314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  <c r="AN930" s="321"/>
    </row>
    <row r="931" ht="15.75" customHeight="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21"/>
      <c r="L931" s="321"/>
      <c r="M931" s="314"/>
      <c r="N931" s="314"/>
      <c r="O931" s="314"/>
      <c r="P931" s="314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  <c r="AN931" s="321"/>
    </row>
    <row r="932" ht="15.75" customHeight="1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21"/>
      <c r="L932" s="321"/>
      <c r="M932" s="314"/>
      <c r="N932" s="314"/>
      <c r="O932" s="314"/>
      <c r="P932" s="314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  <c r="AN932" s="321"/>
    </row>
    <row r="933" ht="15.75" customHeight="1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21"/>
      <c r="L933" s="321"/>
      <c r="M933" s="314"/>
      <c r="N933" s="314"/>
      <c r="O933" s="314"/>
      <c r="P933" s="314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  <c r="AN933" s="321"/>
    </row>
    <row r="934" ht="15.75" customHeight="1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21"/>
      <c r="L934" s="321"/>
      <c r="M934" s="314"/>
      <c r="N934" s="314"/>
      <c r="O934" s="314"/>
      <c r="P934" s="314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  <c r="AN934" s="321"/>
    </row>
    <row r="935" ht="15.75" customHeight="1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21"/>
      <c r="L935" s="321"/>
      <c r="M935" s="314"/>
      <c r="N935" s="314"/>
      <c r="O935" s="314"/>
      <c r="P935" s="314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  <c r="AN935" s="321"/>
    </row>
    <row r="936" ht="15.75" customHeight="1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21"/>
      <c r="L936" s="321"/>
      <c r="M936" s="314"/>
      <c r="N936" s="314"/>
      <c r="O936" s="314"/>
      <c r="P936" s="314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  <c r="AN936" s="321"/>
    </row>
    <row r="937" ht="15.75" customHeight="1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21"/>
      <c r="L937" s="321"/>
      <c r="M937" s="314"/>
      <c r="N937" s="314"/>
      <c r="O937" s="314"/>
      <c r="P937" s="314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  <c r="AN937" s="321"/>
    </row>
    <row r="938" ht="15.75" customHeight="1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21"/>
      <c r="L938" s="321"/>
      <c r="M938" s="314"/>
      <c r="N938" s="314"/>
      <c r="O938" s="314"/>
      <c r="P938" s="314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  <c r="AN938" s="321"/>
    </row>
    <row r="939" ht="15.75" customHeight="1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21"/>
      <c r="L939" s="321"/>
      <c r="M939" s="314"/>
      <c r="N939" s="314"/>
      <c r="O939" s="314"/>
      <c r="P939" s="314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  <c r="AN939" s="321"/>
    </row>
    <row r="940" ht="15.75" customHeight="1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21"/>
      <c r="L940" s="321"/>
      <c r="M940" s="314"/>
      <c r="N940" s="314"/>
      <c r="O940" s="314"/>
      <c r="P940" s="314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  <c r="AN940" s="321"/>
    </row>
    <row r="941" ht="15.75" customHeight="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21"/>
      <c r="L941" s="321"/>
      <c r="M941" s="314"/>
      <c r="N941" s="314"/>
      <c r="O941" s="314"/>
      <c r="P941" s="314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  <c r="AN941" s="321"/>
    </row>
    <row r="942" ht="15.75" customHeight="1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21"/>
      <c r="L942" s="321"/>
      <c r="M942" s="314"/>
      <c r="N942" s="314"/>
      <c r="O942" s="314"/>
      <c r="P942" s="314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  <c r="AN942" s="321"/>
    </row>
    <row r="943" ht="15.75" customHeight="1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21"/>
      <c r="L943" s="321"/>
      <c r="M943" s="314"/>
      <c r="N943" s="314"/>
      <c r="O943" s="314"/>
      <c r="P943" s="314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  <c r="AN943" s="321"/>
    </row>
    <row r="944" ht="15.75" customHeight="1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21"/>
      <c r="L944" s="321"/>
      <c r="M944" s="314"/>
      <c r="N944" s="314"/>
      <c r="O944" s="314"/>
      <c r="P944" s="314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  <c r="AN944" s="321"/>
    </row>
    <row r="945" ht="15.75" customHeight="1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21"/>
      <c r="L945" s="321"/>
      <c r="M945" s="314"/>
      <c r="N945" s="314"/>
      <c r="O945" s="314"/>
      <c r="P945" s="314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  <c r="AN945" s="321"/>
    </row>
    <row r="946" ht="15.75" customHeight="1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21"/>
      <c r="L946" s="321"/>
      <c r="M946" s="314"/>
      <c r="N946" s="314"/>
      <c r="O946" s="314"/>
      <c r="P946" s="314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  <c r="AN946" s="321"/>
    </row>
    <row r="947" ht="15.75" customHeight="1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21"/>
      <c r="L947" s="321"/>
      <c r="M947" s="314"/>
      <c r="N947" s="314"/>
      <c r="O947" s="314"/>
      <c r="P947" s="314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  <c r="AN947" s="321"/>
    </row>
    <row r="948" ht="15.75" customHeight="1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21"/>
      <c r="L948" s="321"/>
      <c r="M948" s="314"/>
      <c r="N948" s="314"/>
      <c r="O948" s="314"/>
      <c r="P948" s="314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  <c r="AN948" s="321"/>
    </row>
    <row r="949" ht="15.75" customHeight="1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21"/>
      <c r="L949" s="321"/>
      <c r="M949" s="314"/>
      <c r="N949" s="314"/>
      <c r="O949" s="314"/>
      <c r="P949" s="314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  <c r="AN949" s="321"/>
    </row>
    <row r="950" ht="15.75" customHeight="1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21"/>
      <c r="L950" s="321"/>
      <c r="M950" s="314"/>
      <c r="N950" s="314"/>
      <c r="O950" s="314"/>
      <c r="P950" s="314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  <c r="AN950" s="321"/>
    </row>
    <row r="951" ht="15.75" customHeight="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21"/>
      <c r="L951" s="321"/>
      <c r="M951" s="314"/>
      <c r="N951" s="314"/>
      <c r="O951" s="314"/>
      <c r="P951" s="314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  <c r="AN951" s="321"/>
    </row>
    <row r="952" ht="15.75" customHeight="1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21"/>
      <c r="L952" s="321"/>
      <c r="M952" s="314"/>
      <c r="N952" s="314"/>
      <c r="O952" s="314"/>
      <c r="P952" s="314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  <c r="AN952" s="321"/>
    </row>
    <row r="953" ht="15.75" customHeight="1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21"/>
      <c r="L953" s="321"/>
      <c r="M953" s="314"/>
      <c r="N953" s="314"/>
      <c r="O953" s="314"/>
      <c r="P953" s="314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  <c r="AN953" s="321"/>
    </row>
    <row r="954" ht="15.75" customHeight="1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21"/>
      <c r="L954" s="321"/>
      <c r="M954" s="314"/>
      <c r="N954" s="314"/>
      <c r="O954" s="314"/>
      <c r="P954" s="314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  <c r="AN954" s="321"/>
    </row>
    <row r="955" ht="15.75" customHeight="1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21"/>
      <c r="L955" s="321"/>
      <c r="M955" s="314"/>
      <c r="N955" s="314"/>
      <c r="O955" s="314"/>
      <c r="P955" s="314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  <c r="AN955" s="321"/>
    </row>
    <row r="956" ht="15.75" customHeight="1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21"/>
      <c r="L956" s="321"/>
      <c r="M956" s="314"/>
      <c r="N956" s="314"/>
      <c r="O956" s="314"/>
      <c r="P956" s="314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  <c r="AN956" s="321"/>
    </row>
    <row r="957" ht="15.75" customHeight="1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21"/>
      <c r="L957" s="321"/>
      <c r="M957" s="314"/>
      <c r="N957" s="314"/>
      <c r="O957" s="314"/>
      <c r="P957" s="314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  <c r="AN957" s="321"/>
    </row>
    <row r="958" ht="15.75" customHeight="1">
      <c r="A958" s="314"/>
      <c r="B958" s="314"/>
      <c r="C958" s="314"/>
      <c r="D958" s="314"/>
      <c r="E958" s="314"/>
      <c r="F958" s="314"/>
      <c r="G958" s="314"/>
      <c r="H958" s="314"/>
      <c r="I958" s="314"/>
      <c r="J958" s="314"/>
      <c r="K958" s="321"/>
      <c r="L958" s="321"/>
      <c r="M958" s="314"/>
      <c r="N958" s="314"/>
      <c r="O958" s="314"/>
      <c r="P958" s="314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  <c r="AN958" s="321"/>
    </row>
    <row r="959" ht="15.75" customHeight="1">
      <c r="A959" s="314"/>
      <c r="B959" s="314"/>
      <c r="C959" s="314"/>
      <c r="D959" s="314"/>
      <c r="E959" s="314"/>
      <c r="F959" s="314"/>
      <c r="G959" s="314"/>
      <c r="H959" s="314"/>
      <c r="I959" s="314"/>
      <c r="J959" s="314"/>
      <c r="K959" s="321"/>
      <c r="L959" s="321"/>
      <c r="M959" s="314"/>
      <c r="N959" s="314"/>
      <c r="O959" s="314"/>
      <c r="P959" s="314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  <c r="AN959" s="321"/>
    </row>
    <row r="960" ht="15.75" customHeight="1">
      <c r="A960" s="314"/>
      <c r="B960" s="314"/>
      <c r="C960" s="314"/>
      <c r="D960" s="314"/>
      <c r="E960" s="314"/>
      <c r="F960" s="314"/>
      <c r="G960" s="314"/>
      <c r="H960" s="314"/>
      <c r="I960" s="314"/>
      <c r="J960" s="314"/>
      <c r="K960" s="321"/>
      <c r="L960" s="321"/>
      <c r="M960" s="314"/>
      <c r="N960" s="314"/>
      <c r="O960" s="314"/>
      <c r="P960" s="314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  <c r="AN960" s="321"/>
    </row>
    <row r="961" ht="15.75" customHeight="1">
      <c r="A961" s="314"/>
      <c r="B961" s="314"/>
      <c r="C961" s="314"/>
      <c r="D961" s="314"/>
      <c r="E961" s="314"/>
      <c r="F961" s="314"/>
      <c r="G961" s="314"/>
      <c r="H961" s="314"/>
      <c r="I961" s="314"/>
      <c r="J961" s="314"/>
      <c r="K961" s="321"/>
      <c r="L961" s="321"/>
      <c r="M961" s="314"/>
      <c r="N961" s="314"/>
      <c r="O961" s="314"/>
      <c r="P961" s="314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  <c r="AN961" s="321"/>
    </row>
    <row r="962" ht="15.75" customHeight="1">
      <c r="A962" s="314"/>
      <c r="B962" s="314"/>
      <c r="C962" s="314"/>
      <c r="D962" s="314"/>
      <c r="E962" s="314"/>
      <c r="F962" s="314"/>
      <c r="G962" s="314"/>
      <c r="H962" s="314"/>
      <c r="I962" s="314"/>
      <c r="J962" s="314"/>
      <c r="K962" s="321"/>
      <c r="L962" s="321"/>
      <c r="M962" s="314"/>
      <c r="N962" s="314"/>
      <c r="O962" s="314"/>
      <c r="P962" s="314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  <c r="AN962" s="321"/>
    </row>
    <row r="963" ht="15.75" customHeight="1">
      <c r="A963" s="314"/>
      <c r="B963" s="314"/>
      <c r="C963" s="314"/>
      <c r="D963" s="314"/>
      <c r="E963" s="314"/>
      <c r="F963" s="314"/>
      <c r="G963" s="314"/>
      <c r="H963" s="314"/>
      <c r="I963" s="314"/>
      <c r="J963" s="314"/>
      <c r="K963" s="321"/>
      <c r="L963" s="321"/>
      <c r="M963" s="314"/>
      <c r="N963" s="314"/>
      <c r="O963" s="314"/>
      <c r="P963" s="314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  <c r="AN963" s="321"/>
    </row>
    <row r="964" ht="15.75" customHeight="1">
      <c r="A964" s="314"/>
      <c r="B964" s="314"/>
      <c r="C964" s="314"/>
      <c r="D964" s="314"/>
      <c r="E964" s="314"/>
      <c r="F964" s="314"/>
      <c r="G964" s="314"/>
      <c r="H964" s="314"/>
      <c r="I964" s="314"/>
      <c r="J964" s="314"/>
      <c r="K964" s="321"/>
      <c r="L964" s="321"/>
      <c r="M964" s="314"/>
      <c r="N964" s="314"/>
      <c r="O964" s="314"/>
      <c r="P964" s="314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  <c r="AN964" s="321"/>
    </row>
    <row r="965" ht="15.75" customHeight="1">
      <c r="A965" s="314"/>
      <c r="B965" s="314"/>
      <c r="C965" s="314"/>
      <c r="D965" s="314"/>
      <c r="E965" s="314"/>
      <c r="F965" s="314"/>
      <c r="G965" s="314"/>
      <c r="H965" s="314"/>
      <c r="I965" s="314"/>
      <c r="J965" s="314"/>
      <c r="K965" s="321"/>
      <c r="L965" s="321"/>
      <c r="M965" s="314"/>
      <c r="N965" s="314"/>
      <c r="O965" s="314"/>
      <c r="P965" s="314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  <c r="AN965" s="321"/>
    </row>
    <row r="966" ht="15.75" customHeight="1">
      <c r="A966" s="314"/>
      <c r="B966" s="314"/>
      <c r="C966" s="314"/>
      <c r="D966" s="314"/>
      <c r="E966" s="314"/>
      <c r="F966" s="314"/>
      <c r="G966" s="314"/>
      <c r="H966" s="314"/>
      <c r="I966" s="314"/>
      <c r="J966" s="314"/>
      <c r="K966" s="321"/>
      <c r="L966" s="321"/>
      <c r="M966" s="314"/>
      <c r="N966" s="314"/>
      <c r="O966" s="314"/>
      <c r="P966" s="314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  <c r="AN966" s="321"/>
    </row>
    <row r="967" ht="15.75" customHeight="1">
      <c r="A967" s="314"/>
      <c r="B967" s="314"/>
      <c r="C967" s="314"/>
      <c r="D967" s="314"/>
      <c r="E967" s="314"/>
      <c r="F967" s="314"/>
      <c r="G967" s="314"/>
      <c r="H967" s="314"/>
      <c r="I967" s="314"/>
      <c r="J967" s="314"/>
      <c r="K967" s="321"/>
      <c r="L967" s="321"/>
      <c r="M967" s="314"/>
      <c r="N967" s="314"/>
      <c r="O967" s="314"/>
      <c r="P967" s="314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  <c r="AN967" s="321"/>
    </row>
    <row r="968" ht="15.75" customHeight="1">
      <c r="A968" s="314"/>
      <c r="B968" s="314"/>
      <c r="C968" s="314"/>
      <c r="D968" s="314"/>
      <c r="E968" s="314"/>
      <c r="F968" s="314"/>
      <c r="G968" s="314"/>
      <c r="H968" s="314"/>
      <c r="I968" s="314"/>
      <c r="J968" s="314"/>
      <c r="K968" s="321"/>
      <c r="L968" s="321"/>
      <c r="M968" s="314"/>
      <c r="N968" s="314"/>
      <c r="O968" s="314"/>
      <c r="P968" s="314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  <c r="AN968" s="321"/>
    </row>
    <row r="969" ht="15.75" customHeight="1">
      <c r="A969" s="314"/>
      <c r="B969" s="314"/>
      <c r="C969" s="314"/>
      <c r="D969" s="314"/>
      <c r="E969" s="314"/>
      <c r="F969" s="314"/>
      <c r="G969" s="314"/>
      <c r="H969" s="314"/>
      <c r="I969" s="314"/>
      <c r="J969" s="314"/>
      <c r="K969" s="321"/>
      <c r="L969" s="321"/>
      <c r="M969" s="314"/>
      <c r="N969" s="314"/>
      <c r="O969" s="314"/>
      <c r="P969" s="314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  <c r="AN969" s="321"/>
    </row>
    <row r="970" ht="15.75" customHeight="1">
      <c r="A970" s="314"/>
      <c r="B970" s="314"/>
      <c r="C970" s="314"/>
      <c r="D970" s="314"/>
      <c r="E970" s="314"/>
      <c r="F970" s="314"/>
      <c r="G970" s="314"/>
      <c r="H970" s="314"/>
      <c r="I970" s="314"/>
      <c r="J970" s="314"/>
      <c r="K970" s="321"/>
      <c r="L970" s="321"/>
      <c r="M970" s="314"/>
      <c r="N970" s="314"/>
      <c r="O970" s="314"/>
      <c r="P970" s="314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  <c r="AN970" s="321"/>
    </row>
    <row r="971" ht="15.75" customHeight="1">
      <c r="A971" s="314"/>
      <c r="B971" s="314"/>
      <c r="C971" s="314"/>
      <c r="D971" s="314"/>
      <c r="E971" s="314"/>
      <c r="F971" s="314"/>
      <c r="G971" s="314"/>
      <c r="H971" s="314"/>
      <c r="I971" s="314"/>
      <c r="J971" s="314"/>
      <c r="K971" s="321"/>
      <c r="L971" s="321"/>
      <c r="M971" s="314"/>
      <c r="N971" s="314"/>
      <c r="O971" s="314"/>
      <c r="P971" s="314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  <c r="AN971" s="321"/>
    </row>
    <row r="972" ht="15.75" customHeight="1">
      <c r="A972" s="314"/>
      <c r="B972" s="314"/>
      <c r="C972" s="314"/>
      <c r="D972" s="314"/>
      <c r="E972" s="314"/>
      <c r="F972" s="314"/>
      <c r="G972" s="314"/>
      <c r="H972" s="314"/>
      <c r="I972" s="314"/>
      <c r="J972" s="314"/>
      <c r="K972" s="321"/>
      <c r="L972" s="321"/>
      <c r="M972" s="314"/>
      <c r="N972" s="314"/>
      <c r="O972" s="314"/>
      <c r="P972" s="314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  <c r="AN972" s="321"/>
    </row>
    <row r="973" ht="15.75" customHeight="1">
      <c r="A973" s="314"/>
      <c r="B973" s="314"/>
      <c r="C973" s="314"/>
      <c r="D973" s="314"/>
      <c r="E973" s="314"/>
      <c r="F973" s="314"/>
      <c r="G973" s="314"/>
      <c r="H973" s="314"/>
      <c r="I973" s="314"/>
      <c r="J973" s="314"/>
      <c r="K973" s="321"/>
      <c r="L973" s="321"/>
      <c r="M973" s="314"/>
      <c r="N973" s="314"/>
      <c r="O973" s="314"/>
      <c r="P973" s="314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  <c r="AN973" s="321"/>
    </row>
    <row r="974" ht="15.75" customHeight="1">
      <c r="A974" s="314"/>
      <c r="B974" s="314"/>
      <c r="C974" s="314"/>
      <c r="D974" s="314"/>
      <c r="E974" s="314"/>
      <c r="F974" s="314"/>
      <c r="G974" s="314"/>
      <c r="H974" s="314"/>
      <c r="I974" s="314"/>
      <c r="J974" s="314"/>
      <c r="K974" s="321"/>
      <c r="L974" s="321"/>
      <c r="M974" s="314"/>
      <c r="N974" s="314"/>
      <c r="O974" s="314"/>
      <c r="P974" s="314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  <c r="AN974" s="321"/>
    </row>
    <row r="975" ht="15.75" customHeight="1">
      <c r="A975" s="314"/>
      <c r="B975" s="314"/>
      <c r="C975" s="314"/>
      <c r="D975" s="314"/>
      <c r="E975" s="314"/>
      <c r="F975" s="314"/>
      <c r="G975" s="314"/>
      <c r="H975" s="314"/>
      <c r="I975" s="314"/>
      <c r="J975" s="314"/>
      <c r="K975" s="321"/>
      <c r="L975" s="321"/>
      <c r="M975" s="314"/>
      <c r="N975" s="314"/>
      <c r="O975" s="314"/>
      <c r="P975" s="314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  <c r="AN975" s="321"/>
    </row>
    <row r="976" ht="15.75" customHeight="1">
      <c r="A976" s="314"/>
      <c r="B976" s="314"/>
      <c r="C976" s="314"/>
      <c r="D976" s="314"/>
      <c r="E976" s="314"/>
      <c r="F976" s="314"/>
      <c r="G976" s="314"/>
      <c r="H976" s="314"/>
      <c r="I976" s="314"/>
      <c r="J976" s="314"/>
      <c r="K976" s="321"/>
      <c r="L976" s="321"/>
      <c r="M976" s="314"/>
      <c r="N976" s="314"/>
      <c r="O976" s="314"/>
      <c r="P976" s="314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  <c r="AN976" s="321"/>
    </row>
    <row r="977" ht="15.75" customHeight="1">
      <c r="A977" s="314"/>
      <c r="B977" s="314"/>
      <c r="C977" s="314"/>
      <c r="D977" s="314"/>
      <c r="E977" s="314"/>
      <c r="F977" s="314"/>
      <c r="G977" s="314"/>
      <c r="H977" s="314"/>
      <c r="I977" s="314"/>
      <c r="J977" s="314"/>
      <c r="K977" s="321"/>
      <c r="L977" s="321"/>
      <c r="M977" s="314"/>
      <c r="N977" s="314"/>
      <c r="O977" s="314"/>
      <c r="P977" s="314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  <c r="AN977" s="321"/>
    </row>
    <row r="978" ht="15.75" customHeight="1">
      <c r="A978" s="314"/>
      <c r="B978" s="314"/>
      <c r="C978" s="314"/>
      <c r="D978" s="314"/>
      <c r="E978" s="314"/>
      <c r="F978" s="314"/>
      <c r="G978" s="314"/>
      <c r="H978" s="314"/>
      <c r="I978" s="314"/>
      <c r="J978" s="314"/>
      <c r="K978" s="321"/>
      <c r="L978" s="321"/>
      <c r="M978" s="314"/>
      <c r="N978" s="314"/>
      <c r="O978" s="314"/>
      <c r="P978" s="314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  <c r="AN978" s="321"/>
    </row>
    <row r="979" ht="15.75" customHeight="1">
      <c r="A979" s="314"/>
      <c r="B979" s="314"/>
      <c r="C979" s="314"/>
      <c r="D979" s="314"/>
      <c r="E979" s="314"/>
      <c r="F979" s="314"/>
      <c r="G979" s="314"/>
      <c r="H979" s="314"/>
      <c r="I979" s="314"/>
      <c r="J979" s="314"/>
      <c r="K979" s="321"/>
      <c r="L979" s="321"/>
      <c r="M979" s="314"/>
      <c r="N979" s="314"/>
      <c r="O979" s="314"/>
      <c r="P979" s="314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  <c r="AN979" s="321"/>
    </row>
    <row r="980" ht="15.75" customHeight="1">
      <c r="A980" s="314"/>
      <c r="B980" s="314"/>
      <c r="C980" s="314"/>
      <c r="D980" s="314"/>
      <c r="E980" s="314"/>
      <c r="F980" s="314"/>
      <c r="G980" s="314"/>
      <c r="H980" s="314"/>
      <c r="I980" s="314"/>
      <c r="J980" s="314"/>
      <c r="K980" s="321"/>
      <c r="L980" s="321"/>
      <c r="M980" s="314"/>
      <c r="N980" s="314"/>
      <c r="O980" s="314"/>
      <c r="P980" s="314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  <c r="AN980" s="321"/>
    </row>
    <row r="981" ht="15.75" customHeight="1">
      <c r="A981" s="314"/>
      <c r="B981" s="314"/>
      <c r="C981" s="314"/>
      <c r="D981" s="314"/>
      <c r="E981" s="314"/>
      <c r="F981" s="314"/>
      <c r="G981" s="314"/>
      <c r="H981" s="314"/>
      <c r="I981" s="314"/>
      <c r="J981" s="314"/>
      <c r="K981" s="321"/>
      <c r="L981" s="321"/>
      <c r="M981" s="314"/>
      <c r="N981" s="314"/>
      <c r="O981" s="314"/>
      <c r="P981" s="314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  <c r="AN981" s="321"/>
    </row>
    <row r="982" ht="15.75" customHeight="1">
      <c r="A982" s="314"/>
      <c r="B982" s="314"/>
      <c r="C982" s="314"/>
      <c r="D982" s="314"/>
      <c r="E982" s="314"/>
      <c r="F982" s="314"/>
      <c r="G982" s="314"/>
      <c r="H982" s="314"/>
      <c r="I982" s="314"/>
      <c r="J982" s="314"/>
      <c r="K982" s="321"/>
      <c r="L982" s="321"/>
      <c r="M982" s="314"/>
      <c r="N982" s="314"/>
      <c r="O982" s="314"/>
      <c r="P982" s="314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  <c r="AN982" s="321"/>
    </row>
    <row r="983" ht="15.75" customHeight="1">
      <c r="A983" s="314"/>
      <c r="B983" s="314"/>
      <c r="C983" s="314"/>
      <c r="D983" s="314"/>
      <c r="E983" s="314"/>
      <c r="F983" s="314"/>
      <c r="G983" s="314"/>
      <c r="H983" s="314"/>
      <c r="I983" s="314"/>
      <c r="J983" s="314"/>
      <c r="K983" s="321"/>
      <c r="L983" s="321"/>
      <c r="M983" s="314"/>
      <c r="N983" s="314"/>
      <c r="O983" s="314"/>
      <c r="P983" s="314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  <c r="AN983" s="321"/>
    </row>
    <row r="984" ht="15.75" customHeight="1">
      <c r="A984" s="314"/>
      <c r="B984" s="314"/>
      <c r="C984" s="314"/>
      <c r="D984" s="314"/>
      <c r="E984" s="314"/>
      <c r="F984" s="314"/>
      <c r="G984" s="314"/>
      <c r="H984" s="314"/>
      <c r="I984" s="314"/>
      <c r="J984" s="314"/>
      <c r="K984" s="321"/>
      <c r="L984" s="321"/>
      <c r="M984" s="314"/>
      <c r="N984" s="314"/>
      <c r="O984" s="314"/>
      <c r="P984" s="314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  <c r="AN984" s="321"/>
    </row>
    <row r="985" ht="15.75" customHeight="1">
      <c r="A985" s="314"/>
      <c r="B985" s="314"/>
      <c r="C985" s="314"/>
      <c r="D985" s="314"/>
      <c r="E985" s="314"/>
      <c r="F985" s="314"/>
      <c r="G985" s="314"/>
      <c r="H985" s="314"/>
      <c r="I985" s="314"/>
      <c r="J985" s="314"/>
      <c r="K985" s="321"/>
      <c r="L985" s="321"/>
      <c r="M985" s="314"/>
      <c r="N985" s="314"/>
      <c r="O985" s="314"/>
      <c r="P985" s="314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  <c r="AN985" s="321"/>
    </row>
    <row r="986" ht="15.75" customHeight="1">
      <c r="A986" s="314"/>
      <c r="B986" s="314"/>
      <c r="C986" s="314"/>
      <c r="D986" s="314"/>
      <c r="E986" s="314"/>
      <c r="F986" s="314"/>
      <c r="G986" s="314"/>
      <c r="H986" s="314"/>
      <c r="I986" s="314"/>
      <c r="J986" s="314"/>
      <c r="K986" s="321"/>
      <c r="L986" s="321"/>
      <c r="M986" s="314"/>
      <c r="N986" s="314"/>
      <c r="O986" s="314"/>
      <c r="P986" s="314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  <c r="AN986" s="321"/>
    </row>
    <row r="987" ht="15.75" customHeight="1">
      <c r="A987" s="314"/>
      <c r="B987" s="314"/>
      <c r="C987" s="314"/>
      <c r="D987" s="314"/>
      <c r="E987" s="314"/>
      <c r="F987" s="314"/>
      <c r="G987" s="314"/>
      <c r="H987" s="314"/>
      <c r="I987" s="314"/>
      <c r="J987" s="314"/>
      <c r="K987" s="321"/>
      <c r="L987" s="321"/>
      <c r="M987" s="314"/>
      <c r="N987" s="314"/>
      <c r="O987" s="314"/>
      <c r="P987" s="314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  <c r="AA987" s="321"/>
      <c r="AB987" s="321"/>
      <c r="AC987" s="321"/>
      <c r="AD987" s="321"/>
      <c r="AE987" s="321"/>
      <c r="AF987" s="321"/>
      <c r="AG987" s="321"/>
      <c r="AH987" s="321"/>
      <c r="AI987" s="321"/>
      <c r="AJ987" s="321"/>
      <c r="AK987" s="321"/>
      <c r="AL987" s="321"/>
      <c r="AM987" s="321"/>
      <c r="AN987" s="321"/>
    </row>
    <row r="988" ht="15.75" customHeight="1">
      <c r="A988" s="314"/>
      <c r="B988" s="314"/>
      <c r="C988" s="314"/>
      <c r="D988" s="314"/>
      <c r="E988" s="314"/>
      <c r="F988" s="314"/>
      <c r="G988" s="314"/>
      <c r="H988" s="314"/>
      <c r="I988" s="314"/>
      <c r="J988" s="314"/>
      <c r="K988" s="321"/>
      <c r="L988" s="321"/>
      <c r="M988" s="314"/>
      <c r="N988" s="314"/>
      <c r="O988" s="314"/>
      <c r="P988" s="314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  <c r="AA988" s="321"/>
      <c r="AB988" s="321"/>
      <c r="AC988" s="321"/>
      <c r="AD988" s="321"/>
      <c r="AE988" s="321"/>
      <c r="AF988" s="321"/>
      <c r="AG988" s="321"/>
      <c r="AH988" s="321"/>
      <c r="AI988" s="321"/>
      <c r="AJ988" s="321"/>
      <c r="AK988" s="321"/>
      <c r="AL988" s="321"/>
      <c r="AM988" s="321"/>
      <c r="AN988" s="321"/>
    </row>
    <row r="989" ht="15.75" customHeight="1">
      <c r="A989" s="314"/>
      <c r="B989" s="314"/>
      <c r="C989" s="314"/>
      <c r="D989" s="314"/>
      <c r="E989" s="314"/>
      <c r="F989" s="314"/>
      <c r="G989" s="314"/>
      <c r="H989" s="314"/>
      <c r="I989" s="314"/>
      <c r="J989" s="314"/>
      <c r="K989" s="321"/>
      <c r="L989" s="321"/>
      <c r="M989" s="314"/>
      <c r="N989" s="314"/>
      <c r="O989" s="314"/>
      <c r="P989" s="314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  <c r="AA989" s="321"/>
      <c r="AB989" s="321"/>
      <c r="AC989" s="321"/>
      <c r="AD989" s="321"/>
      <c r="AE989" s="321"/>
      <c r="AF989" s="321"/>
      <c r="AG989" s="321"/>
      <c r="AH989" s="321"/>
      <c r="AI989" s="321"/>
      <c r="AJ989" s="321"/>
      <c r="AK989" s="321"/>
      <c r="AL989" s="321"/>
      <c r="AM989" s="321"/>
      <c r="AN989" s="321"/>
    </row>
    <row r="990" ht="15.75" customHeight="1">
      <c r="A990" s="314"/>
      <c r="B990" s="314"/>
      <c r="C990" s="314"/>
      <c r="D990" s="314"/>
      <c r="E990" s="314"/>
      <c r="F990" s="314"/>
      <c r="G990" s="314"/>
      <c r="H990" s="314"/>
      <c r="I990" s="314"/>
      <c r="J990" s="314"/>
      <c r="K990" s="321"/>
      <c r="L990" s="321"/>
      <c r="M990" s="314"/>
      <c r="N990" s="314"/>
      <c r="O990" s="314"/>
      <c r="P990" s="314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  <c r="AA990" s="321"/>
      <c r="AB990" s="321"/>
      <c r="AC990" s="321"/>
      <c r="AD990" s="321"/>
      <c r="AE990" s="321"/>
      <c r="AF990" s="321"/>
      <c r="AG990" s="321"/>
      <c r="AH990" s="321"/>
      <c r="AI990" s="321"/>
      <c r="AJ990" s="321"/>
      <c r="AK990" s="321"/>
      <c r="AL990" s="321"/>
      <c r="AM990" s="321"/>
      <c r="AN990" s="321"/>
    </row>
    <row r="991" ht="15.75" customHeight="1">
      <c r="A991" s="314"/>
      <c r="B991" s="314"/>
      <c r="C991" s="314"/>
      <c r="D991" s="314"/>
      <c r="E991" s="314"/>
      <c r="F991" s="314"/>
      <c r="G991" s="314"/>
      <c r="H991" s="314"/>
      <c r="I991" s="314"/>
      <c r="J991" s="314"/>
      <c r="K991" s="321"/>
      <c r="L991" s="321"/>
      <c r="M991" s="314"/>
      <c r="N991" s="314"/>
      <c r="O991" s="314"/>
      <c r="P991" s="314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  <c r="AA991" s="321"/>
      <c r="AB991" s="321"/>
      <c r="AC991" s="321"/>
      <c r="AD991" s="321"/>
      <c r="AE991" s="321"/>
      <c r="AF991" s="321"/>
      <c r="AG991" s="321"/>
      <c r="AH991" s="321"/>
      <c r="AI991" s="321"/>
      <c r="AJ991" s="321"/>
      <c r="AK991" s="321"/>
      <c r="AL991" s="321"/>
      <c r="AM991" s="321"/>
      <c r="AN991" s="321"/>
    </row>
    <row r="992" ht="15.75" customHeight="1">
      <c r="A992" s="314"/>
      <c r="B992" s="314"/>
      <c r="C992" s="314"/>
      <c r="D992" s="314"/>
      <c r="E992" s="314"/>
      <c r="F992" s="314"/>
      <c r="G992" s="314"/>
      <c r="H992" s="314"/>
      <c r="I992" s="314"/>
      <c r="J992" s="314"/>
      <c r="K992" s="321"/>
      <c r="L992" s="321"/>
      <c r="M992" s="314"/>
      <c r="N992" s="314"/>
      <c r="O992" s="314"/>
      <c r="P992" s="314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  <c r="AA992" s="321"/>
      <c r="AB992" s="321"/>
      <c r="AC992" s="321"/>
      <c r="AD992" s="321"/>
      <c r="AE992" s="321"/>
      <c r="AF992" s="321"/>
      <c r="AG992" s="321"/>
      <c r="AH992" s="321"/>
      <c r="AI992" s="321"/>
      <c r="AJ992" s="321"/>
      <c r="AK992" s="321"/>
      <c r="AL992" s="321"/>
      <c r="AM992" s="321"/>
      <c r="AN992" s="321"/>
    </row>
    <row r="993" ht="15.75" customHeight="1">
      <c r="A993" s="314"/>
      <c r="B993" s="314"/>
      <c r="C993" s="314"/>
      <c r="D993" s="314"/>
      <c r="E993" s="314"/>
      <c r="F993" s="314"/>
      <c r="G993" s="314"/>
      <c r="H993" s="314"/>
      <c r="I993" s="314"/>
      <c r="J993" s="314"/>
      <c r="K993" s="321"/>
      <c r="L993" s="321"/>
      <c r="M993" s="314"/>
      <c r="N993" s="314"/>
      <c r="O993" s="314"/>
      <c r="P993" s="314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  <c r="AA993" s="321"/>
      <c r="AB993" s="321"/>
      <c r="AC993" s="321"/>
      <c r="AD993" s="321"/>
      <c r="AE993" s="321"/>
      <c r="AF993" s="321"/>
      <c r="AG993" s="321"/>
      <c r="AH993" s="321"/>
      <c r="AI993" s="321"/>
      <c r="AJ993" s="321"/>
      <c r="AK993" s="321"/>
      <c r="AL993" s="321"/>
      <c r="AM993" s="321"/>
      <c r="AN993" s="321"/>
    </row>
    <row r="994" ht="15.75" customHeight="1">
      <c r="A994" s="314"/>
      <c r="B994" s="314"/>
      <c r="C994" s="314"/>
      <c r="D994" s="314"/>
      <c r="E994" s="314"/>
      <c r="F994" s="314"/>
      <c r="G994" s="314"/>
      <c r="H994" s="314"/>
      <c r="I994" s="314"/>
      <c r="J994" s="314"/>
      <c r="K994" s="321"/>
      <c r="L994" s="321"/>
      <c r="M994" s="314"/>
      <c r="N994" s="314"/>
      <c r="O994" s="314"/>
      <c r="P994" s="314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  <c r="AA994" s="321"/>
      <c r="AB994" s="321"/>
      <c r="AC994" s="321"/>
      <c r="AD994" s="321"/>
      <c r="AE994" s="321"/>
      <c r="AF994" s="321"/>
      <c r="AG994" s="321"/>
      <c r="AH994" s="321"/>
      <c r="AI994" s="321"/>
      <c r="AJ994" s="321"/>
      <c r="AK994" s="321"/>
      <c r="AL994" s="321"/>
      <c r="AM994" s="321"/>
      <c r="AN994" s="321"/>
    </row>
    <row r="995" ht="15.75" customHeight="1">
      <c r="A995" s="314"/>
      <c r="B995" s="314"/>
      <c r="C995" s="314"/>
      <c r="D995" s="314"/>
      <c r="E995" s="314"/>
      <c r="F995" s="314"/>
      <c r="G995" s="314"/>
      <c r="H995" s="314"/>
      <c r="I995" s="314"/>
      <c r="J995" s="314"/>
      <c r="K995" s="321"/>
      <c r="L995" s="321"/>
      <c r="M995" s="314"/>
      <c r="N995" s="314"/>
      <c r="O995" s="314"/>
      <c r="P995" s="314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  <c r="AA995" s="321"/>
      <c r="AB995" s="321"/>
      <c r="AC995" s="321"/>
      <c r="AD995" s="321"/>
      <c r="AE995" s="321"/>
      <c r="AF995" s="321"/>
      <c r="AG995" s="321"/>
      <c r="AH995" s="321"/>
      <c r="AI995" s="321"/>
      <c r="AJ995" s="321"/>
      <c r="AK995" s="321"/>
      <c r="AL995" s="321"/>
      <c r="AM995" s="321"/>
      <c r="AN995" s="321"/>
    </row>
    <row r="996" ht="15.75" customHeight="1">
      <c r="A996" s="314"/>
      <c r="B996" s="314"/>
      <c r="C996" s="314"/>
      <c r="D996" s="314"/>
      <c r="E996" s="314"/>
      <c r="F996" s="314"/>
      <c r="G996" s="314"/>
      <c r="H996" s="314"/>
      <c r="I996" s="314"/>
      <c r="J996" s="314"/>
      <c r="K996" s="321"/>
      <c r="L996" s="321"/>
      <c r="M996" s="314"/>
      <c r="N996" s="314"/>
      <c r="O996" s="314"/>
      <c r="P996" s="314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  <c r="AA996" s="321"/>
      <c r="AB996" s="321"/>
      <c r="AC996" s="321"/>
      <c r="AD996" s="321"/>
      <c r="AE996" s="321"/>
      <c r="AF996" s="321"/>
      <c r="AG996" s="321"/>
      <c r="AH996" s="321"/>
      <c r="AI996" s="321"/>
      <c r="AJ996" s="321"/>
      <c r="AK996" s="321"/>
      <c r="AL996" s="321"/>
      <c r="AM996" s="321"/>
      <c r="AN996" s="321"/>
    </row>
    <row r="997" ht="15.75" customHeight="1">
      <c r="A997" s="314"/>
      <c r="B997" s="314"/>
      <c r="C997" s="314"/>
      <c r="D997" s="314"/>
      <c r="E997" s="314"/>
      <c r="F997" s="314"/>
      <c r="G997" s="314"/>
      <c r="H997" s="314"/>
      <c r="I997" s="314"/>
      <c r="J997" s="314"/>
      <c r="K997" s="321"/>
      <c r="L997" s="321"/>
      <c r="M997" s="314"/>
      <c r="N997" s="314"/>
      <c r="O997" s="314"/>
      <c r="P997" s="314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  <c r="AA997" s="321"/>
      <c r="AB997" s="321"/>
      <c r="AC997" s="321"/>
      <c r="AD997" s="321"/>
      <c r="AE997" s="321"/>
      <c r="AF997" s="321"/>
      <c r="AG997" s="321"/>
      <c r="AH997" s="321"/>
      <c r="AI997" s="321"/>
      <c r="AJ997" s="321"/>
      <c r="AK997" s="321"/>
      <c r="AL997" s="321"/>
      <c r="AM997" s="321"/>
      <c r="AN997" s="321"/>
    </row>
    <row r="998" ht="15.75" customHeight="1">
      <c r="A998" s="314"/>
      <c r="B998" s="314"/>
      <c r="C998" s="314"/>
      <c r="D998" s="314"/>
      <c r="E998" s="314"/>
      <c r="F998" s="314"/>
      <c r="G998" s="314"/>
      <c r="H998" s="314"/>
      <c r="I998" s="314"/>
      <c r="J998" s="314"/>
      <c r="K998" s="321"/>
      <c r="L998" s="321"/>
      <c r="M998" s="314"/>
      <c r="N998" s="314"/>
      <c r="O998" s="314"/>
      <c r="P998" s="314"/>
      <c r="Q998" s="321"/>
      <c r="R998" s="321"/>
      <c r="S998" s="321"/>
      <c r="T998" s="321"/>
      <c r="U998" s="321"/>
      <c r="V998" s="321"/>
      <c r="W998" s="321"/>
      <c r="X998" s="321"/>
      <c r="Y998" s="321"/>
      <c r="Z998" s="321"/>
      <c r="AA998" s="321"/>
      <c r="AB998" s="321"/>
      <c r="AC998" s="321"/>
      <c r="AD998" s="321"/>
      <c r="AE998" s="321"/>
      <c r="AF998" s="321"/>
      <c r="AG998" s="321"/>
      <c r="AH998" s="321"/>
      <c r="AI998" s="321"/>
      <c r="AJ998" s="321"/>
      <c r="AK998" s="321"/>
      <c r="AL998" s="321"/>
      <c r="AM998" s="321"/>
      <c r="AN998" s="321"/>
    </row>
    <row r="999" ht="15.75" customHeight="1">
      <c r="A999" s="314"/>
      <c r="B999" s="314"/>
      <c r="C999" s="314"/>
      <c r="D999" s="314"/>
      <c r="E999" s="314"/>
      <c r="F999" s="314"/>
      <c r="G999" s="314"/>
      <c r="H999" s="314"/>
      <c r="I999" s="314"/>
      <c r="J999" s="314"/>
      <c r="K999" s="321"/>
      <c r="L999" s="321"/>
      <c r="M999" s="314"/>
      <c r="N999" s="314"/>
      <c r="O999" s="314"/>
      <c r="P999" s="314"/>
      <c r="Q999" s="321"/>
      <c r="R999" s="321"/>
      <c r="S999" s="321"/>
      <c r="T999" s="321"/>
      <c r="U999" s="321"/>
      <c r="V999" s="321"/>
      <c r="W999" s="321"/>
      <c r="X999" s="321"/>
      <c r="Y999" s="321"/>
      <c r="Z999" s="321"/>
      <c r="AA999" s="321"/>
      <c r="AB999" s="321"/>
      <c r="AC999" s="321"/>
      <c r="AD999" s="321"/>
      <c r="AE999" s="321"/>
      <c r="AF999" s="321"/>
      <c r="AG999" s="321"/>
      <c r="AH999" s="321"/>
      <c r="AI999" s="321"/>
      <c r="AJ999" s="321"/>
      <c r="AK999" s="321"/>
      <c r="AL999" s="321"/>
      <c r="AM999" s="321"/>
      <c r="AN999" s="321"/>
    </row>
    <row r="1000" ht="15.75" customHeight="1">
      <c r="A1000" s="314"/>
      <c r="B1000" s="314"/>
      <c r="C1000" s="314"/>
      <c r="D1000" s="314"/>
      <c r="E1000" s="314"/>
      <c r="F1000" s="314"/>
      <c r="G1000" s="314"/>
      <c r="H1000" s="314"/>
      <c r="I1000" s="314"/>
      <c r="J1000" s="314"/>
      <c r="K1000" s="321"/>
      <c r="L1000" s="321"/>
      <c r="M1000" s="314"/>
      <c r="N1000" s="314"/>
      <c r="O1000" s="314"/>
      <c r="P1000" s="314"/>
      <c r="Q1000" s="321"/>
      <c r="R1000" s="321"/>
      <c r="S1000" s="321"/>
      <c r="T1000" s="321"/>
      <c r="U1000" s="321"/>
      <c r="V1000" s="321"/>
      <c r="W1000" s="321"/>
      <c r="X1000" s="321"/>
      <c r="Y1000" s="321"/>
      <c r="Z1000" s="321"/>
      <c r="AA1000" s="321"/>
      <c r="AB1000" s="321"/>
      <c r="AC1000" s="321"/>
      <c r="AD1000" s="321"/>
      <c r="AE1000" s="321"/>
      <c r="AF1000" s="321"/>
      <c r="AG1000" s="321"/>
      <c r="AH1000" s="321"/>
      <c r="AI1000" s="321"/>
      <c r="AJ1000" s="321"/>
      <c r="AK1000" s="321"/>
      <c r="AL1000" s="321"/>
      <c r="AM1000" s="321"/>
      <c r="AN1000" s="321"/>
    </row>
    <row r="1001" ht="15.75" customHeight="1">
      <c r="A1001" s="314"/>
      <c r="B1001" s="314"/>
      <c r="C1001" s="314"/>
      <c r="D1001" s="314"/>
      <c r="E1001" s="314"/>
      <c r="F1001" s="314"/>
      <c r="G1001" s="314"/>
      <c r="H1001" s="314"/>
      <c r="I1001" s="314"/>
      <c r="J1001" s="314"/>
      <c r="K1001" s="321"/>
      <c r="L1001" s="321"/>
      <c r="M1001" s="314"/>
      <c r="N1001" s="314"/>
      <c r="O1001" s="314"/>
      <c r="P1001" s="314"/>
      <c r="Q1001" s="321"/>
      <c r="R1001" s="321"/>
      <c r="S1001" s="321"/>
      <c r="T1001" s="321"/>
      <c r="U1001" s="321"/>
      <c r="V1001" s="321"/>
      <c r="W1001" s="321"/>
      <c r="X1001" s="321"/>
      <c r="Y1001" s="321"/>
      <c r="Z1001" s="321"/>
      <c r="AA1001" s="321"/>
      <c r="AB1001" s="321"/>
      <c r="AC1001" s="321"/>
      <c r="AD1001" s="321"/>
      <c r="AE1001" s="321"/>
      <c r="AF1001" s="321"/>
      <c r="AG1001" s="321"/>
      <c r="AH1001" s="321"/>
      <c r="AI1001" s="321"/>
      <c r="AJ1001" s="321"/>
      <c r="AK1001" s="321"/>
      <c r="AL1001" s="321"/>
      <c r="AM1001" s="321"/>
      <c r="AN1001" s="321"/>
    </row>
    <row r="1002" ht="15.75" customHeight="1">
      <c r="A1002" s="314"/>
      <c r="B1002" s="314"/>
      <c r="C1002" s="314"/>
      <c r="D1002" s="314"/>
      <c r="E1002" s="314"/>
      <c r="F1002" s="314"/>
      <c r="G1002" s="314"/>
      <c r="H1002" s="314"/>
      <c r="I1002" s="314"/>
      <c r="J1002" s="314"/>
      <c r="K1002" s="321"/>
      <c r="L1002" s="321"/>
      <c r="M1002" s="314"/>
      <c r="N1002" s="314"/>
      <c r="O1002" s="314"/>
      <c r="P1002" s="314"/>
      <c r="Q1002" s="321"/>
      <c r="R1002" s="321"/>
      <c r="S1002" s="321"/>
      <c r="T1002" s="321"/>
      <c r="U1002" s="321"/>
      <c r="V1002" s="321"/>
      <c r="W1002" s="321"/>
      <c r="X1002" s="321"/>
      <c r="Y1002" s="321"/>
      <c r="Z1002" s="321"/>
      <c r="AA1002" s="321"/>
      <c r="AB1002" s="321"/>
      <c r="AC1002" s="321"/>
      <c r="AD1002" s="321"/>
      <c r="AE1002" s="321"/>
      <c r="AF1002" s="321"/>
      <c r="AG1002" s="321"/>
      <c r="AH1002" s="321"/>
      <c r="AI1002" s="321"/>
      <c r="AJ1002" s="321"/>
      <c r="AK1002" s="321"/>
      <c r="AL1002" s="321"/>
      <c r="AM1002" s="321"/>
      <c r="AN1002" s="321"/>
    </row>
    <row r="1003" ht="15.75" customHeight="1">
      <c r="A1003" s="314"/>
      <c r="B1003" s="314"/>
      <c r="C1003" s="314"/>
      <c r="D1003" s="314"/>
      <c r="E1003" s="314"/>
      <c r="F1003" s="314"/>
      <c r="G1003" s="314"/>
      <c r="H1003" s="314"/>
      <c r="I1003" s="314"/>
      <c r="J1003" s="314"/>
      <c r="K1003" s="321"/>
      <c r="L1003" s="321"/>
      <c r="M1003" s="314"/>
      <c r="N1003" s="314"/>
      <c r="O1003" s="314"/>
      <c r="P1003" s="314"/>
      <c r="Q1003" s="321"/>
      <c r="R1003" s="321"/>
      <c r="S1003" s="321"/>
      <c r="T1003" s="321"/>
      <c r="U1003" s="321"/>
      <c r="V1003" s="321"/>
      <c r="W1003" s="321"/>
      <c r="X1003" s="321"/>
      <c r="Y1003" s="321"/>
      <c r="Z1003" s="321"/>
      <c r="AA1003" s="321"/>
      <c r="AB1003" s="321"/>
      <c r="AC1003" s="321"/>
      <c r="AD1003" s="321"/>
      <c r="AE1003" s="321"/>
      <c r="AF1003" s="321"/>
      <c r="AG1003" s="321"/>
      <c r="AH1003" s="321"/>
      <c r="AI1003" s="321"/>
      <c r="AJ1003" s="321"/>
      <c r="AK1003" s="321"/>
      <c r="AL1003" s="321"/>
      <c r="AM1003" s="321"/>
      <c r="AN1003" s="321"/>
    </row>
    <row r="1004" ht="15.75" customHeight="1">
      <c r="A1004" s="314"/>
      <c r="B1004" s="314"/>
      <c r="C1004" s="314"/>
      <c r="D1004" s="314"/>
      <c r="E1004" s="314"/>
      <c r="F1004" s="314"/>
      <c r="G1004" s="314"/>
      <c r="H1004" s="314"/>
      <c r="I1004" s="314"/>
      <c r="J1004" s="314"/>
      <c r="K1004" s="321"/>
      <c r="L1004" s="321"/>
      <c r="M1004" s="314"/>
      <c r="N1004" s="314"/>
      <c r="O1004" s="314"/>
      <c r="P1004" s="314"/>
      <c r="Q1004" s="321"/>
      <c r="R1004" s="321"/>
      <c r="S1004" s="321"/>
      <c r="T1004" s="321"/>
      <c r="U1004" s="321"/>
      <c r="V1004" s="321"/>
      <c r="W1004" s="321"/>
      <c r="X1004" s="321"/>
      <c r="Y1004" s="321"/>
      <c r="Z1004" s="321"/>
      <c r="AA1004" s="321"/>
      <c r="AB1004" s="321"/>
      <c r="AC1004" s="321"/>
      <c r="AD1004" s="321"/>
      <c r="AE1004" s="321"/>
      <c r="AF1004" s="321"/>
      <c r="AG1004" s="321"/>
      <c r="AH1004" s="321"/>
      <c r="AI1004" s="321"/>
      <c r="AJ1004" s="321"/>
      <c r="AK1004" s="321"/>
      <c r="AL1004" s="321"/>
      <c r="AM1004" s="321"/>
      <c r="AN1004" s="321"/>
    </row>
    <row r="1005" ht="15.75" customHeight="1">
      <c r="A1005" s="314"/>
      <c r="B1005" s="314"/>
      <c r="C1005" s="314"/>
      <c r="D1005" s="314"/>
      <c r="E1005" s="314"/>
      <c r="F1005" s="314"/>
      <c r="G1005" s="314"/>
      <c r="H1005" s="314"/>
      <c r="I1005" s="314"/>
      <c r="J1005" s="314"/>
      <c r="K1005" s="321"/>
      <c r="L1005" s="321"/>
      <c r="M1005" s="314"/>
      <c r="N1005" s="314"/>
      <c r="O1005" s="314"/>
      <c r="P1005" s="314"/>
      <c r="Q1005" s="321"/>
      <c r="R1005" s="321"/>
      <c r="S1005" s="321"/>
      <c r="T1005" s="321"/>
      <c r="U1005" s="321"/>
      <c r="V1005" s="321"/>
      <c r="W1005" s="321"/>
      <c r="X1005" s="321"/>
      <c r="Y1005" s="321"/>
      <c r="Z1005" s="321"/>
      <c r="AA1005" s="321"/>
      <c r="AB1005" s="321"/>
      <c r="AC1005" s="321"/>
      <c r="AD1005" s="321"/>
      <c r="AE1005" s="321"/>
      <c r="AF1005" s="321"/>
      <c r="AG1005" s="321"/>
      <c r="AH1005" s="321"/>
      <c r="AI1005" s="321"/>
      <c r="AJ1005" s="321"/>
      <c r="AK1005" s="321"/>
      <c r="AL1005" s="321"/>
      <c r="AM1005" s="321"/>
      <c r="AN1005" s="321"/>
    </row>
    <row r="1006" ht="15.75" customHeight="1">
      <c r="A1006" s="314"/>
      <c r="B1006" s="314"/>
      <c r="C1006" s="314"/>
      <c r="D1006" s="314"/>
      <c r="E1006" s="314"/>
      <c r="F1006" s="314"/>
      <c r="G1006" s="314"/>
      <c r="H1006" s="314"/>
      <c r="I1006" s="314"/>
      <c r="J1006" s="314"/>
      <c r="K1006" s="321"/>
      <c r="L1006" s="321"/>
      <c r="M1006" s="314"/>
      <c r="N1006" s="314"/>
      <c r="O1006" s="314"/>
      <c r="P1006" s="314"/>
      <c r="Q1006" s="321"/>
      <c r="R1006" s="321"/>
      <c r="S1006" s="321"/>
      <c r="T1006" s="321"/>
      <c r="U1006" s="321"/>
      <c r="V1006" s="321"/>
      <c r="W1006" s="321"/>
      <c r="X1006" s="321"/>
      <c r="Y1006" s="321"/>
      <c r="Z1006" s="321"/>
      <c r="AA1006" s="321"/>
      <c r="AB1006" s="321"/>
      <c r="AC1006" s="321"/>
      <c r="AD1006" s="321"/>
      <c r="AE1006" s="321"/>
      <c r="AF1006" s="321"/>
      <c r="AG1006" s="321"/>
      <c r="AH1006" s="321"/>
      <c r="AI1006" s="321"/>
      <c r="AJ1006" s="321"/>
      <c r="AK1006" s="321"/>
      <c r="AL1006" s="321"/>
      <c r="AM1006" s="321"/>
      <c r="AN1006" s="321"/>
    </row>
    <row r="1007" ht="15.75" customHeight="1">
      <c r="A1007" s="314"/>
      <c r="B1007" s="314"/>
      <c r="C1007" s="314"/>
      <c r="D1007" s="314"/>
      <c r="E1007" s="314"/>
      <c r="F1007" s="314"/>
      <c r="G1007" s="314"/>
      <c r="H1007" s="314"/>
      <c r="I1007" s="314"/>
      <c r="J1007" s="314"/>
      <c r="K1007" s="321"/>
      <c r="L1007" s="321"/>
      <c r="M1007" s="314"/>
      <c r="N1007" s="314"/>
      <c r="O1007" s="314"/>
      <c r="P1007" s="314"/>
      <c r="Q1007" s="321"/>
      <c r="R1007" s="321"/>
      <c r="S1007" s="321"/>
      <c r="T1007" s="321"/>
      <c r="U1007" s="321"/>
      <c r="V1007" s="321"/>
      <c r="W1007" s="321"/>
      <c r="X1007" s="321"/>
      <c r="Y1007" s="321"/>
      <c r="Z1007" s="321"/>
      <c r="AA1007" s="321"/>
      <c r="AB1007" s="321"/>
      <c r="AC1007" s="321"/>
      <c r="AD1007" s="321"/>
      <c r="AE1007" s="321"/>
      <c r="AF1007" s="321"/>
      <c r="AG1007" s="321"/>
      <c r="AH1007" s="321"/>
      <c r="AI1007" s="321"/>
      <c r="AJ1007" s="321"/>
      <c r="AK1007" s="321"/>
      <c r="AL1007" s="321"/>
      <c r="AM1007" s="321"/>
      <c r="AN1007" s="321"/>
    </row>
    <row r="1008" ht="15.75" customHeight="1">
      <c r="A1008" s="314"/>
      <c r="B1008" s="314"/>
      <c r="C1008" s="314"/>
      <c r="D1008" s="314"/>
      <c r="E1008" s="314"/>
      <c r="F1008" s="314"/>
      <c r="G1008" s="314"/>
      <c r="H1008" s="314"/>
      <c r="I1008" s="314"/>
      <c r="J1008" s="314"/>
      <c r="K1008" s="321"/>
      <c r="L1008" s="321"/>
      <c r="M1008" s="314"/>
      <c r="N1008" s="314"/>
      <c r="O1008" s="314"/>
      <c r="P1008" s="314"/>
      <c r="Q1008" s="321"/>
      <c r="R1008" s="321"/>
      <c r="S1008" s="321"/>
      <c r="T1008" s="321"/>
      <c r="U1008" s="321"/>
      <c r="V1008" s="321"/>
      <c r="W1008" s="321"/>
      <c r="X1008" s="321"/>
      <c r="Y1008" s="321"/>
      <c r="Z1008" s="321"/>
      <c r="AA1008" s="321"/>
      <c r="AB1008" s="321"/>
      <c r="AC1008" s="321"/>
      <c r="AD1008" s="321"/>
      <c r="AE1008" s="321"/>
      <c r="AF1008" s="321"/>
      <c r="AG1008" s="321"/>
      <c r="AH1008" s="321"/>
      <c r="AI1008" s="321"/>
      <c r="AJ1008" s="321"/>
      <c r="AK1008" s="321"/>
      <c r="AL1008" s="321"/>
      <c r="AM1008" s="321"/>
      <c r="AN1008" s="321"/>
    </row>
    <row r="1009" ht="15.75" customHeight="1">
      <c r="A1009" s="314"/>
      <c r="B1009" s="314"/>
      <c r="C1009" s="314"/>
      <c r="D1009" s="314"/>
      <c r="E1009" s="314"/>
      <c r="F1009" s="314"/>
      <c r="G1009" s="314"/>
      <c r="H1009" s="314"/>
      <c r="I1009" s="314"/>
      <c r="J1009" s="314"/>
      <c r="K1009" s="321"/>
      <c r="L1009" s="321"/>
      <c r="M1009" s="314"/>
      <c r="N1009" s="314"/>
      <c r="O1009" s="314"/>
      <c r="P1009" s="314"/>
      <c r="Q1009" s="321"/>
      <c r="R1009" s="321"/>
      <c r="S1009" s="321"/>
      <c r="T1009" s="321"/>
      <c r="U1009" s="321"/>
      <c r="V1009" s="321"/>
      <c r="W1009" s="321"/>
      <c r="X1009" s="321"/>
      <c r="Y1009" s="321"/>
      <c r="Z1009" s="321"/>
      <c r="AA1009" s="321"/>
      <c r="AB1009" s="321"/>
      <c r="AC1009" s="321"/>
      <c r="AD1009" s="321"/>
      <c r="AE1009" s="321"/>
      <c r="AF1009" s="321"/>
      <c r="AG1009" s="321"/>
      <c r="AH1009" s="321"/>
      <c r="AI1009" s="321"/>
      <c r="AJ1009" s="321"/>
      <c r="AK1009" s="321"/>
      <c r="AL1009" s="321"/>
      <c r="AM1009" s="321"/>
      <c r="AN1009" s="321"/>
    </row>
    <row r="1010" ht="15.75" customHeight="1">
      <c r="A1010" s="314"/>
      <c r="B1010" s="314"/>
      <c r="C1010" s="314"/>
      <c r="D1010" s="314"/>
      <c r="E1010" s="314"/>
      <c r="F1010" s="314"/>
      <c r="G1010" s="314"/>
      <c r="H1010" s="314"/>
      <c r="I1010" s="314"/>
      <c r="J1010" s="314"/>
      <c r="K1010" s="321"/>
      <c r="L1010" s="321"/>
      <c r="M1010" s="314"/>
      <c r="N1010" s="314"/>
      <c r="O1010" s="314"/>
      <c r="P1010" s="314"/>
      <c r="Q1010" s="321"/>
      <c r="R1010" s="321"/>
      <c r="S1010" s="321"/>
      <c r="T1010" s="321"/>
      <c r="U1010" s="321"/>
      <c r="V1010" s="321"/>
      <c r="W1010" s="321"/>
      <c r="X1010" s="321"/>
      <c r="Y1010" s="321"/>
      <c r="Z1010" s="321"/>
      <c r="AA1010" s="321"/>
      <c r="AB1010" s="321"/>
      <c r="AC1010" s="321"/>
      <c r="AD1010" s="321"/>
      <c r="AE1010" s="321"/>
      <c r="AF1010" s="321"/>
      <c r="AG1010" s="321"/>
      <c r="AH1010" s="321"/>
      <c r="AI1010" s="321"/>
      <c r="AJ1010" s="321"/>
      <c r="AK1010" s="321"/>
      <c r="AL1010" s="321"/>
      <c r="AM1010" s="321"/>
      <c r="AN1010" s="321"/>
    </row>
    <row r="1011" ht="15.75" customHeight="1">
      <c r="A1011" s="314"/>
      <c r="B1011" s="314"/>
      <c r="C1011" s="314"/>
      <c r="D1011" s="314"/>
      <c r="E1011" s="314"/>
      <c r="F1011" s="314"/>
      <c r="G1011" s="314"/>
      <c r="H1011" s="314"/>
      <c r="I1011" s="314"/>
      <c r="J1011" s="314"/>
      <c r="K1011" s="321"/>
      <c r="L1011" s="321"/>
      <c r="M1011" s="314"/>
      <c r="N1011" s="314"/>
      <c r="O1011" s="314"/>
      <c r="P1011" s="314"/>
      <c r="Q1011" s="321"/>
      <c r="R1011" s="321"/>
      <c r="S1011" s="321"/>
      <c r="T1011" s="321"/>
      <c r="U1011" s="321"/>
      <c r="V1011" s="321"/>
      <c r="W1011" s="321"/>
      <c r="X1011" s="321"/>
      <c r="Y1011" s="321"/>
      <c r="Z1011" s="321"/>
      <c r="AA1011" s="321"/>
      <c r="AB1011" s="321"/>
      <c r="AC1011" s="321"/>
      <c r="AD1011" s="321"/>
      <c r="AE1011" s="321"/>
      <c r="AF1011" s="321"/>
      <c r="AG1011" s="321"/>
      <c r="AH1011" s="321"/>
      <c r="AI1011" s="321"/>
      <c r="AJ1011" s="321"/>
      <c r="AK1011" s="321"/>
      <c r="AL1011" s="321"/>
      <c r="AM1011" s="321"/>
      <c r="AN1011" s="321"/>
    </row>
    <row r="1012" ht="15.75" customHeight="1">
      <c r="A1012" s="314"/>
      <c r="B1012" s="314"/>
      <c r="C1012" s="314"/>
      <c r="D1012" s="314"/>
      <c r="E1012" s="314"/>
      <c r="F1012" s="314"/>
      <c r="G1012" s="314"/>
      <c r="H1012" s="314"/>
      <c r="I1012" s="314"/>
      <c r="J1012" s="314"/>
      <c r="K1012" s="321"/>
      <c r="L1012" s="321"/>
      <c r="M1012" s="314"/>
      <c r="N1012" s="314"/>
      <c r="O1012" s="314"/>
      <c r="P1012" s="314"/>
      <c r="Q1012" s="321"/>
      <c r="R1012" s="321"/>
      <c r="S1012" s="321"/>
      <c r="T1012" s="321"/>
      <c r="U1012" s="321"/>
      <c r="V1012" s="321"/>
      <c r="W1012" s="321"/>
      <c r="X1012" s="321"/>
      <c r="Y1012" s="321"/>
      <c r="Z1012" s="321"/>
      <c r="AA1012" s="321"/>
      <c r="AB1012" s="321"/>
      <c r="AC1012" s="321"/>
      <c r="AD1012" s="321"/>
      <c r="AE1012" s="321"/>
      <c r="AF1012" s="321"/>
      <c r="AG1012" s="321"/>
      <c r="AH1012" s="321"/>
      <c r="AI1012" s="321"/>
      <c r="AJ1012" s="321"/>
      <c r="AK1012" s="321"/>
      <c r="AL1012" s="321"/>
      <c r="AM1012" s="321"/>
      <c r="AN1012" s="321"/>
    </row>
    <row r="1013" ht="15.75" customHeight="1">
      <c r="A1013" s="314"/>
      <c r="B1013" s="314"/>
      <c r="C1013" s="314"/>
      <c r="D1013" s="314"/>
      <c r="E1013" s="314"/>
      <c r="F1013" s="314"/>
      <c r="G1013" s="314"/>
      <c r="H1013" s="314"/>
      <c r="I1013" s="314"/>
      <c r="J1013" s="314"/>
      <c r="K1013" s="321"/>
      <c r="L1013" s="321"/>
      <c r="M1013" s="314"/>
      <c r="N1013" s="314"/>
      <c r="O1013" s="314"/>
      <c r="P1013" s="314"/>
      <c r="Q1013" s="321"/>
      <c r="R1013" s="321"/>
      <c r="S1013" s="321"/>
      <c r="T1013" s="321"/>
      <c r="U1013" s="321"/>
      <c r="V1013" s="321"/>
      <c r="W1013" s="321"/>
      <c r="X1013" s="321"/>
      <c r="Y1013" s="321"/>
      <c r="Z1013" s="321"/>
      <c r="AA1013" s="321"/>
      <c r="AB1013" s="321"/>
      <c r="AC1013" s="321"/>
      <c r="AD1013" s="321"/>
      <c r="AE1013" s="321"/>
      <c r="AF1013" s="321"/>
      <c r="AG1013" s="321"/>
      <c r="AH1013" s="321"/>
      <c r="AI1013" s="321"/>
      <c r="AJ1013" s="321"/>
      <c r="AK1013" s="321"/>
      <c r="AL1013" s="321"/>
      <c r="AM1013" s="321"/>
      <c r="AN1013" s="321"/>
    </row>
    <row r="1014" ht="15.75" customHeight="1">
      <c r="A1014" s="314"/>
      <c r="B1014" s="314"/>
      <c r="C1014" s="314"/>
      <c r="D1014" s="314"/>
      <c r="E1014" s="314"/>
      <c r="F1014" s="314"/>
      <c r="G1014" s="314"/>
      <c r="H1014" s="314"/>
      <c r="I1014" s="314"/>
      <c r="J1014" s="314"/>
      <c r="K1014" s="321"/>
      <c r="L1014" s="321"/>
      <c r="M1014" s="314"/>
      <c r="N1014" s="314"/>
      <c r="O1014" s="314"/>
      <c r="P1014" s="314"/>
      <c r="Q1014" s="321"/>
      <c r="R1014" s="321"/>
      <c r="S1014" s="321"/>
      <c r="T1014" s="321"/>
      <c r="U1014" s="321"/>
      <c r="V1014" s="321"/>
      <c r="W1014" s="321"/>
      <c r="X1014" s="321"/>
      <c r="Y1014" s="321"/>
      <c r="Z1014" s="321"/>
      <c r="AA1014" s="321"/>
      <c r="AB1014" s="321"/>
      <c r="AC1014" s="321"/>
      <c r="AD1014" s="321"/>
      <c r="AE1014" s="321"/>
      <c r="AF1014" s="321"/>
      <c r="AG1014" s="321"/>
      <c r="AH1014" s="321"/>
      <c r="AI1014" s="321"/>
      <c r="AJ1014" s="321"/>
      <c r="AK1014" s="321"/>
      <c r="AL1014" s="321"/>
      <c r="AM1014" s="321"/>
      <c r="AN1014" s="321"/>
    </row>
    <row r="1015" ht="15.75" customHeight="1">
      <c r="A1015" s="314"/>
      <c r="B1015" s="314"/>
      <c r="C1015" s="314"/>
      <c r="D1015" s="314"/>
      <c r="E1015" s="314"/>
      <c r="F1015" s="314"/>
      <c r="G1015" s="314"/>
      <c r="H1015" s="314"/>
      <c r="I1015" s="314"/>
      <c r="J1015" s="314"/>
      <c r="K1015" s="321"/>
      <c r="L1015" s="321"/>
      <c r="M1015" s="314"/>
      <c r="N1015" s="314"/>
      <c r="O1015" s="314"/>
      <c r="P1015" s="314"/>
      <c r="Q1015" s="321"/>
      <c r="R1015" s="321"/>
      <c r="S1015" s="321"/>
      <c r="T1015" s="321"/>
      <c r="U1015" s="321"/>
      <c r="V1015" s="321"/>
      <c r="W1015" s="321"/>
      <c r="X1015" s="321"/>
      <c r="Y1015" s="321"/>
      <c r="Z1015" s="321"/>
      <c r="AA1015" s="321"/>
      <c r="AB1015" s="321"/>
      <c r="AC1015" s="321"/>
      <c r="AD1015" s="321"/>
      <c r="AE1015" s="321"/>
      <c r="AF1015" s="321"/>
      <c r="AG1015" s="321"/>
      <c r="AH1015" s="321"/>
      <c r="AI1015" s="321"/>
      <c r="AJ1015" s="321"/>
      <c r="AK1015" s="321"/>
      <c r="AL1015" s="321"/>
      <c r="AM1015" s="321"/>
      <c r="AN1015" s="321"/>
    </row>
    <row r="1016" ht="15.75" customHeight="1">
      <c r="A1016" s="314"/>
      <c r="B1016" s="314"/>
      <c r="C1016" s="314"/>
      <c r="D1016" s="314"/>
      <c r="E1016" s="314"/>
      <c r="F1016" s="314"/>
      <c r="G1016" s="314"/>
      <c r="H1016" s="314"/>
      <c r="I1016" s="314"/>
      <c r="J1016" s="314"/>
      <c r="K1016" s="321"/>
      <c r="L1016" s="321"/>
      <c r="M1016" s="314"/>
      <c r="N1016" s="314"/>
      <c r="O1016" s="314"/>
      <c r="P1016" s="314"/>
      <c r="Q1016" s="321"/>
      <c r="R1016" s="321"/>
      <c r="S1016" s="321"/>
      <c r="T1016" s="321"/>
      <c r="U1016" s="321"/>
      <c r="V1016" s="321"/>
      <c r="W1016" s="321"/>
      <c r="X1016" s="321"/>
      <c r="Y1016" s="321"/>
      <c r="Z1016" s="321"/>
      <c r="AA1016" s="321"/>
      <c r="AB1016" s="321"/>
      <c r="AC1016" s="321"/>
      <c r="AD1016" s="321"/>
      <c r="AE1016" s="321"/>
      <c r="AF1016" s="321"/>
      <c r="AG1016" s="321"/>
      <c r="AH1016" s="321"/>
      <c r="AI1016" s="321"/>
      <c r="AJ1016" s="321"/>
      <c r="AK1016" s="321"/>
      <c r="AL1016" s="321"/>
      <c r="AM1016" s="321"/>
      <c r="AN1016" s="321"/>
    </row>
    <row r="1017" ht="15.75" customHeight="1">
      <c r="A1017" s="314"/>
      <c r="B1017" s="314"/>
      <c r="C1017" s="314"/>
      <c r="D1017" s="314"/>
      <c r="E1017" s="314"/>
      <c r="F1017" s="314"/>
      <c r="G1017" s="314"/>
      <c r="H1017" s="314"/>
      <c r="I1017" s="314"/>
      <c r="J1017" s="314"/>
      <c r="K1017" s="321"/>
      <c r="L1017" s="321"/>
      <c r="M1017" s="314"/>
      <c r="N1017" s="314"/>
      <c r="O1017" s="314"/>
      <c r="P1017" s="314"/>
      <c r="Q1017" s="321"/>
      <c r="R1017" s="321"/>
      <c r="S1017" s="321"/>
      <c r="T1017" s="321"/>
      <c r="U1017" s="321"/>
      <c r="V1017" s="321"/>
      <c r="W1017" s="321"/>
      <c r="X1017" s="321"/>
      <c r="Y1017" s="321"/>
      <c r="Z1017" s="321"/>
      <c r="AA1017" s="321"/>
      <c r="AB1017" s="321"/>
      <c r="AC1017" s="321"/>
      <c r="AD1017" s="321"/>
      <c r="AE1017" s="321"/>
      <c r="AF1017" s="321"/>
      <c r="AG1017" s="321"/>
      <c r="AH1017" s="321"/>
      <c r="AI1017" s="321"/>
      <c r="AJ1017" s="321"/>
      <c r="AK1017" s="321"/>
      <c r="AL1017" s="321"/>
      <c r="AM1017" s="321"/>
      <c r="AN1017" s="321"/>
    </row>
    <row r="1018" ht="15.75" customHeight="1">
      <c r="A1018" s="314"/>
      <c r="B1018" s="314"/>
      <c r="C1018" s="314"/>
      <c r="D1018" s="314"/>
      <c r="E1018" s="314"/>
      <c r="F1018" s="314"/>
      <c r="G1018" s="314"/>
      <c r="H1018" s="314"/>
      <c r="I1018" s="314"/>
      <c r="J1018" s="314"/>
      <c r="K1018" s="321"/>
      <c r="L1018" s="321"/>
      <c r="M1018" s="314"/>
      <c r="N1018" s="314"/>
      <c r="O1018" s="314"/>
      <c r="P1018" s="314"/>
      <c r="Q1018" s="321"/>
      <c r="R1018" s="321"/>
      <c r="S1018" s="321"/>
      <c r="T1018" s="321"/>
      <c r="U1018" s="321"/>
      <c r="V1018" s="321"/>
      <c r="W1018" s="321"/>
      <c r="X1018" s="321"/>
      <c r="Y1018" s="321"/>
      <c r="Z1018" s="321"/>
      <c r="AA1018" s="321"/>
      <c r="AB1018" s="321"/>
      <c r="AC1018" s="321"/>
      <c r="AD1018" s="321"/>
      <c r="AE1018" s="321"/>
      <c r="AF1018" s="321"/>
      <c r="AG1018" s="321"/>
      <c r="AH1018" s="321"/>
      <c r="AI1018" s="321"/>
      <c r="AJ1018" s="321"/>
      <c r="AK1018" s="321"/>
      <c r="AL1018" s="321"/>
      <c r="AM1018" s="321"/>
      <c r="AN1018" s="321"/>
    </row>
  </sheetData>
  <mergeCells count="11">
    <mergeCell ref="E196:J196"/>
    <mergeCell ref="E218:J218"/>
    <mergeCell ref="E279:J279"/>
    <mergeCell ref="E290:J290"/>
    <mergeCell ref="E2:J2"/>
    <mergeCell ref="G5:H5"/>
    <mergeCell ref="E23:J23"/>
    <mergeCell ref="E64:J64"/>
    <mergeCell ref="E142:J142"/>
    <mergeCell ref="E145:J145"/>
    <mergeCell ref="E164:J164"/>
  </mergeCells>
  <dataValidations>
    <dataValidation type="list" allowBlank="1" showErrorMessage="1" sqref="A4 A6:A12 A14:A17 A19:A20 A25:A55 A57:A61 A67:A76 A78:A86 A88:A96 A98:A115 A117 A119:A120 A122:A133 A135 A137:A142 A148:A153 A155:A161 A167:A175 A177:A184 A186:A193 A199:A215 A221:A276 A280:A287 A293:A298 A300:A305 A307 A309:A316">
      <formula1>"Subido con Éxito,En Proceso,Faltan Imagenes,PENDIENTE"</formula1>
    </dataValidation>
  </dataValidations>
  <printOptions/>
  <pageMargins bottom="0.75" footer="0.0" header="0.0" left="0.7" right="0.7" top="0.75"/>
  <pageSetup paperSize="9" scale="5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DF3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51.57"/>
    <col customWidth="1" min="3" max="3" width="3.86"/>
    <col customWidth="1" min="4" max="4" width="21.29"/>
    <col customWidth="1" min="5" max="5" width="15.29"/>
    <col customWidth="1" min="7" max="7" width="15.71"/>
    <col customWidth="1" min="9" max="9" width="20.86"/>
    <col customWidth="1" min="10" max="10" width="29.43"/>
    <col customWidth="1" min="12" max="12" width="21.29"/>
    <col customWidth="1" min="14" max="14" width="29.29"/>
    <col customWidth="1" min="15" max="15" width="42.86"/>
    <col customWidth="1" min="16" max="16" width="18.43"/>
    <col customWidth="1" min="17" max="17" width="12.43"/>
    <col customWidth="1" min="18" max="18" width="18.57"/>
    <col customWidth="1" min="19" max="19" width="13.86"/>
    <col customWidth="1" min="21" max="21" width="23.86"/>
    <col customWidth="1" min="23" max="23" width="16.0"/>
  </cols>
  <sheetData>
    <row r="1">
      <c r="A1" s="525"/>
      <c r="G1" s="526"/>
    </row>
    <row r="2">
      <c r="A2" s="527" t="s">
        <v>945</v>
      </c>
      <c r="D2" s="526" t="s">
        <v>946</v>
      </c>
      <c r="U2" s="528" t="s">
        <v>947</v>
      </c>
      <c r="V2" s="526" t="s">
        <v>948</v>
      </c>
    </row>
    <row r="3">
      <c r="A3" s="525"/>
      <c r="G3" s="526"/>
      <c r="P3" s="529"/>
      <c r="Q3" s="529"/>
      <c r="R3" s="526"/>
      <c r="S3" s="526"/>
    </row>
    <row r="4">
      <c r="A4" s="530" t="s">
        <v>949</v>
      </c>
      <c r="B4" s="530" t="s">
        <v>950</v>
      </c>
      <c r="C4" s="531"/>
      <c r="D4" s="531" t="s">
        <v>951</v>
      </c>
      <c r="E4" s="532" t="s">
        <v>952</v>
      </c>
      <c r="F4" s="533" t="s">
        <v>953</v>
      </c>
      <c r="G4" s="530" t="s">
        <v>954</v>
      </c>
      <c r="H4" s="534"/>
      <c r="I4" s="530" t="s">
        <v>955</v>
      </c>
      <c r="J4" s="534"/>
      <c r="K4" s="535" t="s">
        <v>956</v>
      </c>
      <c r="L4" s="536"/>
      <c r="M4" s="537" t="s">
        <v>957</v>
      </c>
      <c r="N4" s="538"/>
      <c r="O4" s="538"/>
      <c r="Q4" s="539" t="s">
        <v>958</v>
      </c>
      <c r="R4" s="540" t="s">
        <v>959</v>
      </c>
      <c r="S4" s="540" t="s">
        <v>960</v>
      </c>
      <c r="T4" s="541" t="s">
        <v>961</v>
      </c>
    </row>
    <row r="5">
      <c r="A5" s="538" t="s">
        <v>962</v>
      </c>
      <c r="B5" s="538" t="s">
        <v>963</v>
      </c>
      <c r="C5" s="538"/>
      <c r="D5" s="542">
        <v>6.41</v>
      </c>
      <c r="E5" s="543">
        <f t="shared" ref="E5:E21" si="1">D5*1.35</f>
        <v>8.6535</v>
      </c>
      <c r="F5" s="544">
        <f t="shared" ref="F5:F21" si="2">E5*1.22</f>
        <v>10.55727</v>
      </c>
      <c r="G5" s="545"/>
      <c r="H5" s="546"/>
      <c r="I5" s="547"/>
      <c r="J5" s="546"/>
      <c r="K5" s="548"/>
      <c r="L5" s="538"/>
      <c r="M5" s="538"/>
      <c r="N5" s="538"/>
      <c r="O5" s="549" t="str">
        <f t="shared" ref="O5:O21" si="3">B5</f>
        <v>HM solvente - Xilol 1 L</v>
      </c>
      <c r="Q5" s="550">
        <f t="shared" ref="Q5:Q12" si="4">F5</f>
        <v>10.55727</v>
      </c>
      <c r="R5" s="550">
        <f t="shared" ref="R5:R21" si="5">Q5*42.2</f>
        <v>445.516794</v>
      </c>
      <c r="S5" s="551">
        <f t="shared" ref="S5:S21" si="6">Q5*1.23</f>
        <v>12.9854421</v>
      </c>
      <c r="T5" s="550">
        <f t="shared" ref="T5:T21" si="7">S5*42.2</f>
        <v>547.9856566</v>
      </c>
      <c r="U5" s="552"/>
      <c r="V5" s="526" t="s">
        <v>964</v>
      </c>
    </row>
    <row r="6">
      <c r="A6" s="538" t="s">
        <v>962</v>
      </c>
      <c r="B6" s="538" t="s">
        <v>965</v>
      </c>
      <c r="C6" s="538"/>
      <c r="D6" s="542">
        <v>49.4</v>
      </c>
      <c r="E6" s="543">
        <f t="shared" si="1"/>
        <v>66.69</v>
      </c>
      <c r="F6" s="544">
        <f t="shared" si="2"/>
        <v>81.3618</v>
      </c>
      <c r="G6" s="545"/>
      <c r="H6" s="546"/>
      <c r="I6" s="547"/>
      <c r="J6" s="546"/>
      <c r="K6" s="548"/>
      <c r="L6" s="538"/>
      <c r="M6" s="538"/>
      <c r="N6" s="538"/>
      <c r="O6" s="549" t="str">
        <f t="shared" si="3"/>
        <v>HM solvente - Xilol 10 L</v>
      </c>
      <c r="Q6" s="550">
        <f t="shared" si="4"/>
        <v>81.3618</v>
      </c>
      <c r="R6" s="550">
        <f t="shared" si="5"/>
        <v>3433.46796</v>
      </c>
      <c r="S6" s="551">
        <f t="shared" si="6"/>
        <v>100.075014</v>
      </c>
      <c r="T6" s="550">
        <f t="shared" si="7"/>
        <v>4223.165591</v>
      </c>
      <c r="U6" s="552"/>
      <c r="V6" s="526" t="s">
        <v>964</v>
      </c>
    </row>
    <row r="7">
      <c r="A7" s="553" t="s">
        <v>966</v>
      </c>
      <c r="B7" s="554" t="s">
        <v>967</v>
      </c>
      <c r="C7" s="553"/>
      <c r="D7" s="542">
        <v>7.69</v>
      </c>
      <c r="E7" s="543">
        <f t="shared" si="1"/>
        <v>10.3815</v>
      </c>
      <c r="F7" s="544">
        <f t="shared" si="2"/>
        <v>12.66543</v>
      </c>
      <c r="G7" s="545">
        <v>0.76</v>
      </c>
      <c r="H7" s="546" t="s">
        <v>21</v>
      </c>
      <c r="I7" s="547">
        <f t="shared" ref="I7:I21" si="8">E7/G7</f>
        <v>13.65986842</v>
      </c>
      <c r="J7" s="546" t="s">
        <v>968</v>
      </c>
      <c r="K7" s="555">
        <f t="shared" ref="K7:K21" si="9">I7*1.22</f>
        <v>16.66503947</v>
      </c>
      <c r="L7" s="556" t="s">
        <v>968</v>
      </c>
      <c r="M7" s="556"/>
      <c r="N7" s="556"/>
      <c r="O7" s="557" t="str">
        <f t="shared" si="3"/>
        <v>CAUCHO LIQUIDO 7 EN 1 AEROSOL</v>
      </c>
      <c r="Q7" s="550">
        <f t="shared" si="4"/>
        <v>12.66543</v>
      </c>
      <c r="R7" s="550">
        <f t="shared" si="5"/>
        <v>534.481146</v>
      </c>
      <c r="S7" s="551">
        <f t="shared" si="6"/>
        <v>15.5784789</v>
      </c>
      <c r="T7" s="550">
        <f t="shared" si="7"/>
        <v>657.4118096</v>
      </c>
      <c r="U7" s="558"/>
      <c r="V7" s="559" t="s">
        <v>964</v>
      </c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  <c r="AH7" s="559"/>
      <c r="AI7" s="559"/>
      <c r="AJ7" s="559"/>
    </row>
    <row r="8">
      <c r="A8" s="553" t="s">
        <v>969</v>
      </c>
      <c r="B8" s="554" t="s">
        <v>970</v>
      </c>
      <c r="C8" s="553"/>
      <c r="D8" s="560">
        <v>14.89</v>
      </c>
      <c r="E8" s="543">
        <f t="shared" si="1"/>
        <v>20.1015</v>
      </c>
      <c r="F8" s="544">
        <f t="shared" si="2"/>
        <v>24.52383</v>
      </c>
      <c r="G8" s="545">
        <v>4.2</v>
      </c>
      <c r="H8" s="546" t="s">
        <v>21</v>
      </c>
      <c r="I8" s="547">
        <f t="shared" si="8"/>
        <v>4.786071429</v>
      </c>
      <c r="J8" s="546" t="s">
        <v>968</v>
      </c>
      <c r="K8" s="548">
        <f t="shared" si="9"/>
        <v>5.839007143</v>
      </c>
      <c r="L8" s="538" t="s">
        <v>968</v>
      </c>
      <c r="M8" s="538" t="s">
        <v>971</v>
      </c>
      <c r="N8" s="538"/>
      <c r="O8" s="557" t="str">
        <f t="shared" si="3"/>
        <v>Caucho Líquido 7 en 1. 900 ml</v>
      </c>
      <c r="Q8" s="550">
        <f t="shared" si="4"/>
        <v>24.52383</v>
      </c>
      <c r="R8" s="561">
        <f t="shared" si="5"/>
        <v>1034.905626</v>
      </c>
      <c r="S8" s="551">
        <f t="shared" si="6"/>
        <v>30.1643109</v>
      </c>
      <c r="T8" s="550">
        <f t="shared" si="7"/>
        <v>1272.93392</v>
      </c>
      <c r="U8" s="552"/>
      <c r="V8" s="526" t="s">
        <v>964</v>
      </c>
    </row>
    <row r="9">
      <c r="A9" s="553" t="s">
        <v>969</v>
      </c>
      <c r="B9" s="554" t="s">
        <v>972</v>
      </c>
      <c r="C9" s="553"/>
      <c r="D9" s="542">
        <v>61.3</v>
      </c>
      <c r="E9" s="543">
        <f t="shared" si="1"/>
        <v>82.755</v>
      </c>
      <c r="F9" s="544">
        <f t="shared" si="2"/>
        <v>100.9611</v>
      </c>
      <c r="G9" s="545">
        <v>15.12</v>
      </c>
      <c r="H9" s="546" t="s">
        <v>21</v>
      </c>
      <c r="I9" s="547">
        <f t="shared" si="8"/>
        <v>5.473214286</v>
      </c>
      <c r="J9" s="546" t="s">
        <v>968</v>
      </c>
      <c r="K9" s="548">
        <f t="shared" si="9"/>
        <v>6.677321429</v>
      </c>
      <c r="L9" s="538" t="s">
        <v>968</v>
      </c>
      <c r="M9" s="538" t="s">
        <v>971</v>
      </c>
      <c r="N9" s="538"/>
      <c r="O9" s="557" t="str">
        <f t="shared" si="3"/>
        <v>Caucho Líquido 7 en 1. 3.6 kg</v>
      </c>
      <c r="Q9" s="550">
        <f t="shared" si="4"/>
        <v>100.9611</v>
      </c>
      <c r="R9" s="561">
        <f t="shared" si="5"/>
        <v>4260.55842</v>
      </c>
      <c r="S9" s="551">
        <f t="shared" si="6"/>
        <v>124.182153</v>
      </c>
      <c r="T9" s="550">
        <f t="shared" si="7"/>
        <v>5240.486857</v>
      </c>
      <c r="U9" s="552"/>
      <c r="V9" s="526" t="s">
        <v>964</v>
      </c>
    </row>
    <row r="10">
      <c r="A10" s="553" t="s">
        <v>973</v>
      </c>
      <c r="B10" s="562" t="s">
        <v>974</v>
      </c>
      <c r="C10" s="562"/>
      <c r="D10" s="542">
        <v>14.89</v>
      </c>
      <c r="E10" s="543">
        <f t="shared" si="1"/>
        <v>20.1015</v>
      </c>
      <c r="F10" s="544">
        <f t="shared" si="2"/>
        <v>24.52383</v>
      </c>
      <c r="G10" s="545">
        <f>1.107/2</f>
        <v>0.5535</v>
      </c>
      <c r="H10" s="546" t="s">
        <v>21</v>
      </c>
      <c r="I10" s="547">
        <f t="shared" si="8"/>
        <v>36.31707317</v>
      </c>
      <c r="J10" s="546" t="s">
        <v>968</v>
      </c>
      <c r="K10" s="548">
        <f t="shared" si="9"/>
        <v>44.30682927</v>
      </c>
      <c r="L10" s="538" t="s">
        <v>968</v>
      </c>
      <c r="M10" s="538" t="s">
        <v>975</v>
      </c>
      <c r="N10" s="538"/>
      <c r="O10" s="557" t="str">
        <f t="shared" si="3"/>
        <v>SELLADOR FLEX PRO 900G</v>
      </c>
      <c r="Q10" s="550">
        <f t="shared" si="4"/>
        <v>24.52383</v>
      </c>
      <c r="R10" s="561">
        <f t="shared" si="5"/>
        <v>1034.905626</v>
      </c>
      <c r="S10" s="551">
        <f t="shared" si="6"/>
        <v>30.1643109</v>
      </c>
      <c r="T10" s="550">
        <f t="shared" si="7"/>
        <v>1272.93392</v>
      </c>
      <c r="U10" s="552"/>
      <c r="V10" s="526" t="s">
        <v>964</v>
      </c>
    </row>
    <row r="11">
      <c r="A11" s="553" t="s">
        <v>976</v>
      </c>
      <c r="B11" s="562" t="s">
        <v>974</v>
      </c>
      <c r="C11" s="562"/>
      <c r="D11" s="542">
        <v>14.89</v>
      </c>
      <c r="E11" s="543">
        <f t="shared" si="1"/>
        <v>20.1015</v>
      </c>
      <c r="F11" s="544">
        <f t="shared" si="2"/>
        <v>24.52383</v>
      </c>
      <c r="G11" s="545">
        <f>1.107/0.14</f>
        <v>7.907142857</v>
      </c>
      <c r="H11" s="546" t="s">
        <v>977</v>
      </c>
      <c r="I11" s="547">
        <f t="shared" si="8"/>
        <v>2.542195122</v>
      </c>
      <c r="J11" s="546" t="s">
        <v>978</v>
      </c>
      <c r="K11" s="548">
        <f t="shared" si="9"/>
        <v>3.101478049</v>
      </c>
      <c r="L11" s="538" t="s">
        <v>978</v>
      </c>
      <c r="M11" s="538" t="s">
        <v>979</v>
      </c>
      <c r="N11" s="538"/>
      <c r="O11" s="557" t="str">
        <f t="shared" si="3"/>
        <v>SELLADOR FLEX PRO 900G</v>
      </c>
      <c r="Q11" s="550">
        <f t="shared" si="4"/>
        <v>24.52383</v>
      </c>
      <c r="R11" s="561">
        <f t="shared" si="5"/>
        <v>1034.905626</v>
      </c>
      <c r="S11" s="551">
        <f t="shared" si="6"/>
        <v>30.1643109</v>
      </c>
      <c r="T11" s="550">
        <f t="shared" si="7"/>
        <v>1272.93392</v>
      </c>
      <c r="U11" s="552"/>
      <c r="V11" s="526" t="s">
        <v>980</v>
      </c>
    </row>
    <row r="12">
      <c r="A12" s="553" t="s">
        <v>981</v>
      </c>
      <c r="B12" s="562" t="s">
        <v>974</v>
      </c>
      <c r="C12" s="562"/>
      <c r="D12" s="542">
        <v>14.89</v>
      </c>
      <c r="E12" s="543">
        <f t="shared" si="1"/>
        <v>20.1015</v>
      </c>
      <c r="F12" s="544">
        <f t="shared" si="2"/>
        <v>24.52383</v>
      </c>
      <c r="G12" s="545">
        <f>1.107/0.016</f>
        <v>69.1875</v>
      </c>
      <c r="H12" s="546" t="s">
        <v>982</v>
      </c>
      <c r="I12" s="547">
        <f t="shared" si="8"/>
        <v>0.2905365854</v>
      </c>
      <c r="J12" s="546" t="s">
        <v>983</v>
      </c>
      <c r="K12" s="548">
        <f t="shared" si="9"/>
        <v>0.3544546341</v>
      </c>
      <c r="L12" s="538" t="s">
        <v>983</v>
      </c>
      <c r="M12" s="538" t="s">
        <v>984</v>
      </c>
      <c r="N12" s="538"/>
      <c r="O12" s="557" t="str">
        <f t="shared" si="3"/>
        <v>SELLADOR FLEX PRO 900G</v>
      </c>
      <c r="Q12" s="550">
        <f t="shared" si="4"/>
        <v>24.52383</v>
      </c>
      <c r="R12" s="561">
        <f t="shared" si="5"/>
        <v>1034.905626</v>
      </c>
      <c r="S12" s="551">
        <f t="shared" si="6"/>
        <v>30.1643109</v>
      </c>
      <c r="T12" s="550">
        <f t="shared" si="7"/>
        <v>1272.93392</v>
      </c>
      <c r="U12" s="552"/>
      <c r="V12" s="526" t="s">
        <v>980</v>
      </c>
    </row>
    <row r="13">
      <c r="A13" s="553" t="s">
        <v>985</v>
      </c>
      <c r="B13" s="562" t="s">
        <v>986</v>
      </c>
      <c r="C13" s="563"/>
      <c r="D13" s="542">
        <v>102.05</v>
      </c>
      <c r="E13" s="543">
        <f t="shared" si="1"/>
        <v>137.7675</v>
      </c>
      <c r="F13" s="544">
        <f t="shared" si="2"/>
        <v>168.07635</v>
      </c>
      <c r="G13" s="545">
        <v>60.0</v>
      </c>
      <c r="H13" s="546" t="s">
        <v>21</v>
      </c>
      <c r="I13" s="547">
        <f t="shared" si="8"/>
        <v>2.296125</v>
      </c>
      <c r="J13" s="546" t="s">
        <v>968</v>
      </c>
      <c r="K13" s="548">
        <f t="shared" si="9"/>
        <v>2.8012725</v>
      </c>
      <c r="L13" s="538" t="s">
        <v>968</v>
      </c>
      <c r="M13" s="538"/>
      <c r="N13" s="538"/>
      <c r="O13" s="564" t="str">
        <f t="shared" si="3"/>
        <v>IMPERTECH 3 en 1. 14kg - (BASE AGUA) </v>
      </c>
      <c r="P13" s="565" t="s">
        <v>987</v>
      </c>
      <c r="Q13" s="566">
        <f t="shared" ref="Q13:Q20" si="10">F13+3.5</f>
        <v>171.57635</v>
      </c>
      <c r="R13" s="567">
        <f t="shared" si="5"/>
        <v>7240.52197</v>
      </c>
      <c r="S13" s="551">
        <f t="shared" si="6"/>
        <v>211.0389105</v>
      </c>
      <c r="T13" s="550">
        <f t="shared" si="7"/>
        <v>8905.842023</v>
      </c>
      <c r="U13" s="552"/>
      <c r="V13" s="565" t="s">
        <v>964</v>
      </c>
    </row>
    <row r="14">
      <c r="A14" s="553" t="s">
        <v>988</v>
      </c>
      <c r="B14" s="562" t="s">
        <v>989</v>
      </c>
      <c r="C14" s="568"/>
      <c r="D14" s="569">
        <f>102.05*1.1</f>
        <v>112.255</v>
      </c>
      <c r="E14" s="543">
        <f t="shared" si="1"/>
        <v>151.54425</v>
      </c>
      <c r="F14" s="544">
        <f t="shared" si="2"/>
        <v>184.883985</v>
      </c>
      <c r="G14" s="545">
        <v>60.0</v>
      </c>
      <c r="H14" s="546" t="s">
        <v>21</v>
      </c>
      <c r="I14" s="547">
        <f t="shared" si="8"/>
        <v>2.5257375</v>
      </c>
      <c r="J14" s="546" t="s">
        <v>968</v>
      </c>
      <c r="K14" s="548">
        <f t="shared" si="9"/>
        <v>3.08139975</v>
      </c>
      <c r="L14" s="538" t="s">
        <v>968</v>
      </c>
      <c r="M14" s="538"/>
      <c r="N14" s="538"/>
      <c r="O14" s="564" t="str">
        <f t="shared" si="3"/>
        <v>IMPERTECH 3 en 1. 14kg - (Base A) Colores Pastel</v>
      </c>
      <c r="P14" s="565" t="s">
        <v>987</v>
      </c>
      <c r="Q14" s="566">
        <f t="shared" si="10"/>
        <v>188.383985</v>
      </c>
      <c r="R14" s="567">
        <f t="shared" si="5"/>
        <v>7949.804167</v>
      </c>
      <c r="S14" s="551">
        <f t="shared" si="6"/>
        <v>231.7123016</v>
      </c>
      <c r="T14" s="550">
        <f t="shared" si="7"/>
        <v>9778.259125</v>
      </c>
      <c r="U14" s="552"/>
      <c r="V14" s="565" t="s">
        <v>964</v>
      </c>
    </row>
    <row r="15">
      <c r="A15" s="553" t="s">
        <v>988</v>
      </c>
      <c r="B15" s="562" t="s">
        <v>990</v>
      </c>
      <c r="C15" s="570"/>
      <c r="D15" s="569">
        <f>102.05*1.2</f>
        <v>122.46</v>
      </c>
      <c r="E15" s="543">
        <f t="shared" si="1"/>
        <v>165.321</v>
      </c>
      <c r="F15" s="544">
        <f t="shared" si="2"/>
        <v>201.69162</v>
      </c>
      <c r="G15" s="545">
        <v>60.0</v>
      </c>
      <c r="H15" s="546" t="s">
        <v>21</v>
      </c>
      <c r="I15" s="547">
        <f t="shared" si="8"/>
        <v>2.75535</v>
      </c>
      <c r="J15" s="546" t="s">
        <v>968</v>
      </c>
      <c r="K15" s="548">
        <f t="shared" si="9"/>
        <v>3.361527</v>
      </c>
      <c r="L15" s="538" t="s">
        <v>968</v>
      </c>
      <c r="M15" s="538"/>
      <c r="N15" s="538"/>
      <c r="O15" s="564" t="str">
        <f t="shared" si="3"/>
        <v>IMPERTECH 3 en 1. 14kg - (Base B) Colores Medios</v>
      </c>
      <c r="P15" s="565" t="s">
        <v>987</v>
      </c>
      <c r="Q15" s="566">
        <f t="shared" si="10"/>
        <v>205.19162</v>
      </c>
      <c r="R15" s="567">
        <f t="shared" si="5"/>
        <v>8659.086364</v>
      </c>
      <c r="S15" s="551">
        <f t="shared" si="6"/>
        <v>252.3856926</v>
      </c>
      <c r="T15" s="550">
        <f t="shared" si="7"/>
        <v>10650.67623</v>
      </c>
      <c r="U15" s="552"/>
      <c r="V15" s="565" t="s">
        <v>964</v>
      </c>
    </row>
    <row r="16">
      <c r="A16" s="553" t="s">
        <v>988</v>
      </c>
      <c r="B16" s="562" t="s">
        <v>991</v>
      </c>
      <c r="C16" s="571"/>
      <c r="D16" s="569">
        <f>102.05*1.3</f>
        <v>132.665</v>
      </c>
      <c r="E16" s="543">
        <f t="shared" si="1"/>
        <v>179.09775</v>
      </c>
      <c r="F16" s="544">
        <f t="shared" si="2"/>
        <v>218.499255</v>
      </c>
      <c r="G16" s="545">
        <v>60.0</v>
      </c>
      <c r="H16" s="546" t="s">
        <v>21</v>
      </c>
      <c r="I16" s="547">
        <f t="shared" si="8"/>
        <v>2.9849625</v>
      </c>
      <c r="J16" s="546" t="s">
        <v>968</v>
      </c>
      <c r="K16" s="548">
        <f t="shared" si="9"/>
        <v>3.64165425</v>
      </c>
      <c r="L16" s="538" t="s">
        <v>968</v>
      </c>
      <c r="M16" s="538"/>
      <c r="N16" s="538"/>
      <c r="O16" s="564" t="str">
        <f t="shared" si="3"/>
        <v>IMPERTECH 3 en 1. 14kg - (Base C) Colores Fuertes</v>
      </c>
      <c r="P16" s="565" t="s">
        <v>987</v>
      </c>
      <c r="Q16" s="566">
        <f t="shared" si="10"/>
        <v>221.999255</v>
      </c>
      <c r="R16" s="567">
        <f t="shared" si="5"/>
        <v>9368.368561</v>
      </c>
      <c r="S16" s="551">
        <f t="shared" si="6"/>
        <v>273.0590837</v>
      </c>
      <c r="T16" s="550">
        <f t="shared" si="7"/>
        <v>11523.09333</v>
      </c>
      <c r="U16" s="552"/>
      <c r="V16" s="565" t="s">
        <v>964</v>
      </c>
    </row>
    <row r="17">
      <c r="A17" s="572" t="s">
        <v>992</v>
      </c>
      <c r="B17" s="573" t="s">
        <v>993</v>
      </c>
      <c r="C17" s="574"/>
      <c r="D17" s="575">
        <v>102.05</v>
      </c>
      <c r="E17" s="576">
        <f t="shared" si="1"/>
        <v>137.7675</v>
      </c>
      <c r="F17" s="577">
        <f t="shared" si="2"/>
        <v>168.07635</v>
      </c>
      <c r="G17" s="578">
        <v>40.0</v>
      </c>
      <c r="H17" s="579" t="s">
        <v>21</v>
      </c>
      <c r="I17" s="580">
        <f t="shared" si="8"/>
        <v>3.4441875</v>
      </c>
      <c r="J17" s="579" t="s">
        <v>968</v>
      </c>
      <c r="K17" s="581">
        <f t="shared" si="9"/>
        <v>4.20190875</v>
      </c>
      <c r="L17" s="582" t="s">
        <v>968</v>
      </c>
      <c r="M17" s="582"/>
      <c r="N17" s="582"/>
      <c r="O17" s="583" t="str">
        <f t="shared" si="3"/>
        <v>IMPERTECH 3 en 1. 14kg - (BASE AGUA)</v>
      </c>
      <c r="P17" s="584" t="s">
        <v>987</v>
      </c>
      <c r="Q17" s="585">
        <f t="shared" si="10"/>
        <v>171.57635</v>
      </c>
      <c r="R17" s="586">
        <f t="shared" si="5"/>
        <v>7240.52197</v>
      </c>
      <c r="S17" s="587">
        <f t="shared" si="6"/>
        <v>211.0389105</v>
      </c>
      <c r="T17" s="588">
        <f t="shared" si="7"/>
        <v>8905.842023</v>
      </c>
      <c r="U17" s="589"/>
      <c r="V17" s="584" t="s">
        <v>964</v>
      </c>
      <c r="W17" s="590"/>
      <c r="X17" s="590"/>
      <c r="Y17" s="590"/>
      <c r="Z17" s="590"/>
      <c r="AA17" s="590"/>
      <c r="AB17" s="590"/>
      <c r="AC17" s="590"/>
      <c r="AD17" s="590"/>
      <c r="AE17" s="590"/>
      <c r="AF17" s="590"/>
      <c r="AG17" s="590"/>
      <c r="AH17" s="590"/>
      <c r="AI17" s="590"/>
      <c r="AJ17" s="590"/>
    </row>
    <row r="18">
      <c r="A18" s="553" t="s">
        <v>994</v>
      </c>
      <c r="B18" s="562" t="s">
        <v>995</v>
      </c>
      <c r="C18" s="562"/>
      <c r="D18" s="542">
        <v>102.05</v>
      </c>
      <c r="E18" s="543">
        <f t="shared" si="1"/>
        <v>137.7675</v>
      </c>
      <c r="F18" s="544">
        <f t="shared" si="2"/>
        <v>168.07635</v>
      </c>
      <c r="G18" s="545">
        <v>11.0</v>
      </c>
      <c r="H18" s="546" t="s">
        <v>21</v>
      </c>
      <c r="I18" s="547">
        <f t="shared" si="8"/>
        <v>12.52431818</v>
      </c>
      <c r="J18" s="546" t="s">
        <v>968</v>
      </c>
      <c r="K18" s="548">
        <f t="shared" si="9"/>
        <v>15.27966818</v>
      </c>
      <c r="L18" s="538" t="s">
        <v>968</v>
      </c>
      <c r="M18" s="538"/>
      <c r="N18" s="538"/>
      <c r="O18" s="564" t="str">
        <f t="shared" si="3"/>
        <v>IMPERTECH 3 en 1. 14kg - (BASE AGUA) </v>
      </c>
      <c r="P18" s="565" t="s">
        <v>987</v>
      </c>
      <c r="Q18" s="566">
        <f t="shared" si="10"/>
        <v>171.57635</v>
      </c>
      <c r="R18" s="567">
        <f t="shared" si="5"/>
        <v>7240.52197</v>
      </c>
      <c r="S18" s="551">
        <f t="shared" si="6"/>
        <v>211.0389105</v>
      </c>
      <c r="T18" s="550">
        <f t="shared" si="7"/>
        <v>8905.842023</v>
      </c>
      <c r="U18" s="552"/>
      <c r="V18" s="565" t="s">
        <v>964</v>
      </c>
    </row>
    <row r="19">
      <c r="A19" s="556" t="s">
        <v>996</v>
      </c>
      <c r="B19" s="563" t="s">
        <v>997</v>
      </c>
      <c r="C19" s="563"/>
      <c r="D19" s="542">
        <v>102.05</v>
      </c>
      <c r="E19" s="543">
        <f t="shared" si="1"/>
        <v>137.7675</v>
      </c>
      <c r="F19" s="544">
        <f t="shared" si="2"/>
        <v>168.07635</v>
      </c>
      <c r="G19" s="591">
        <v>14.0</v>
      </c>
      <c r="H19" s="592" t="s">
        <v>21</v>
      </c>
      <c r="I19" s="555">
        <f t="shared" si="8"/>
        <v>9.840535714</v>
      </c>
      <c r="J19" s="592" t="s">
        <v>968</v>
      </c>
      <c r="K19" s="548">
        <f t="shared" si="9"/>
        <v>12.00545357</v>
      </c>
      <c r="L19" s="538" t="s">
        <v>968</v>
      </c>
      <c r="M19" s="538"/>
      <c r="N19" s="538"/>
      <c r="O19" s="564" t="str">
        <f t="shared" si="3"/>
        <v>IMPERTECH 3 en 1. 14kg - - (BASE AGUA) </v>
      </c>
      <c r="P19" s="565" t="s">
        <v>987</v>
      </c>
      <c r="Q19" s="566">
        <f t="shared" si="10"/>
        <v>171.57635</v>
      </c>
      <c r="R19" s="567">
        <f t="shared" si="5"/>
        <v>7240.52197</v>
      </c>
      <c r="S19" s="551">
        <f t="shared" si="6"/>
        <v>211.0389105</v>
      </c>
      <c r="T19" s="550">
        <f t="shared" si="7"/>
        <v>8905.842023</v>
      </c>
      <c r="U19" s="552"/>
      <c r="V19" s="565" t="s">
        <v>964</v>
      </c>
    </row>
    <row r="20">
      <c r="A20" s="593" t="s">
        <v>998</v>
      </c>
      <c r="B20" s="563" t="s">
        <v>999</v>
      </c>
      <c r="C20" s="563"/>
      <c r="D20" s="542">
        <v>102.05</v>
      </c>
      <c r="E20" s="543">
        <f t="shared" si="1"/>
        <v>137.7675</v>
      </c>
      <c r="F20" s="544">
        <f t="shared" si="2"/>
        <v>168.07635</v>
      </c>
      <c r="G20" s="594">
        <v>9.33</v>
      </c>
      <c r="H20" s="592" t="s">
        <v>21</v>
      </c>
      <c r="I20" s="555">
        <f t="shared" si="8"/>
        <v>14.76607717</v>
      </c>
      <c r="J20" s="592" t="s">
        <v>968</v>
      </c>
      <c r="K20" s="555">
        <f t="shared" si="9"/>
        <v>18.01461415</v>
      </c>
      <c r="L20" s="592" t="s">
        <v>968</v>
      </c>
      <c r="M20" s="538"/>
      <c r="N20" s="538"/>
      <c r="O20" s="564" t="str">
        <f t="shared" si="3"/>
        <v>IMPERTECH 3 en 1. 14kg - - (BASE AGUA) </v>
      </c>
      <c r="P20" s="565" t="s">
        <v>987</v>
      </c>
      <c r="Q20" s="566">
        <f t="shared" si="10"/>
        <v>171.57635</v>
      </c>
      <c r="R20" s="567">
        <f t="shared" si="5"/>
        <v>7240.52197</v>
      </c>
      <c r="S20" s="551">
        <f t="shared" si="6"/>
        <v>211.0389105</v>
      </c>
      <c r="T20" s="550">
        <f t="shared" si="7"/>
        <v>8905.842023</v>
      </c>
      <c r="U20" s="552"/>
      <c r="V20" s="565" t="s">
        <v>964</v>
      </c>
    </row>
    <row r="21">
      <c r="B21" s="538" t="s">
        <v>1000</v>
      </c>
      <c r="C21" s="538"/>
      <c r="D21" s="542">
        <v>29.45</v>
      </c>
      <c r="E21" s="543">
        <f t="shared" si="1"/>
        <v>39.7575</v>
      </c>
      <c r="F21" s="544">
        <f t="shared" si="2"/>
        <v>48.50415</v>
      </c>
      <c r="G21" s="549">
        <v>5.0</v>
      </c>
      <c r="H21" s="595" t="s">
        <v>21</v>
      </c>
      <c r="I21" s="548">
        <f t="shared" si="8"/>
        <v>7.9515</v>
      </c>
      <c r="J21" s="595" t="s">
        <v>968</v>
      </c>
      <c r="K21" s="548">
        <f t="shared" si="9"/>
        <v>9.70083</v>
      </c>
      <c r="L21" s="595" t="s">
        <v>968</v>
      </c>
      <c r="M21" s="538"/>
      <c r="N21" s="538"/>
      <c r="O21" s="549" t="str">
        <f t="shared" si="3"/>
        <v>Malla de Geotextil. 50 grs/m2. 10cmx50m</v>
      </c>
      <c r="Q21" s="561">
        <v>115.0</v>
      </c>
      <c r="R21" s="561">
        <f t="shared" si="5"/>
        <v>4853</v>
      </c>
      <c r="S21" s="551">
        <f t="shared" si="6"/>
        <v>141.45</v>
      </c>
      <c r="T21" s="550">
        <f t="shared" si="7"/>
        <v>5969.19</v>
      </c>
      <c r="U21" s="552"/>
    </row>
    <row r="22">
      <c r="A22" s="536"/>
      <c r="B22" s="596" t="s">
        <v>1001</v>
      </c>
      <c r="C22" s="596"/>
      <c r="D22" s="542">
        <f>E22/1.35</f>
        <v>0</v>
      </c>
      <c r="E22" s="553"/>
      <c r="F22" s="553"/>
      <c r="G22" s="553"/>
      <c r="H22" s="553"/>
      <c r="I22" s="597">
        <f>I21+I20</f>
        <v>22.71757717</v>
      </c>
      <c r="J22" s="598" t="s">
        <v>968</v>
      </c>
      <c r="K22" s="547">
        <f>K21+K20</f>
        <v>27.71544415</v>
      </c>
      <c r="L22" s="546" t="s">
        <v>968</v>
      </c>
      <c r="M22" s="538"/>
      <c r="N22" s="538"/>
      <c r="O22" s="538"/>
      <c r="P22" s="538"/>
      <c r="Q22" s="538"/>
      <c r="R22" s="538"/>
      <c r="S22" s="538"/>
    </row>
    <row r="23">
      <c r="A23" s="538"/>
      <c r="B23" s="538"/>
      <c r="C23" s="538"/>
      <c r="D23" s="538"/>
      <c r="E23" s="538"/>
      <c r="F23" s="538"/>
      <c r="G23" s="538"/>
      <c r="H23" s="538"/>
      <c r="I23" s="538"/>
      <c r="J23" s="538"/>
      <c r="K23" s="538"/>
      <c r="L23" s="538"/>
      <c r="M23" s="538"/>
      <c r="N23" s="538"/>
      <c r="O23" s="538"/>
      <c r="P23" s="538"/>
      <c r="Q23" s="538"/>
      <c r="R23" s="538"/>
      <c r="S23" s="538"/>
    </row>
    <row r="24">
      <c r="A24" s="599" t="s">
        <v>1002</v>
      </c>
      <c r="B24" s="600" t="s">
        <v>1003</v>
      </c>
      <c r="C24" s="600"/>
      <c r="D24" s="527" t="s">
        <v>1002</v>
      </c>
      <c r="E24" s="527" t="s">
        <v>1002</v>
      </c>
      <c r="F24" s="527" t="s">
        <v>1002</v>
      </c>
      <c r="G24" s="527" t="s">
        <v>1002</v>
      </c>
      <c r="H24" s="527" t="s">
        <v>1002</v>
      </c>
      <c r="I24" s="527" t="s">
        <v>1002</v>
      </c>
      <c r="J24" s="527" t="s">
        <v>1002</v>
      </c>
      <c r="K24" s="527" t="s">
        <v>1002</v>
      </c>
      <c r="L24" s="527" t="s">
        <v>1002</v>
      </c>
      <c r="M24" s="527" t="s">
        <v>1002</v>
      </c>
      <c r="N24" s="527"/>
      <c r="O24" s="527" t="s">
        <v>1002</v>
      </c>
      <c r="P24" s="527"/>
      <c r="Q24" s="527"/>
      <c r="R24" s="527"/>
      <c r="S24" s="527"/>
      <c r="T24" s="527"/>
      <c r="U24" s="527"/>
      <c r="V24" s="527"/>
      <c r="W24" s="527"/>
    </row>
    <row r="25">
      <c r="A25" s="525"/>
      <c r="G25" s="526"/>
    </row>
    <row r="26">
      <c r="A26" s="601" t="s">
        <v>1004</v>
      </c>
      <c r="B26" s="602">
        <v>0.3</v>
      </c>
      <c r="C26" s="603"/>
      <c r="D26" s="603"/>
      <c r="E26" s="538"/>
      <c r="F26" s="538"/>
      <c r="G26" s="538"/>
      <c r="H26" s="538"/>
      <c r="I26" s="538"/>
      <c r="J26" s="538"/>
      <c r="K26" s="538"/>
      <c r="L26" s="538"/>
    </row>
    <row r="27">
      <c r="A27" s="538"/>
      <c r="B27" s="538"/>
      <c r="C27" s="538"/>
      <c r="D27" s="538"/>
      <c r="E27" s="538"/>
      <c r="F27" s="538"/>
      <c r="G27" s="538"/>
      <c r="H27" s="538"/>
      <c r="I27" s="538"/>
      <c r="J27" s="538"/>
      <c r="K27" s="538"/>
      <c r="L27" s="538"/>
    </row>
    <row r="28">
      <c r="A28" s="530" t="s">
        <v>949</v>
      </c>
      <c r="B28" s="530" t="s">
        <v>283</v>
      </c>
      <c r="C28" s="530"/>
      <c r="D28" s="530" t="s">
        <v>951</v>
      </c>
      <c r="E28" s="530" t="s">
        <v>952</v>
      </c>
      <c r="F28" s="530" t="s">
        <v>954</v>
      </c>
      <c r="G28" s="604"/>
      <c r="H28" s="530" t="s">
        <v>1005</v>
      </c>
      <c r="I28" s="604"/>
      <c r="J28" s="530" t="s">
        <v>957</v>
      </c>
      <c r="K28" s="538"/>
      <c r="L28" s="538"/>
    </row>
    <row r="29">
      <c r="A29" s="605" t="s">
        <v>1006</v>
      </c>
      <c r="B29" s="606" t="s">
        <v>1007</v>
      </c>
      <c r="C29" s="606"/>
      <c r="D29" s="606">
        <v>245.06</v>
      </c>
      <c r="E29" s="548">
        <f t="shared" ref="E29:E30" si="11">D29*1.35</f>
        <v>330.831</v>
      </c>
      <c r="F29" s="549">
        <f>18/2</f>
        <v>9</v>
      </c>
      <c r="G29" s="538" t="s">
        <v>1008</v>
      </c>
      <c r="H29" s="548">
        <f t="shared" ref="H29:H31" si="12">E29/F29</f>
        <v>36.759</v>
      </c>
      <c r="I29" s="538" t="s">
        <v>968</v>
      </c>
      <c r="J29" s="595" t="s">
        <v>1009</v>
      </c>
      <c r="K29" s="556"/>
      <c r="L29" s="556"/>
      <c r="M29" s="559"/>
      <c r="N29" s="559"/>
      <c r="O29" s="559"/>
      <c r="P29" s="559"/>
    </row>
    <row r="30">
      <c r="A30" s="607"/>
      <c r="B30" s="606" t="s">
        <v>1010</v>
      </c>
      <c r="C30" s="606"/>
      <c r="D30" s="606">
        <v>266.38</v>
      </c>
      <c r="E30" s="548">
        <f t="shared" si="11"/>
        <v>359.613</v>
      </c>
      <c r="F30" s="549">
        <f>18/0.5</f>
        <v>36</v>
      </c>
      <c r="G30" s="538" t="s">
        <v>1008</v>
      </c>
      <c r="H30" s="548">
        <f t="shared" si="12"/>
        <v>9.98925</v>
      </c>
      <c r="I30" s="538" t="s">
        <v>968</v>
      </c>
      <c r="J30" s="595" t="s">
        <v>1011</v>
      </c>
      <c r="K30" s="538"/>
      <c r="L30" s="538"/>
    </row>
    <row r="31">
      <c r="A31" s="607"/>
      <c r="B31" s="608" t="s">
        <v>1012</v>
      </c>
      <c r="C31" s="608"/>
      <c r="D31" s="608"/>
      <c r="E31" s="548">
        <v>40.0</v>
      </c>
      <c r="F31" s="549">
        <v>50.0</v>
      </c>
      <c r="G31" s="538" t="s">
        <v>21</v>
      </c>
      <c r="H31" s="548">
        <f t="shared" si="12"/>
        <v>0.8</v>
      </c>
      <c r="I31" s="609" t="s">
        <v>968</v>
      </c>
      <c r="J31" s="610"/>
      <c r="K31" s="609"/>
      <c r="L31" s="609"/>
      <c r="M31" s="611"/>
      <c r="N31" s="611"/>
      <c r="O31" s="611"/>
      <c r="P31" s="611"/>
    </row>
    <row r="32">
      <c r="A32" s="612"/>
      <c r="B32" s="596" t="s">
        <v>1001</v>
      </c>
      <c r="C32" s="596"/>
      <c r="D32" s="596"/>
      <c r="E32" s="553"/>
      <c r="F32" s="553"/>
      <c r="G32" s="553"/>
      <c r="H32" s="597">
        <f>SUM(H29:H31)</f>
        <v>47.54825</v>
      </c>
      <c r="I32" s="613" t="s">
        <v>968</v>
      </c>
      <c r="J32" s="610"/>
      <c r="K32" s="538"/>
      <c r="L32" s="538"/>
    </row>
    <row r="33">
      <c r="A33" s="614"/>
      <c r="B33" s="563"/>
      <c r="C33" s="563"/>
      <c r="D33" s="563"/>
      <c r="E33" s="555"/>
      <c r="F33" s="594"/>
      <c r="G33" s="556"/>
      <c r="H33" s="555"/>
      <c r="I33" s="556"/>
      <c r="J33" s="538"/>
      <c r="K33" s="538"/>
      <c r="L33" s="538"/>
    </row>
    <row r="34">
      <c r="A34" s="614" t="s">
        <v>1013</v>
      </c>
      <c r="B34" s="563" t="s">
        <v>1010</v>
      </c>
      <c r="C34" s="563"/>
      <c r="D34" s="563">
        <v>266.38</v>
      </c>
      <c r="E34" s="548">
        <f t="shared" ref="E34:E35" si="13">D34*1.35</f>
        <v>359.613</v>
      </c>
      <c r="F34" s="594">
        <f>18/0.5</f>
        <v>36</v>
      </c>
      <c r="G34" s="556" t="s">
        <v>1008</v>
      </c>
      <c r="H34" s="555">
        <f t="shared" ref="H34:H35" si="14">E34/F34</f>
        <v>9.98925</v>
      </c>
      <c r="I34" s="556" t="s">
        <v>968</v>
      </c>
      <c r="J34" s="556" t="s">
        <v>1011</v>
      </c>
      <c r="K34" s="556"/>
      <c r="L34" s="556"/>
      <c r="M34" s="559"/>
      <c r="N34" s="559"/>
      <c r="O34" s="559"/>
      <c r="P34" s="615"/>
    </row>
    <row r="35">
      <c r="A35" s="616"/>
      <c r="B35" s="606" t="s">
        <v>1014</v>
      </c>
      <c r="C35" s="606"/>
      <c r="D35" s="606">
        <v>253.19</v>
      </c>
      <c r="E35" s="548">
        <f t="shared" si="13"/>
        <v>341.8065</v>
      </c>
      <c r="F35" s="617">
        <f>18/(0.014*5+0.12*1)</f>
        <v>94.73684211</v>
      </c>
      <c r="G35" s="538" t="s">
        <v>1008</v>
      </c>
      <c r="H35" s="548">
        <f t="shared" si="14"/>
        <v>3.6079575</v>
      </c>
      <c r="I35" s="538" t="s">
        <v>968</v>
      </c>
      <c r="J35" s="618" t="s">
        <v>1015</v>
      </c>
      <c r="P35" s="619"/>
      <c r="Q35" s="618"/>
    </row>
    <row r="36">
      <c r="A36" s="620"/>
      <c r="B36" s="596" t="s">
        <v>1001</v>
      </c>
      <c r="C36" s="596"/>
      <c r="D36" s="596"/>
      <c r="E36" s="553"/>
      <c r="F36" s="553"/>
      <c r="G36" s="553"/>
      <c r="H36" s="597">
        <f>H35+H34</f>
        <v>13.5972075</v>
      </c>
      <c r="I36" s="613" t="s">
        <v>968</v>
      </c>
      <c r="J36" s="536"/>
      <c r="K36" s="536"/>
      <c r="L36" s="536"/>
      <c r="M36" s="536"/>
      <c r="N36" s="536"/>
      <c r="O36" s="536"/>
      <c r="P36" s="621"/>
      <c r="Q36" s="618"/>
    </row>
    <row r="37">
      <c r="A37" s="616"/>
      <c r="B37" s="538"/>
      <c r="C37" s="538"/>
      <c r="D37" s="538"/>
      <c r="E37" s="538"/>
      <c r="F37" s="538"/>
      <c r="G37" s="538"/>
      <c r="H37" s="538"/>
      <c r="I37" s="538"/>
      <c r="J37" s="538"/>
      <c r="K37" s="538"/>
      <c r="L37" s="538"/>
    </row>
    <row r="38">
      <c r="A38" s="620" t="s">
        <v>1016</v>
      </c>
      <c r="B38" s="609"/>
      <c r="C38" s="609"/>
      <c r="D38" s="609"/>
      <c r="E38" s="609"/>
      <c r="F38" s="609"/>
      <c r="G38" s="609"/>
      <c r="H38" s="609"/>
      <c r="I38" s="609"/>
      <c r="J38" s="609"/>
      <c r="K38" s="538"/>
      <c r="L38" s="538"/>
    </row>
    <row r="39">
      <c r="A39" s="538"/>
      <c r="B39" s="538"/>
      <c r="C39" s="538"/>
      <c r="D39" s="538"/>
      <c r="E39" s="538"/>
      <c r="F39" s="538"/>
      <c r="G39" s="538"/>
      <c r="H39" s="538"/>
      <c r="I39" s="538"/>
      <c r="J39" s="538"/>
      <c r="K39" s="538"/>
      <c r="L39" s="538"/>
    </row>
    <row r="40">
      <c r="A40" s="538"/>
      <c r="B40" s="538"/>
      <c r="C40" s="538"/>
      <c r="D40" s="538"/>
      <c r="E40" s="538"/>
      <c r="F40" s="538"/>
      <c r="G40" s="538"/>
      <c r="H40" s="538"/>
      <c r="I40" s="538"/>
      <c r="J40" s="538"/>
      <c r="K40" s="538"/>
      <c r="L40" s="538"/>
    </row>
    <row r="41">
      <c r="A41" s="538"/>
      <c r="B41" s="538"/>
      <c r="C41" s="538"/>
      <c r="D41" s="538"/>
      <c r="E41" s="538"/>
      <c r="F41" s="538"/>
      <c r="G41" s="538"/>
      <c r="H41" s="538"/>
      <c r="I41" s="538"/>
      <c r="J41" s="538"/>
      <c r="K41" s="538"/>
      <c r="L41" s="538"/>
    </row>
    <row r="42">
      <c r="A42" s="538"/>
      <c r="B42" s="538"/>
      <c r="C42" s="538"/>
      <c r="D42" s="538"/>
      <c r="E42" s="538"/>
      <c r="F42" s="622">
        <f>F35*H35</f>
        <v>341.8065</v>
      </c>
      <c r="G42" s="622">
        <f>F34*H34</f>
        <v>359.613</v>
      </c>
      <c r="H42" s="538"/>
      <c r="I42" s="538"/>
      <c r="J42" s="538"/>
      <c r="K42" s="538"/>
      <c r="L42" s="538"/>
    </row>
    <row r="43">
      <c r="A43" s="538"/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</row>
    <row r="44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4"/>
      <c r="N44" s="624"/>
      <c r="O44" s="624"/>
      <c r="P44" s="624"/>
      <c r="Q44" s="624"/>
      <c r="R44" s="624"/>
      <c r="S44" s="624"/>
      <c r="T44" s="624"/>
      <c r="U44" s="624"/>
      <c r="V44" s="624"/>
      <c r="W44" s="624"/>
      <c r="X44" s="624"/>
      <c r="Y44" s="624"/>
      <c r="Z44" s="624"/>
      <c r="AA44" s="624"/>
      <c r="AB44" s="624"/>
      <c r="AC44" s="624"/>
      <c r="AD44" s="624"/>
      <c r="AE44" s="624"/>
      <c r="AF44" s="624"/>
      <c r="AG44" s="624"/>
      <c r="AH44" s="624"/>
      <c r="AI44" s="624"/>
      <c r="AJ44" s="624"/>
    </row>
    <row r="45">
      <c r="A45" s="525"/>
      <c r="G45" s="526"/>
    </row>
    <row r="46">
      <c r="A46" s="525"/>
      <c r="G46" s="526"/>
    </row>
    <row r="47">
      <c r="A47" s="525"/>
      <c r="G47" s="526"/>
    </row>
    <row r="48">
      <c r="A48" s="525"/>
      <c r="G48" s="526"/>
    </row>
    <row r="49">
      <c r="A49" s="525"/>
      <c r="G49" s="526"/>
    </row>
    <row r="50">
      <c r="A50" s="525"/>
      <c r="G50" s="526"/>
    </row>
    <row r="51">
      <c r="A51" s="525"/>
      <c r="G51" s="526"/>
    </row>
    <row r="52">
      <c r="A52" s="525"/>
      <c r="G52" s="526"/>
    </row>
    <row r="53">
      <c r="A53" s="525"/>
      <c r="G53" s="526"/>
    </row>
    <row r="54">
      <c r="A54" s="525"/>
      <c r="F54" s="526" t="s">
        <v>1017</v>
      </c>
      <c r="G54" s="526"/>
    </row>
    <row r="55">
      <c r="A55" s="525"/>
      <c r="G55" s="526"/>
    </row>
    <row r="56">
      <c r="A56" s="525"/>
      <c r="G56" s="526"/>
    </row>
    <row r="57">
      <c r="A57" s="525"/>
      <c r="G57" s="526"/>
    </row>
    <row r="58">
      <c r="A58" s="525"/>
      <c r="G58" s="526"/>
    </row>
    <row r="59">
      <c r="A59" s="525"/>
      <c r="G59" s="526"/>
    </row>
    <row r="60">
      <c r="A60" s="525"/>
      <c r="G60" s="526"/>
    </row>
    <row r="61">
      <c r="A61" s="525"/>
      <c r="G61" s="526"/>
    </row>
    <row r="62">
      <c r="A62" s="525"/>
      <c r="G62" s="526"/>
    </row>
    <row r="63">
      <c r="A63" s="525"/>
      <c r="G63" s="526"/>
    </row>
    <row r="64">
      <c r="A64" s="525"/>
      <c r="G64" s="526"/>
    </row>
    <row r="65">
      <c r="A65" s="525"/>
      <c r="G65" s="526"/>
    </row>
    <row r="66">
      <c r="A66" s="525"/>
      <c r="G66" s="526"/>
    </row>
    <row r="67">
      <c r="A67" s="525"/>
      <c r="G67" s="526"/>
    </row>
    <row r="68">
      <c r="A68" s="525"/>
      <c r="G68" s="526"/>
    </row>
    <row r="69">
      <c r="A69" s="525"/>
      <c r="G69" s="526"/>
    </row>
    <row r="70">
      <c r="A70" s="525"/>
      <c r="G70" s="526"/>
    </row>
    <row r="71">
      <c r="A71" s="525"/>
      <c r="G71" s="526"/>
    </row>
    <row r="72">
      <c r="A72" s="525"/>
      <c r="G72" s="526"/>
    </row>
    <row r="73">
      <c r="A73" s="525"/>
      <c r="G73" s="526"/>
    </row>
    <row r="74">
      <c r="A74" s="525"/>
      <c r="G74" s="526"/>
    </row>
    <row r="75">
      <c r="A75" s="525" t="s">
        <v>1018</v>
      </c>
      <c r="G75" s="526" t="s">
        <v>1019</v>
      </c>
    </row>
    <row r="76">
      <c r="G76" s="526" t="s">
        <v>291</v>
      </c>
    </row>
    <row r="77">
      <c r="R77" s="625" t="s">
        <v>1020</v>
      </c>
      <c r="S77" s="625"/>
      <c r="T77" s="526" t="s">
        <v>1021</v>
      </c>
      <c r="W77" s="625" t="s">
        <v>1022</v>
      </c>
    </row>
    <row r="78">
      <c r="W78" s="526" t="s">
        <v>1023</v>
      </c>
    </row>
    <row r="79">
      <c r="R79" s="625" t="s">
        <v>1024</v>
      </c>
      <c r="S79" s="625"/>
    </row>
    <row r="80">
      <c r="J80" s="626" t="s">
        <v>1025</v>
      </c>
      <c r="K80" s="626" t="s">
        <v>1026</v>
      </c>
      <c r="L80" s="626" t="s">
        <v>286</v>
      </c>
      <c r="M80" s="626" t="s">
        <v>1027</v>
      </c>
      <c r="N80" s="626"/>
      <c r="O80" s="626" t="s">
        <v>290</v>
      </c>
      <c r="R80" s="526" t="s">
        <v>1028</v>
      </c>
      <c r="S80" s="526"/>
    </row>
    <row r="81">
      <c r="J81" s="627" t="s">
        <v>1029</v>
      </c>
      <c r="K81" s="526">
        <f>M81-L81</f>
        <v>265.85</v>
      </c>
      <c r="L81" s="526">
        <f>M81*0.35</f>
        <v>143.15</v>
      </c>
      <c r="M81" s="526">
        <v>409.0</v>
      </c>
      <c r="O81" s="628">
        <f t="shared" ref="O81:O88" si="15">M81*1.22</f>
        <v>498.98</v>
      </c>
      <c r="R81" s="526" t="s">
        <v>1030</v>
      </c>
      <c r="S81" s="526"/>
    </row>
    <row r="82">
      <c r="J82" s="627"/>
      <c r="O82" s="628">
        <f t="shared" si="15"/>
        <v>0</v>
      </c>
    </row>
    <row r="83">
      <c r="J83" s="627"/>
      <c r="O83" s="628">
        <f t="shared" si="15"/>
        <v>0</v>
      </c>
      <c r="R83" s="625" t="s">
        <v>1031</v>
      </c>
      <c r="S83" s="625"/>
    </row>
    <row r="84">
      <c r="J84" s="627"/>
      <c r="O84" s="628">
        <f t="shared" si="15"/>
        <v>0</v>
      </c>
      <c r="R84" s="526" t="s">
        <v>1032</v>
      </c>
      <c r="S84" s="526"/>
      <c r="T84" s="526">
        <v>0.5</v>
      </c>
      <c r="U84" s="526" t="s">
        <v>1033</v>
      </c>
    </row>
    <row r="85">
      <c r="J85" s="627" t="s">
        <v>1034</v>
      </c>
      <c r="O85" s="628">
        <f t="shared" si="15"/>
        <v>0</v>
      </c>
    </row>
    <row r="86">
      <c r="J86" s="627"/>
      <c r="O86" s="628">
        <f t="shared" si="15"/>
        <v>0</v>
      </c>
      <c r="R86" s="629" t="s">
        <v>1035</v>
      </c>
      <c r="S86" s="629"/>
      <c r="T86" s="629">
        <v>120.0</v>
      </c>
      <c r="U86" s="630" t="s">
        <v>1036</v>
      </c>
      <c r="V86" s="631" t="s">
        <v>1037</v>
      </c>
      <c r="W86" s="631"/>
      <c r="X86" s="631"/>
      <c r="Y86" s="631"/>
      <c r="Z86" s="632"/>
    </row>
    <row r="87">
      <c r="J87" s="627"/>
      <c r="O87" s="628">
        <f t="shared" si="15"/>
        <v>0</v>
      </c>
      <c r="T87" s="630">
        <v>2.5</v>
      </c>
      <c r="U87" s="630" t="s">
        <v>1033</v>
      </c>
      <c r="V87" s="631" t="s">
        <v>1038</v>
      </c>
      <c r="W87" s="631"/>
      <c r="X87" s="631"/>
      <c r="Y87" s="631"/>
      <c r="Z87" s="632"/>
    </row>
    <row r="88">
      <c r="J88" s="627" t="s">
        <v>1039</v>
      </c>
      <c r="K88" s="526">
        <f>M88-L88</f>
        <v>252.85</v>
      </c>
      <c r="L88" s="526">
        <f>M88*0.35</f>
        <v>136.15</v>
      </c>
      <c r="M88" s="526">
        <v>389.0</v>
      </c>
      <c r="O88" s="628">
        <f t="shared" si="15"/>
        <v>474.58</v>
      </c>
      <c r="P88" s="526" t="s">
        <v>1040</v>
      </c>
      <c r="Q88" s="526"/>
      <c r="T88" s="633" t="s">
        <v>1041</v>
      </c>
      <c r="U88" s="630" t="s">
        <v>1042</v>
      </c>
      <c r="V88" s="631" t="s">
        <v>1043</v>
      </c>
      <c r="W88" s="631"/>
      <c r="X88" s="631"/>
      <c r="Y88" s="631"/>
      <c r="Z88" s="632"/>
    </row>
    <row r="89">
      <c r="J89" s="627"/>
      <c r="O89" s="628"/>
      <c r="R89" s="526"/>
      <c r="S89" s="526"/>
      <c r="T89" s="630">
        <v>2.5</v>
      </c>
      <c r="U89" s="630" t="s">
        <v>1033</v>
      </c>
      <c r="V89" s="631" t="s">
        <v>1044</v>
      </c>
      <c r="W89" s="631"/>
      <c r="X89" s="631"/>
      <c r="Y89" s="631"/>
      <c r="Z89" s="632"/>
    </row>
    <row r="90">
      <c r="J90" s="627"/>
      <c r="O90" s="628"/>
      <c r="R90" s="526" t="s">
        <v>1045</v>
      </c>
      <c r="S90" s="526"/>
      <c r="T90" s="526">
        <v>2.2</v>
      </c>
      <c r="U90" s="526" t="s">
        <v>1033</v>
      </c>
    </row>
    <row r="91">
      <c r="J91" s="627"/>
      <c r="O91" s="628"/>
      <c r="Y91" s="526">
        <v>38.0</v>
      </c>
    </row>
    <row r="92">
      <c r="J92" s="627"/>
      <c r="O92" s="628"/>
      <c r="R92" s="634" t="s">
        <v>1046</v>
      </c>
      <c r="S92" s="635"/>
      <c r="T92" s="635"/>
      <c r="U92" s="635"/>
      <c r="V92" s="636"/>
      <c r="X92" s="637"/>
      <c r="AC92" s="526">
        <v>5.0</v>
      </c>
    </row>
    <row r="93">
      <c r="J93" s="627"/>
      <c r="O93" s="628"/>
      <c r="R93" s="638"/>
      <c r="V93" s="639"/>
      <c r="W93" s="526" t="s">
        <v>1047</v>
      </c>
      <c r="X93" s="526" t="s">
        <v>1048</v>
      </c>
      <c r="AA93" s="526" t="s">
        <v>1049</v>
      </c>
    </row>
    <row r="94">
      <c r="J94" s="627"/>
      <c r="O94" s="628"/>
      <c r="R94" s="640" t="s">
        <v>1050</v>
      </c>
      <c r="S94" s="625"/>
      <c r="T94" s="625" t="s">
        <v>21</v>
      </c>
      <c r="U94" s="625" t="s">
        <v>1051</v>
      </c>
      <c r="V94" s="641" t="s">
        <v>1052</v>
      </c>
      <c r="W94" s="642">
        <v>0.2</v>
      </c>
    </row>
    <row r="95">
      <c r="J95" s="627"/>
      <c r="O95" s="628"/>
      <c r="R95" s="638" t="s">
        <v>1053</v>
      </c>
      <c r="S95" s="526"/>
      <c r="T95" s="526">
        <v>40.0</v>
      </c>
      <c r="U95" s="526">
        <f>T95*T84</f>
        <v>20</v>
      </c>
      <c r="V95" s="639">
        <v>1.0</v>
      </c>
      <c r="W95" s="526">
        <f>V95*W94+V95</f>
        <v>1.2</v>
      </c>
      <c r="X95" s="643">
        <f>ROUND(W95, 0)</f>
        <v>1</v>
      </c>
      <c r="Y95" s="526">
        <f>X95*409.81</f>
        <v>409.81</v>
      </c>
    </row>
    <row r="96">
      <c r="J96" s="627"/>
      <c r="O96" s="628"/>
      <c r="R96" s="638"/>
      <c r="V96" s="639"/>
    </row>
    <row r="97">
      <c r="J97" s="627"/>
      <c r="O97" s="628"/>
      <c r="R97" s="638"/>
      <c r="V97" s="639"/>
    </row>
    <row r="98">
      <c r="J98" s="627"/>
      <c r="O98" s="628"/>
      <c r="R98" s="640" t="s">
        <v>1035</v>
      </c>
      <c r="S98" s="625"/>
      <c r="T98" s="625" t="s">
        <v>1054</v>
      </c>
      <c r="U98" s="625" t="s">
        <v>1055</v>
      </c>
      <c r="V98" s="641" t="s">
        <v>1056</v>
      </c>
    </row>
    <row r="99">
      <c r="J99" s="627"/>
      <c r="O99" s="628"/>
      <c r="R99" s="638" t="s">
        <v>1057</v>
      </c>
      <c r="S99" s="526"/>
      <c r="T99" s="526">
        <v>30.0</v>
      </c>
      <c r="U99" s="552">
        <f>T99*T86</f>
        <v>3600</v>
      </c>
      <c r="V99" s="639">
        <f t="shared" ref="V99:V100" si="16">U99/1000/18</f>
        <v>0.2</v>
      </c>
      <c r="X99" s="643">
        <f t="shared" ref="X99:X100" si="17">ROUND(V99, 0)</f>
        <v>0</v>
      </c>
      <c r="Y99" s="526">
        <f t="shared" ref="Y99:Y100" si="18">X99*369.52</f>
        <v>0</v>
      </c>
    </row>
    <row r="100">
      <c r="J100" s="627"/>
      <c r="O100" s="628"/>
      <c r="R100" s="638" t="s">
        <v>1058</v>
      </c>
      <c r="S100" s="526"/>
      <c r="T100" s="526">
        <v>30.0</v>
      </c>
      <c r="U100" s="526">
        <f>T100*T87*1000</f>
        <v>75000</v>
      </c>
      <c r="V100" s="639">
        <f t="shared" si="16"/>
        <v>4.166666667</v>
      </c>
      <c r="X100" s="643">
        <f t="shared" si="17"/>
        <v>4</v>
      </c>
      <c r="Y100" s="526">
        <f t="shared" si="18"/>
        <v>1478.08</v>
      </c>
    </row>
    <row r="101">
      <c r="J101" s="627"/>
      <c r="O101" s="628"/>
      <c r="R101" s="638"/>
      <c r="V101" s="639"/>
    </row>
    <row r="102">
      <c r="J102" s="627"/>
      <c r="O102" s="628"/>
      <c r="R102" s="640" t="s">
        <v>1035</v>
      </c>
      <c r="S102" s="625"/>
      <c r="T102" s="625" t="s">
        <v>1059</v>
      </c>
      <c r="U102" s="625" t="s">
        <v>1055</v>
      </c>
      <c r="V102" s="641" t="s">
        <v>1056</v>
      </c>
    </row>
    <row r="103">
      <c r="J103" s="627"/>
      <c r="O103" s="628"/>
      <c r="R103" s="638" t="s">
        <v>1060</v>
      </c>
      <c r="S103" s="526"/>
      <c r="T103" s="526">
        <v>60.0</v>
      </c>
      <c r="U103" s="526">
        <f>T103*14</f>
        <v>840</v>
      </c>
      <c r="V103" s="639">
        <f>U103/1000/18</f>
        <v>0.04666666667</v>
      </c>
      <c r="X103" s="643">
        <f>ROUND(V103, 0)</f>
        <v>0</v>
      </c>
      <c r="Y103" s="526">
        <f>X103*369.52</f>
        <v>0</v>
      </c>
    </row>
    <row r="104">
      <c r="J104" s="627"/>
      <c r="O104" s="628"/>
      <c r="R104" s="638"/>
      <c r="V104" s="639"/>
    </row>
    <row r="105">
      <c r="A105" s="525"/>
      <c r="J105" s="627"/>
      <c r="O105" s="628"/>
      <c r="R105" s="640" t="s">
        <v>1045</v>
      </c>
      <c r="S105" s="625"/>
      <c r="T105" s="526" t="s">
        <v>21</v>
      </c>
      <c r="U105" s="526" t="s">
        <v>1061</v>
      </c>
      <c r="V105" s="641" t="s">
        <v>1062</v>
      </c>
    </row>
    <row r="106">
      <c r="A106" s="525"/>
      <c r="B106" s="625"/>
      <c r="C106" s="625"/>
      <c r="D106" s="625"/>
      <c r="J106" s="627"/>
      <c r="O106" s="628"/>
      <c r="R106" s="644" t="s">
        <v>1053</v>
      </c>
      <c r="S106" s="645"/>
      <c r="T106" s="645">
        <v>120.0</v>
      </c>
      <c r="U106" s="645">
        <f>T106*T90</f>
        <v>264</v>
      </c>
      <c r="V106" s="646">
        <f>U106/14</f>
        <v>18.85714286</v>
      </c>
      <c r="X106" s="643">
        <f>ROUND(V106, 0)</f>
        <v>19</v>
      </c>
      <c r="Y106" s="526">
        <f>X106*(4828/(Y91))</f>
        <v>2414</v>
      </c>
    </row>
    <row r="107">
      <c r="A107" s="525"/>
      <c r="J107" s="627"/>
      <c r="O107" s="628"/>
      <c r="X107" s="529" t="s">
        <v>1063</v>
      </c>
      <c r="Y107" s="526">
        <f>Y106+Y103+Y100+Y99+Y95</f>
        <v>4301.89</v>
      </c>
      <c r="Z107" s="526" t="s">
        <v>1064</v>
      </c>
    </row>
    <row r="108">
      <c r="A108" s="525"/>
      <c r="J108" s="627"/>
      <c r="O108" s="628"/>
      <c r="R108" s="625" t="s">
        <v>1065</v>
      </c>
      <c r="S108" s="625"/>
    </row>
    <row r="109">
      <c r="A109" s="525"/>
      <c r="J109" s="647"/>
      <c r="K109" s="611"/>
      <c r="L109" s="611"/>
      <c r="M109" s="611"/>
      <c r="N109" s="611"/>
      <c r="O109" s="648"/>
      <c r="R109" s="649" t="s">
        <v>1066</v>
      </c>
      <c r="S109" s="630"/>
      <c r="T109" s="630">
        <v>4788.0</v>
      </c>
      <c r="U109" s="630" t="s">
        <v>1067</v>
      </c>
      <c r="V109" s="650" t="s">
        <v>1068</v>
      </c>
    </row>
    <row r="110">
      <c r="A110" s="525"/>
      <c r="R110" s="651"/>
      <c r="S110" s="630"/>
      <c r="T110" s="630">
        <v>22351.0</v>
      </c>
      <c r="U110" s="630" t="s">
        <v>1069</v>
      </c>
    </row>
    <row r="111">
      <c r="A111" s="525"/>
      <c r="R111" s="649" t="s">
        <v>1070</v>
      </c>
      <c r="S111" s="630"/>
      <c r="T111" s="630">
        <v>942.0</v>
      </c>
      <c r="U111" s="630" t="s">
        <v>1071</v>
      </c>
      <c r="AB111" s="526" t="s">
        <v>1072</v>
      </c>
      <c r="AE111" s="526" t="s">
        <v>1073</v>
      </c>
    </row>
    <row r="112">
      <c r="A112" s="525"/>
      <c r="R112" s="651"/>
      <c r="S112" s="630"/>
      <c r="T112" s="630">
        <v>4592.0</v>
      </c>
      <c r="U112" s="630" t="s">
        <v>1074</v>
      </c>
      <c r="AB112" s="526" t="s">
        <v>1075</v>
      </c>
      <c r="AE112" s="526">
        <f>389*2</f>
        <v>778</v>
      </c>
    </row>
    <row r="113">
      <c r="A113" s="525"/>
    </row>
    <row r="114">
      <c r="A114" s="525"/>
      <c r="AB114" s="526">
        <v>3.0</v>
      </c>
      <c r="AC114" s="526">
        <v>8000.0</v>
      </c>
      <c r="AE114" s="526">
        <f>AB114*AC114</f>
        <v>24000</v>
      </c>
    </row>
    <row r="115">
      <c r="A115" s="525"/>
    </row>
    <row r="116">
      <c r="A116" s="525" t="s">
        <v>1076</v>
      </c>
    </row>
    <row r="118">
      <c r="A118" s="652"/>
      <c r="B118" s="559"/>
      <c r="C118" s="559"/>
      <c r="D118" s="559"/>
      <c r="E118" s="653" t="s">
        <v>1077</v>
      </c>
      <c r="F118" s="654"/>
      <c r="G118" s="654"/>
      <c r="H118" s="654"/>
      <c r="I118" s="654"/>
      <c r="J118" s="654"/>
      <c r="K118" s="654"/>
      <c r="L118" s="654"/>
      <c r="M118" s="654"/>
      <c r="N118" s="654"/>
      <c r="O118" s="655"/>
    </row>
    <row r="119">
      <c r="A119" s="627"/>
      <c r="O119" s="619"/>
    </row>
    <row r="120">
      <c r="A120" s="627"/>
      <c r="O120" s="619"/>
    </row>
    <row r="121">
      <c r="A121" s="627"/>
      <c r="O121" s="619"/>
    </row>
    <row r="122">
      <c r="A122" s="627"/>
      <c r="O122" s="619"/>
    </row>
    <row r="123">
      <c r="A123" s="627"/>
      <c r="O123" s="619"/>
    </row>
    <row r="124">
      <c r="A124" s="647"/>
      <c r="B124" s="611"/>
      <c r="C124" s="611"/>
      <c r="D124" s="611"/>
      <c r="E124" s="536"/>
      <c r="F124" s="536"/>
      <c r="G124" s="536"/>
      <c r="H124" s="536"/>
      <c r="I124" s="536"/>
      <c r="J124" s="536"/>
      <c r="K124" s="536"/>
      <c r="L124" s="536"/>
      <c r="M124" s="536"/>
      <c r="N124" s="536"/>
      <c r="O124" s="621"/>
    </row>
    <row r="126">
      <c r="A126" s="652"/>
      <c r="B126" s="559"/>
      <c r="C126" s="559"/>
      <c r="D126" s="559"/>
      <c r="E126" s="653" t="s">
        <v>1078</v>
      </c>
      <c r="F126" s="654"/>
      <c r="G126" s="654"/>
      <c r="H126" s="654"/>
      <c r="I126" s="654"/>
      <c r="J126" s="654"/>
      <c r="K126" s="654"/>
      <c r="L126" s="654"/>
      <c r="M126" s="654"/>
      <c r="N126" s="654"/>
      <c r="O126" s="655"/>
    </row>
    <row r="127">
      <c r="A127" s="627"/>
      <c r="O127" s="619"/>
    </row>
    <row r="128">
      <c r="A128" s="627"/>
      <c r="O128" s="619"/>
    </row>
    <row r="129">
      <c r="A129" s="627"/>
      <c r="O129" s="619"/>
    </row>
    <row r="130">
      <c r="A130" s="627"/>
      <c r="O130" s="619"/>
    </row>
    <row r="131">
      <c r="A131" s="627"/>
      <c r="O131" s="619"/>
    </row>
    <row r="132">
      <c r="A132" s="647"/>
      <c r="B132" s="611"/>
      <c r="C132" s="611"/>
      <c r="D132" s="611"/>
      <c r="E132" s="536"/>
      <c r="F132" s="536"/>
      <c r="G132" s="536"/>
      <c r="H132" s="536"/>
      <c r="I132" s="536"/>
      <c r="J132" s="536"/>
      <c r="K132" s="536"/>
      <c r="L132" s="536"/>
      <c r="M132" s="536"/>
      <c r="N132" s="536"/>
      <c r="O132" s="621"/>
    </row>
    <row r="134">
      <c r="A134" s="652"/>
      <c r="B134" s="559"/>
      <c r="C134" s="559"/>
      <c r="D134" s="559"/>
      <c r="E134" s="653" t="s">
        <v>1079</v>
      </c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</row>
    <row r="135">
      <c r="A135" s="627"/>
      <c r="O135" s="619"/>
    </row>
    <row r="136">
      <c r="A136" s="627"/>
      <c r="O136" s="619"/>
    </row>
    <row r="137">
      <c r="A137" s="627"/>
      <c r="O137" s="619"/>
    </row>
    <row r="138">
      <c r="A138" s="627"/>
      <c r="O138" s="619"/>
    </row>
    <row r="139">
      <c r="A139" s="627"/>
      <c r="O139" s="619"/>
    </row>
    <row r="140">
      <c r="A140" s="627"/>
      <c r="O140" s="619"/>
    </row>
    <row r="141">
      <c r="A141" s="647"/>
      <c r="B141" s="611"/>
      <c r="C141" s="611"/>
      <c r="D141" s="611"/>
      <c r="E141" s="536"/>
      <c r="F141" s="536"/>
      <c r="G141" s="536"/>
      <c r="H141" s="536"/>
      <c r="I141" s="536"/>
      <c r="J141" s="536"/>
      <c r="K141" s="536"/>
      <c r="L141" s="536"/>
      <c r="M141" s="536"/>
      <c r="N141" s="536"/>
      <c r="O141" s="621"/>
    </row>
    <row r="143">
      <c r="A143" s="652"/>
      <c r="B143" s="559"/>
      <c r="C143" s="559"/>
      <c r="D143" s="559"/>
      <c r="E143" s="653" t="s">
        <v>1080</v>
      </c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</row>
    <row r="144">
      <c r="A144" s="627"/>
      <c r="O144" s="619"/>
    </row>
    <row r="145">
      <c r="A145" s="627"/>
      <c r="O145" s="619"/>
    </row>
    <row r="146">
      <c r="A146" s="627"/>
      <c r="O146" s="619"/>
      <c r="P146" s="526" t="s">
        <v>291</v>
      </c>
      <c r="Q146" s="526"/>
    </row>
    <row r="147">
      <c r="A147" s="627"/>
      <c r="O147" s="619"/>
    </row>
    <row r="148">
      <c r="A148" s="627"/>
      <c r="O148" s="619"/>
    </row>
    <row r="149">
      <c r="A149" s="627"/>
      <c r="O149" s="619"/>
    </row>
    <row r="150">
      <c r="A150" s="647"/>
      <c r="B150" s="611"/>
      <c r="C150" s="611"/>
      <c r="D150" s="611"/>
      <c r="E150" s="536"/>
      <c r="F150" s="536"/>
      <c r="G150" s="536"/>
      <c r="H150" s="536"/>
      <c r="I150" s="536"/>
      <c r="J150" s="536"/>
      <c r="K150" s="536"/>
      <c r="L150" s="536"/>
      <c r="M150" s="536"/>
      <c r="N150" s="536"/>
      <c r="O150" s="621"/>
    </row>
    <row r="156">
      <c r="A156" s="526" t="s">
        <v>1081</v>
      </c>
    </row>
    <row r="157">
      <c r="A157" s="625" t="s">
        <v>1082</v>
      </c>
    </row>
    <row r="158">
      <c r="A158" s="526" t="s">
        <v>1083</v>
      </c>
    </row>
  </sheetData>
  <mergeCells count="14">
    <mergeCell ref="J35:P36"/>
    <mergeCell ref="R109:R110"/>
    <mergeCell ref="R111:R112"/>
    <mergeCell ref="E118:O124"/>
    <mergeCell ref="E126:O132"/>
    <mergeCell ref="E134:O141"/>
    <mergeCell ref="E143:O150"/>
    <mergeCell ref="G4:H4"/>
    <mergeCell ref="I4:J4"/>
    <mergeCell ref="K4:L4"/>
    <mergeCell ref="A20:A22"/>
    <mergeCell ref="F28:G28"/>
    <mergeCell ref="H28:I28"/>
    <mergeCell ref="A29:A32"/>
  </mergeCells>
  <dataValidations>
    <dataValidation type="decimal" operator="lessThan" allowBlank="1" showDropDown="1" showErrorMessage="1" sqref="B26:D26">
      <formula1>0.35</formula1>
    </dataValidation>
  </dataValidation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9"/>
    <hyperlink r:id="rId16" ref="B30"/>
    <hyperlink r:id="rId17" ref="B34"/>
    <hyperlink r:id="rId18" ref="B35"/>
    <hyperlink r:id="rId19" ref="V109"/>
  </hyperlinks>
  <printOptions gridLines="1" horizontalCentered="1" verticalCentered="1"/>
  <pageMargins bottom="0.75" footer="0.0" header="0.0" left="0.25" right="0.25" top="0.75"/>
  <pageSetup paperSize="9" scale="56" cellComments="atEnd" orientation="landscape" pageOrder="overThenDown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14"/>
    <col customWidth="1" min="2" max="2" width="14.57"/>
    <col customWidth="1" min="3" max="3" width="50.0"/>
    <col customWidth="1" min="4" max="4" width="20.71"/>
    <col customWidth="1" min="5" max="5" width="9.29"/>
    <col customWidth="1" min="6" max="6" width="11.71"/>
    <col customWidth="1" min="7" max="7" width="12.86"/>
    <col customWidth="1" min="8" max="8" width="18.57"/>
    <col customWidth="1" min="9" max="10" width="13.86"/>
    <col customWidth="1" min="11" max="11" width="16.86"/>
    <col customWidth="1" min="12" max="12" width="15.86"/>
    <col customWidth="1" min="13" max="15" width="10.71"/>
    <col customWidth="1" min="16" max="16" width="37.71"/>
    <col customWidth="1" min="17" max="17" width="29.29"/>
    <col customWidth="1" min="18" max="20" width="10.71"/>
    <col customWidth="1" min="21" max="21" width="37.43"/>
    <col customWidth="1" min="22" max="22" width="10.71"/>
    <col customWidth="1" min="23" max="23" width="18.86"/>
    <col customWidth="1" min="24" max="27" width="10.71"/>
  </cols>
  <sheetData>
    <row r="1">
      <c r="A1" s="526" t="s">
        <v>578</v>
      </c>
      <c r="B1" s="656" t="s">
        <v>1084</v>
      </c>
      <c r="C1" s="657" t="s">
        <v>1085</v>
      </c>
      <c r="D1" s="325" t="s">
        <v>1086</v>
      </c>
      <c r="E1" s="332"/>
      <c r="H1" s="325"/>
      <c r="M1" s="658"/>
      <c r="P1" s="630"/>
    </row>
    <row r="2">
      <c r="B2" s="659" t="s">
        <v>435</v>
      </c>
      <c r="C2" s="660" t="s">
        <v>283</v>
      </c>
      <c r="D2" s="661" t="s">
        <v>444</v>
      </c>
      <c r="E2" s="661" t="s">
        <v>285</v>
      </c>
      <c r="F2" s="661" t="s">
        <v>1087</v>
      </c>
      <c r="G2" s="661" t="s">
        <v>287</v>
      </c>
      <c r="H2" s="662" t="s">
        <v>1088</v>
      </c>
      <c r="I2" s="663" t="s">
        <v>1089</v>
      </c>
      <c r="M2" s="658"/>
      <c r="P2" s="664" t="s">
        <v>1090</v>
      </c>
      <c r="Q2" s="664" t="s">
        <v>1091</v>
      </c>
      <c r="W2" s="665" t="s">
        <v>1092</v>
      </c>
    </row>
    <row r="3" ht="15.75" customHeight="1">
      <c r="A3" s="162"/>
      <c r="B3" s="666"/>
      <c r="C3" s="667" t="s">
        <v>1093</v>
      </c>
      <c r="D3" s="668"/>
      <c r="E3" s="669"/>
      <c r="F3" s="670"/>
      <c r="G3" s="671"/>
      <c r="H3" s="671"/>
      <c r="I3" s="672"/>
      <c r="K3" s="668"/>
      <c r="L3" s="673"/>
      <c r="M3" s="674"/>
      <c r="P3" s="675"/>
      <c r="W3" s="676"/>
    </row>
    <row r="4" ht="15.75" customHeight="1">
      <c r="A4" s="677"/>
      <c r="B4" s="678"/>
      <c r="C4" s="679" t="s">
        <v>1094</v>
      </c>
      <c r="D4" s="680">
        <f>14.75+6.84</f>
        <v>21.59</v>
      </c>
      <c r="E4" s="681">
        <f t="shared" ref="E4:E8" si="1">F4/D4</f>
        <v>0.3</v>
      </c>
      <c r="F4" s="680">
        <f t="shared" ref="F4:F8" si="2">G4-D4</f>
        <v>6.477</v>
      </c>
      <c r="G4" s="674">
        <f t="shared" ref="G4:G8" si="3">D4*1.3</f>
        <v>28.067</v>
      </c>
      <c r="H4" s="682">
        <f t="shared" ref="H4:H8" si="4">G4*1.22</f>
        <v>34.24174</v>
      </c>
      <c r="I4" s="683">
        <f t="shared" ref="I4:I8" si="5">H4*1.17</f>
        <v>40.0628358</v>
      </c>
      <c r="J4" s="684"/>
      <c r="M4" s="658"/>
      <c r="P4" s="630"/>
    </row>
    <row r="5" ht="15.75" customHeight="1">
      <c r="A5" s="677"/>
      <c r="B5" s="678"/>
      <c r="C5" s="679" t="s">
        <v>1095</v>
      </c>
      <c r="D5" s="680">
        <f>5+2.32</f>
        <v>7.32</v>
      </c>
      <c r="E5" s="681">
        <f t="shared" si="1"/>
        <v>0.3</v>
      </c>
      <c r="F5" s="680">
        <f t="shared" si="2"/>
        <v>2.196</v>
      </c>
      <c r="G5" s="674">
        <f t="shared" si="3"/>
        <v>9.516</v>
      </c>
      <c r="H5" s="682">
        <f t="shared" si="4"/>
        <v>11.60952</v>
      </c>
      <c r="I5" s="683">
        <f t="shared" si="5"/>
        <v>13.5831384</v>
      </c>
      <c r="J5" s="684"/>
      <c r="M5" s="658"/>
      <c r="P5" s="630"/>
    </row>
    <row r="6" ht="15.75" customHeight="1">
      <c r="A6" s="677"/>
      <c r="B6" s="678"/>
      <c r="C6" s="679" t="s">
        <v>1096</v>
      </c>
      <c r="D6" s="680">
        <f>16+7.42</f>
        <v>23.42</v>
      </c>
      <c r="E6" s="681">
        <f t="shared" si="1"/>
        <v>0.3</v>
      </c>
      <c r="F6" s="680">
        <f t="shared" si="2"/>
        <v>7.026</v>
      </c>
      <c r="G6" s="674">
        <f t="shared" si="3"/>
        <v>30.446</v>
      </c>
      <c r="H6" s="682">
        <f t="shared" si="4"/>
        <v>37.14412</v>
      </c>
      <c r="I6" s="683">
        <f t="shared" si="5"/>
        <v>43.4586204</v>
      </c>
      <c r="J6" s="684"/>
      <c r="M6" s="658"/>
      <c r="P6" s="630"/>
    </row>
    <row r="7" ht="15.75" customHeight="1">
      <c r="A7" s="677"/>
      <c r="B7" s="678"/>
      <c r="C7" s="679" t="s">
        <v>1097</v>
      </c>
      <c r="D7" s="680">
        <f>18+8.35</f>
        <v>26.35</v>
      </c>
      <c r="E7" s="681">
        <f t="shared" si="1"/>
        <v>0.3</v>
      </c>
      <c r="F7" s="680">
        <f t="shared" si="2"/>
        <v>7.905</v>
      </c>
      <c r="G7" s="674">
        <f t="shared" si="3"/>
        <v>34.255</v>
      </c>
      <c r="H7" s="682">
        <f t="shared" si="4"/>
        <v>41.7911</v>
      </c>
      <c r="I7" s="683">
        <f t="shared" si="5"/>
        <v>48.895587</v>
      </c>
      <c r="J7" s="684"/>
      <c r="M7" s="658"/>
      <c r="P7" s="630"/>
    </row>
    <row r="8" ht="15.75" customHeight="1">
      <c r="A8" s="677"/>
      <c r="B8" s="685" t="s">
        <v>1098</v>
      </c>
      <c r="C8" s="686" t="s">
        <v>1099</v>
      </c>
      <c r="D8" s="687">
        <v>1106.56</v>
      </c>
      <c r="E8" s="688">
        <f t="shared" si="1"/>
        <v>0.3</v>
      </c>
      <c r="F8" s="689">
        <f t="shared" si="2"/>
        <v>331.968</v>
      </c>
      <c r="G8" s="690">
        <f t="shared" si="3"/>
        <v>1438.528</v>
      </c>
      <c r="H8" s="691">
        <f t="shared" si="4"/>
        <v>1755.00416</v>
      </c>
      <c r="I8" s="692">
        <f t="shared" si="5"/>
        <v>2053.354867</v>
      </c>
      <c r="J8" s="693" t="s">
        <v>1100</v>
      </c>
      <c r="K8" s="693"/>
      <c r="M8" s="658"/>
      <c r="P8" s="630"/>
    </row>
    <row r="9" ht="15.75" customHeight="1">
      <c r="B9" s="637"/>
      <c r="D9" s="325"/>
      <c r="E9" s="332"/>
      <c r="H9" s="325"/>
      <c r="M9" s="658"/>
    </row>
    <row r="10" ht="15.75" customHeight="1">
      <c r="B10" s="637"/>
      <c r="D10" s="325"/>
      <c r="E10" s="332"/>
      <c r="H10" s="325"/>
      <c r="M10" s="658"/>
    </row>
    <row r="11" ht="15.75" customHeight="1">
      <c r="B11" s="637"/>
      <c r="D11" s="325"/>
      <c r="E11" s="332"/>
      <c r="H11" s="325"/>
      <c r="M11" s="658"/>
    </row>
    <row r="12" ht="15.75" customHeight="1">
      <c r="B12" s="637"/>
      <c r="D12" s="325"/>
      <c r="E12" s="332"/>
      <c r="H12" s="325"/>
      <c r="M12" s="658"/>
    </row>
    <row r="13" ht="15.75" customHeight="1">
      <c r="B13" s="637"/>
      <c r="D13" s="325"/>
      <c r="E13" s="332"/>
      <c r="H13" s="325"/>
      <c r="M13" s="658"/>
    </row>
    <row r="14" ht="15.75" customHeight="1">
      <c r="B14" s="637"/>
      <c r="D14" s="325"/>
      <c r="E14" s="332"/>
      <c r="H14" s="325"/>
      <c r="M14" s="658"/>
    </row>
    <row r="15" ht="15.75" customHeight="1">
      <c r="B15" s="637"/>
      <c r="D15" s="325"/>
      <c r="E15" s="332"/>
      <c r="H15" s="325"/>
      <c r="M15" s="658"/>
    </row>
    <row r="16" ht="15.75" customHeight="1">
      <c r="B16" s="637"/>
      <c r="D16" s="325"/>
      <c r="E16" s="332"/>
      <c r="H16" s="325"/>
      <c r="M16" s="658"/>
    </row>
    <row r="17" ht="15.75" customHeight="1">
      <c r="B17" s="637"/>
      <c r="D17" s="325"/>
      <c r="E17" s="332"/>
      <c r="H17" s="325"/>
      <c r="M17" s="658"/>
    </row>
    <row r="18" ht="15.75" customHeight="1">
      <c r="B18" s="637"/>
      <c r="D18" s="325"/>
      <c r="E18" s="332"/>
      <c r="H18" s="325"/>
      <c r="M18" s="658"/>
    </row>
    <row r="19" ht="15.75" customHeight="1">
      <c r="B19" s="637"/>
      <c r="D19" s="325"/>
      <c r="E19" s="332"/>
      <c r="H19" s="325"/>
      <c r="M19" s="658"/>
    </row>
    <row r="20" ht="15.75" customHeight="1">
      <c r="B20" s="637"/>
      <c r="D20" s="325"/>
      <c r="E20" s="332"/>
      <c r="H20" s="325"/>
      <c r="M20" s="658"/>
    </row>
    <row r="21" ht="15.75" customHeight="1">
      <c r="B21" s="637"/>
      <c r="D21" s="325"/>
      <c r="E21" s="332"/>
      <c r="H21" s="325"/>
      <c r="M21" s="658"/>
    </row>
    <row r="22" ht="15.75" customHeight="1">
      <c r="B22" s="637"/>
      <c r="D22" s="325"/>
      <c r="E22" s="332"/>
      <c r="H22" s="325"/>
      <c r="M22" s="658"/>
    </row>
    <row r="23" ht="15.75" customHeight="1">
      <c r="B23" s="637"/>
      <c r="D23" s="325"/>
      <c r="E23" s="332"/>
      <c r="H23" s="325"/>
      <c r="M23" s="658"/>
    </row>
    <row r="24" ht="15.75" customHeight="1">
      <c r="B24" s="637"/>
      <c r="D24" s="325"/>
      <c r="E24" s="332"/>
      <c r="H24" s="325"/>
      <c r="M24" s="658"/>
    </row>
    <row r="25" ht="15.75" customHeight="1">
      <c r="B25" s="637"/>
      <c r="D25" s="325"/>
      <c r="E25" s="332"/>
      <c r="H25" s="325"/>
      <c r="M25" s="658"/>
    </row>
    <row r="26" ht="15.75" customHeight="1">
      <c r="B26" s="637"/>
      <c r="D26" s="325"/>
      <c r="E26" s="332"/>
      <c r="H26" s="325"/>
      <c r="M26" s="658"/>
    </row>
    <row r="27" ht="15.75" customHeight="1">
      <c r="B27" s="637"/>
      <c r="D27" s="325"/>
      <c r="E27" s="332"/>
      <c r="H27" s="325"/>
      <c r="M27" s="658"/>
    </row>
    <row r="28" ht="15.75" customHeight="1">
      <c r="B28" s="637"/>
      <c r="D28" s="325"/>
      <c r="E28" s="332"/>
      <c r="H28" s="325"/>
      <c r="M28" s="658"/>
    </row>
    <row r="29" ht="15.75" customHeight="1">
      <c r="B29" s="637"/>
      <c r="D29" s="325"/>
      <c r="E29" s="332"/>
      <c r="H29" s="325"/>
      <c r="M29" s="658"/>
    </row>
    <row r="30" ht="15.75" customHeight="1">
      <c r="B30" s="637"/>
      <c r="D30" s="325"/>
      <c r="E30" s="332"/>
      <c r="H30" s="325"/>
      <c r="M30" s="658"/>
    </row>
    <row r="31" ht="15.75" customHeight="1">
      <c r="B31" s="637"/>
      <c r="D31" s="325"/>
      <c r="E31" s="332"/>
      <c r="H31" s="325"/>
      <c r="M31" s="658"/>
    </row>
    <row r="32" ht="15.75" customHeight="1">
      <c r="B32" s="637"/>
      <c r="D32" s="325"/>
      <c r="E32" s="332"/>
      <c r="H32" s="325"/>
      <c r="M32" s="658"/>
    </row>
    <row r="33" ht="15.75" customHeight="1">
      <c r="B33" s="637"/>
      <c r="D33" s="325"/>
      <c r="E33" s="332"/>
      <c r="H33" s="325"/>
      <c r="M33" s="658"/>
    </row>
    <row r="34" ht="15.75" customHeight="1">
      <c r="B34" s="637"/>
      <c r="D34" s="325"/>
      <c r="E34" s="332"/>
      <c r="H34" s="325"/>
      <c r="M34" s="658"/>
    </row>
    <row r="35" ht="15.75" customHeight="1">
      <c r="B35" s="637"/>
      <c r="D35" s="325"/>
      <c r="E35" s="332"/>
      <c r="H35" s="325"/>
      <c r="M35" s="658"/>
    </row>
    <row r="36" ht="15.75" customHeight="1">
      <c r="B36" s="637"/>
      <c r="D36" s="325"/>
      <c r="E36" s="332"/>
      <c r="H36" s="325"/>
      <c r="M36" s="658"/>
    </row>
    <row r="37" ht="15.75" customHeight="1">
      <c r="B37" s="637"/>
      <c r="D37" s="325"/>
      <c r="E37" s="332"/>
      <c r="H37" s="325"/>
      <c r="M37" s="658"/>
    </row>
    <row r="38" ht="15.75" customHeight="1">
      <c r="B38" s="637"/>
      <c r="D38" s="325"/>
      <c r="E38" s="332"/>
      <c r="H38" s="325"/>
      <c r="M38" s="658"/>
    </row>
    <row r="39" ht="15.75" customHeight="1">
      <c r="B39" s="637"/>
      <c r="D39" s="325"/>
      <c r="E39" s="332"/>
      <c r="H39" s="325"/>
      <c r="M39" s="658"/>
    </row>
    <row r="40" ht="15.75" customHeight="1">
      <c r="B40" s="637"/>
      <c r="D40" s="325"/>
      <c r="E40" s="332"/>
      <c r="H40" s="325"/>
      <c r="M40" s="658"/>
    </row>
    <row r="41" ht="15.75" customHeight="1">
      <c r="B41" s="637"/>
      <c r="D41" s="325"/>
      <c r="E41" s="332"/>
      <c r="H41" s="325"/>
      <c r="M41" s="658"/>
    </row>
    <row r="42" ht="15.75" customHeight="1">
      <c r="B42" s="637"/>
      <c r="D42" s="325"/>
      <c r="E42" s="332"/>
      <c r="H42" s="325"/>
      <c r="M42" s="658"/>
    </row>
    <row r="43" ht="15.75" customHeight="1">
      <c r="B43" s="637"/>
      <c r="D43" s="325"/>
      <c r="E43" s="332"/>
      <c r="H43" s="325"/>
      <c r="M43" s="658"/>
    </row>
    <row r="44" ht="15.75" customHeight="1">
      <c r="B44" s="637"/>
      <c r="D44" s="325"/>
      <c r="E44" s="332"/>
      <c r="H44" s="325"/>
      <c r="M44" s="658"/>
    </row>
    <row r="45" ht="15.75" customHeight="1">
      <c r="B45" s="637"/>
      <c r="D45" s="325"/>
      <c r="E45" s="332"/>
      <c r="H45" s="325"/>
      <c r="M45" s="658"/>
    </row>
    <row r="46" ht="15.75" customHeight="1">
      <c r="B46" s="637"/>
      <c r="D46" s="325"/>
      <c r="E46" s="332"/>
      <c r="H46" s="325"/>
      <c r="M46" s="658"/>
    </row>
    <row r="47" ht="15.75" customHeight="1">
      <c r="B47" s="637"/>
      <c r="D47" s="325"/>
      <c r="E47" s="332"/>
      <c r="H47" s="325"/>
      <c r="M47" s="658"/>
    </row>
    <row r="48" ht="15.75" customHeight="1">
      <c r="B48" s="637"/>
      <c r="D48" s="325"/>
      <c r="E48" s="332"/>
      <c r="H48" s="325"/>
      <c r="M48" s="658"/>
    </row>
    <row r="49" ht="15.75" customHeight="1">
      <c r="B49" s="637"/>
      <c r="D49" s="325"/>
      <c r="E49" s="332"/>
      <c r="H49" s="325"/>
      <c r="M49" s="658"/>
    </row>
    <row r="50" ht="15.75" customHeight="1">
      <c r="B50" s="637"/>
      <c r="D50" s="325"/>
      <c r="E50" s="332"/>
      <c r="H50" s="325"/>
      <c r="M50" s="658"/>
    </row>
    <row r="51" ht="15.75" customHeight="1">
      <c r="B51" s="637"/>
      <c r="D51" s="325"/>
      <c r="E51" s="332"/>
      <c r="H51" s="325"/>
      <c r="M51" s="658"/>
    </row>
    <row r="52" ht="15.75" customHeight="1">
      <c r="B52" s="637"/>
      <c r="D52" s="325"/>
      <c r="E52" s="332"/>
      <c r="H52" s="325"/>
      <c r="M52" s="658"/>
    </row>
    <row r="53" ht="15.75" customHeight="1">
      <c r="B53" s="637"/>
      <c r="D53" s="325"/>
      <c r="E53" s="332"/>
      <c r="H53" s="325"/>
      <c r="M53" s="658"/>
    </row>
    <row r="54" ht="15.75" customHeight="1">
      <c r="B54" s="637"/>
      <c r="D54" s="325"/>
      <c r="E54" s="332"/>
      <c r="H54" s="325"/>
      <c r="M54" s="658"/>
    </row>
    <row r="55" ht="15.75" customHeight="1">
      <c r="B55" s="637"/>
      <c r="D55" s="325"/>
      <c r="E55" s="332"/>
      <c r="H55" s="325"/>
      <c r="M55" s="658"/>
    </row>
    <row r="56" ht="15.75" customHeight="1">
      <c r="B56" s="637"/>
      <c r="D56" s="325"/>
      <c r="E56" s="332"/>
      <c r="H56" s="325"/>
      <c r="M56" s="658"/>
    </row>
    <row r="57" ht="15.75" customHeight="1">
      <c r="B57" s="637"/>
      <c r="D57" s="325"/>
      <c r="E57" s="332"/>
      <c r="H57" s="325"/>
      <c r="M57" s="658"/>
    </row>
    <row r="58" ht="15.75" customHeight="1">
      <c r="B58" s="637"/>
      <c r="D58" s="325"/>
      <c r="E58" s="332"/>
      <c r="H58" s="325"/>
      <c r="M58" s="658"/>
    </row>
    <row r="59" ht="15.75" customHeight="1">
      <c r="B59" s="637"/>
      <c r="D59" s="325"/>
      <c r="E59" s="332"/>
      <c r="H59" s="325"/>
      <c r="M59" s="658"/>
    </row>
    <row r="60" ht="15.75" customHeight="1">
      <c r="B60" s="637"/>
      <c r="D60" s="325"/>
      <c r="E60" s="332"/>
      <c r="H60" s="325"/>
      <c r="M60" s="658"/>
    </row>
    <row r="61" ht="15.75" customHeight="1">
      <c r="B61" s="637"/>
      <c r="D61" s="325"/>
      <c r="E61" s="332"/>
      <c r="H61" s="325"/>
      <c r="M61" s="658"/>
    </row>
    <row r="62" ht="15.75" customHeight="1">
      <c r="B62" s="637"/>
      <c r="D62" s="325"/>
      <c r="E62" s="332"/>
      <c r="H62" s="325"/>
      <c r="M62" s="658"/>
    </row>
    <row r="63" ht="15.75" customHeight="1">
      <c r="B63" s="637"/>
      <c r="D63" s="325"/>
      <c r="E63" s="332"/>
      <c r="H63" s="325"/>
      <c r="M63" s="658"/>
    </row>
    <row r="64" ht="15.75" customHeight="1">
      <c r="B64" s="637"/>
      <c r="D64" s="325"/>
      <c r="E64" s="332"/>
      <c r="H64" s="325"/>
      <c r="M64" s="658"/>
    </row>
    <row r="65" ht="15.75" customHeight="1">
      <c r="B65" s="637"/>
      <c r="D65" s="325"/>
      <c r="E65" s="332"/>
      <c r="H65" s="325"/>
      <c r="M65" s="658"/>
    </row>
    <row r="66" ht="15.75" customHeight="1">
      <c r="B66" s="637"/>
      <c r="D66" s="325"/>
      <c r="E66" s="332"/>
      <c r="H66" s="325"/>
      <c r="M66" s="658"/>
    </row>
    <row r="67" ht="15.75" customHeight="1">
      <c r="B67" s="637"/>
      <c r="D67" s="325"/>
      <c r="E67" s="332"/>
      <c r="H67" s="325"/>
      <c r="M67" s="658"/>
    </row>
    <row r="68" ht="15.75" customHeight="1">
      <c r="B68" s="637"/>
      <c r="D68" s="325"/>
      <c r="E68" s="332"/>
      <c r="H68" s="325"/>
      <c r="M68" s="658"/>
    </row>
    <row r="69" ht="15.75" customHeight="1">
      <c r="B69" s="637"/>
      <c r="D69" s="325"/>
      <c r="E69" s="332"/>
      <c r="H69" s="325"/>
      <c r="M69" s="658"/>
    </row>
    <row r="70" ht="15.75" customHeight="1">
      <c r="B70" s="637"/>
      <c r="D70" s="325"/>
      <c r="E70" s="332"/>
      <c r="H70" s="325"/>
      <c r="M70" s="658"/>
    </row>
    <row r="71" ht="15.75" customHeight="1">
      <c r="B71" s="637"/>
      <c r="D71" s="325"/>
      <c r="E71" s="332"/>
      <c r="H71" s="325"/>
      <c r="M71" s="658"/>
    </row>
    <row r="72" ht="15.75" customHeight="1">
      <c r="B72" s="637"/>
      <c r="D72" s="325"/>
      <c r="E72" s="332"/>
      <c r="H72" s="325"/>
      <c r="M72" s="658"/>
    </row>
    <row r="73" ht="15.75" customHeight="1">
      <c r="B73" s="637"/>
      <c r="D73" s="325"/>
      <c r="E73" s="332"/>
      <c r="H73" s="325"/>
      <c r="M73" s="658"/>
    </row>
    <row r="74" ht="15.75" customHeight="1">
      <c r="B74" s="637"/>
      <c r="D74" s="325"/>
      <c r="E74" s="332"/>
      <c r="H74" s="325"/>
      <c r="M74" s="658"/>
    </row>
    <row r="75" ht="15.75" customHeight="1">
      <c r="B75" s="637"/>
      <c r="D75" s="325"/>
      <c r="E75" s="332"/>
      <c r="H75" s="325"/>
      <c r="M75" s="658"/>
    </row>
    <row r="76" ht="15.75" customHeight="1">
      <c r="B76" s="637"/>
      <c r="D76" s="325"/>
      <c r="E76" s="332"/>
      <c r="H76" s="325"/>
      <c r="M76" s="658"/>
    </row>
    <row r="77" ht="15.75" customHeight="1">
      <c r="B77" s="637"/>
      <c r="D77" s="325"/>
      <c r="E77" s="332"/>
      <c r="H77" s="325"/>
      <c r="M77" s="658"/>
    </row>
    <row r="78" ht="15.75" customHeight="1">
      <c r="B78" s="637"/>
      <c r="D78" s="325"/>
      <c r="E78" s="332"/>
      <c r="H78" s="325"/>
      <c r="M78" s="658"/>
    </row>
    <row r="79" ht="15.75" customHeight="1">
      <c r="B79" s="637"/>
      <c r="D79" s="325"/>
      <c r="E79" s="332"/>
      <c r="H79" s="325"/>
      <c r="M79" s="658"/>
    </row>
    <row r="80" ht="15.75" customHeight="1">
      <c r="B80" s="637"/>
      <c r="D80" s="325"/>
      <c r="E80" s="332"/>
      <c r="H80" s="325"/>
      <c r="M80" s="658"/>
    </row>
    <row r="81" ht="15.75" customHeight="1">
      <c r="B81" s="637"/>
      <c r="D81" s="325"/>
      <c r="E81" s="332"/>
      <c r="H81" s="325"/>
      <c r="M81" s="658"/>
    </row>
    <row r="82" ht="15.75" customHeight="1">
      <c r="B82" s="637"/>
      <c r="D82" s="325"/>
      <c r="E82" s="332"/>
      <c r="H82" s="325"/>
      <c r="M82" s="658"/>
    </row>
    <row r="83" ht="15.75" customHeight="1">
      <c r="B83" s="637"/>
      <c r="D83" s="325"/>
      <c r="E83" s="332"/>
      <c r="H83" s="325"/>
      <c r="M83" s="658"/>
    </row>
    <row r="84" ht="15.75" customHeight="1">
      <c r="B84" s="637"/>
      <c r="D84" s="325"/>
      <c r="E84" s="332"/>
      <c r="H84" s="325"/>
      <c r="M84" s="658"/>
    </row>
    <row r="85" ht="15.75" customHeight="1">
      <c r="B85" s="637"/>
      <c r="D85" s="325"/>
      <c r="E85" s="332"/>
      <c r="H85" s="325"/>
      <c r="M85" s="658"/>
    </row>
    <row r="86" ht="15.75" customHeight="1">
      <c r="B86" s="637"/>
      <c r="D86" s="325"/>
      <c r="E86" s="332"/>
      <c r="H86" s="325"/>
      <c r="M86" s="658"/>
    </row>
    <row r="87" ht="15.75" customHeight="1">
      <c r="B87" s="637"/>
      <c r="D87" s="325"/>
      <c r="E87" s="332"/>
      <c r="H87" s="325"/>
      <c r="M87" s="658"/>
    </row>
    <row r="88" ht="15.75" customHeight="1">
      <c r="B88" s="637"/>
      <c r="D88" s="325"/>
      <c r="E88" s="332"/>
      <c r="H88" s="325"/>
      <c r="M88" s="658"/>
    </row>
    <row r="89" ht="15.75" customHeight="1">
      <c r="B89" s="637"/>
      <c r="D89" s="325"/>
      <c r="E89" s="332"/>
      <c r="H89" s="325"/>
      <c r="M89" s="658"/>
    </row>
    <row r="90" ht="15.75" customHeight="1">
      <c r="B90" s="637"/>
      <c r="D90" s="325"/>
      <c r="E90" s="332"/>
      <c r="H90" s="325"/>
      <c r="M90" s="658"/>
    </row>
    <row r="91" ht="15.75" customHeight="1">
      <c r="B91" s="637"/>
      <c r="D91" s="325"/>
      <c r="E91" s="332"/>
      <c r="H91" s="325"/>
      <c r="M91" s="658"/>
    </row>
    <row r="92" ht="15.75" customHeight="1">
      <c r="B92" s="637"/>
      <c r="D92" s="325"/>
      <c r="E92" s="332"/>
      <c r="H92" s="325"/>
      <c r="M92" s="658"/>
    </row>
    <row r="93" ht="15.75" customHeight="1">
      <c r="B93" s="637"/>
      <c r="D93" s="325"/>
      <c r="E93" s="332"/>
      <c r="H93" s="325"/>
      <c r="M93" s="658"/>
    </row>
    <row r="94" ht="15.75" customHeight="1">
      <c r="B94" s="637"/>
      <c r="D94" s="325"/>
      <c r="E94" s="332"/>
      <c r="H94" s="325"/>
      <c r="M94" s="658"/>
    </row>
    <row r="95" ht="15.75" customHeight="1">
      <c r="B95" s="637"/>
      <c r="D95" s="325"/>
      <c r="E95" s="332"/>
      <c r="H95" s="325"/>
      <c r="M95" s="658"/>
    </row>
    <row r="96" ht="15.75" customHeight="1">
      <c r="B96" s="637"/>
      <c r="D96" s="325"/>
      <c r="E96" s="332"/>
      <c r="H96" s="325"/>
      <c r="M96" s="658"/>
    </row>
    <row r="97" ht="15.75" customHeight="1">
      <c r="B97" s="637"/>
      <c r="D97" s="325"/>
      <c r="E97" s="332"/>
      <c r="H97" s="325"/>
      <c r="M97" s="658"/>
    </row>
    <row r="98" ht="15.75" customHeight="1">
      <c r="B98" s="637"/>
      <c r="D98" s="325"/>
      <c r="E98" s="332"/>
      <c r="H98" s="325"/>
      <c r="M98" s="658"/>
    </row>
    <row r="99" ht="15.75" customHeight="1">
      <c r="B99" s="637"/>
      <c r="D99" s="325"/>
      <c r="E99" s="332"/>
      <c r="H99" s="325"/>
      <c r="M99" s="658"/>
    </row>
    <row r="100" ht="15.75" customHeight="1">
      <c r="B100" s="637"/>
      <c r="D100" s="325"/>
      <c r="E100" s="332"/>
      <c r="H100" s="325"/>
      <c r="M100" s="658"/>
    </row>
    <row r="101" ht="15.75" customHeight="1">
      <c r="B101" s="637"/>
      <c r="D101" s="325"/>
      <c r="E101" s="332"/>
      <c r="H101" s="325"/>
      <c r="M101" s="658"/>
    </row>
    <row r="102" ht="15.75" customHeight="1">
      <c r="B102" s="637"/>
      <c r="D102" s="325"/>
      <c r="E102" s="332"/>
      <c r="H102" s="325"/>
      <c r="M102" s="658"/>
    </row>
    <row r="103" ht="15.75" customHeight="1">
      <c r="B103" s="637"/>
      <c r="D103" s="325"/>
      <c r="E103" s="332"/>
      <c r="H103" s="325"/>
      <c r="M103" s="658"/>
    </row>
    <row r="104" ht="15.75" customHeight="1">
      <c r="B104" s="637"/>
      <c r="D104" s="325"/>
      <c r="E104" s="332"/>
      <c r="H104" s="325"/>
      <c r="M104" s="658"/>
    </row>
    <row r="105" ht="15.75" customHeight="1">
      <c r="B105" s="637"/>
      <c r="D105" s="325"/>
      <c r="E105" s="332"/>
      <c r="H105" s="325"/>
      <c r="M105" s="658"/>
    </row>
    <row r="106" ht="15.75" customHeight="1">
      <c r="B106" s="637"/>
      <c r="D106" s="325"/>
      <c r="E106" s="332"/>
      <c r="H106" s="325"/>
      <c r="M106" s="658"/>
    </row>
    <row r="107" ht="15.75" customHeight="1">
      <c r="B107" s="637"/>
      <c r="D107" s="325"/>
      <c r="E107" s="332"/>
      <c r="H107" s="325"/>
      <c r="M107" s="658"/>
    </row>
    <row r="108" ht="15.75" customHeight="1">
      <c r="B108" s="637"/>
      <c r="D108" s="325"/>
      <c r="E108" s="332"/>
      <c r="H108" s="325"/>
      <c r="M108" s="658"/>
    </row>
    <row r="109" ht="15.75" customHeight="1">
      <c r="B109" s="637"/>
      <c r="D109" s="325"/>
      <c r="E109" s="332"/>
      <c r="H109" s="325"/>
      <c r="M109" s="658"/>
    </row>
    <row r="110" ht="15.75" customHeight="1">
      <c r="B110" s="637"/>
      <c r="D110" s="325"/>
      <c r="E110" s="332"/>
      <c r="H110" s="325"/>
      <c r="M110" s="658"/>
    </row>
    <row r="111" ht="15.75" customHeight="1">
      <c r="B111" s="637"/>
      <c r="D111" s="325"/>
      <c r="E111" s="332"/>
      <c r="H111" s="325"/>
      <c r="M111" s="658"/>
    </row>
    <row r="112" ht="15.75" customHeight="1">
      <c r="B112" s="637"/>
      <c r="D112" s="325"/>
      <c r="E112" s="332"/>
      <c r="H112" s="325"/>
      <c r="M112" s="658"/>
    </row>
    <row r="113" ht="15.75" customHeight="1">
      <c r="B113" s="637"/>
      <c r="D113" s="325"/>
      <c r="E113" s="332"/>
      <c r="H113" s="325"/>
      <c r="M113" s="658"/>
    </row>
    <row r="114" ht="15.75" customHeight="1">
      <c r="B114" s="637"/>
      <c r="D114" s="325"/>
      <c r="E114" s="332"/>
      <c r="H114" s="325"/>
      <c r="M114" s="658"/>
    </row>
    <row r="115" ht="15.75" customHeight="1">
      <c r="B115" s="637"/>
      <c r="D115" s="325"/>
      <c r="E115" s="332"/>
      <c r="H115" s="325"/>
      <c r="M115" s="658"/>
    </row>
    <row r="116" ht="15.75" customHeight="1">
      <c r="B116" s="637"/>
      <c r="D116" s="325"/>
      <c r="E116" s="332"/>
      <c r="H116" s="325"/>
      <c r="M116" s="658"/>
    </row>
    <row r="117" ht="15.75" customHeight="1">
      <c r="B117" s="637"/>
      <c r="D117" s="325"/>
      <c r="E117" s="332"/>
      <c r="H117" s="325"/>
      <c r="M117" s="658"/>
    </row>
    <row r="118" ht="15.75" customHeight="1">
      <c r="B118" s="637"/>
      <c r="D118" s="325"/>
      <c r="E118" s="332"/>
      <c r="H118" s="325"/>
      <c r="M118" s="658"/>
    </row>
    <row r="119" ht="15.75" customHeight="1">
      <c r="B119" s="637"/>
      <c r="D119" s="325"/>
      <c r="E119" s="332"/>
      <c r="H119" s="325"/>
      <c r="M119" s="658"/>
    </row>
    <row r="120" ht="15.75" customHeight="1">
      <c r="B120" s="637"/>
      <c r="D120" s="325"/>
      <c r="E120" s="332"/>
      <c r="H120" s="325"/>
      <c r="M120" s="658"/>
    </row>
    <row r="121" ht="15.75" customHeight="1">
      <c r="B121" s="637"/>
      <c r="D121" s="325"/>
      <c r="E121" s="332"/>
      <c r="H121" s="325"/>
      <c r="M121" s="658"/>
    </row>
    <row r="122" ht="15.75" customHeight="1">
      <c r="B122" s="637"/>
      <c r="D122" s="325"/>
      <c r="E122" s="332"/>
      <c r="H122" s="325"/>
      <c r="M122" s="658"/>
    </row>
    <row r="123" ht="15.75" customHeight="1">
      <c r="B123" s="637"/>
      <c r="D123" s="325"/>
      <c r="E123" s="332"/>
      <c r="H123" s="325"/>
      <c r="M123" s="658"/>
    </row>
    <row r="124" ht="15.75" customHeight="1">
      <c r="B124" s="637"/>
      <c r="D124" s="325"/>
      <c r="E124" s="332"/>
      <c r="H124" s="325"/>
      <c r="M124" s="658"/>
    </row>
    <row r="125" ht="15.75" customHeight="1">
      <c r="B125" s="637"/>
      <c r="D125" s="325"/>
      <c r="E125" s="332"/>
      <c r="H125" s="325"/>
      <c r="M125" s="658"/>
    </row>
    <row r="126" ht="15.75" customHeight="1">
      <c r="B126" s="637"/>
      <c r="D126" s="325"/>
      <c r="E126" s="332"/>
      <c r="H126" s="325"/>
      <c r="M126" s="658"/>
    </row>
    <row r="127" ht="15.75" customHeight="1">
      <c r="B127" s="637"/>
      <c r="D127" s="325"/>
      <c r="E127" s="332"/>
      <c r="H127" s="325"/>
      <c r="M127" s="658"/>
    </row>
    <row r="128" ht="15.75" customHeight="1">
      <c r="B128" s="637"/>
      <c r="D128" s="325"/>
      <c r="E128" s="332"/>
      <c r="H128" s="325"/>
      <c r="M128" s="658"/>
    </row>
    <row r="129" ht="15.75" customHeight="1">
      <c r="B129" s="637"/>
      <c r="D129" s="325"/>
      <c r="E129" s="332"/>
      <c r="H129" s="325"/>
      <c r="M129" s="658"/>
    </row>
    <row r="130" ht="15.75" customHeight="1">
      <c r="B130" s="637"/>
      <c r="D130" s="325"/>
      <c r="E130" s="332"/>
      <c r="H130" s="325"/>
      <c r="M130" s="658"/>
    </row>
    <row r="131" ht="15.75" customHeight="1">
      <c r="B131" s="637"/>
      <c r="D131" s="325"/>
      <c r="E131" s="332"/>
      <c r="H131" s="325"/>
      <c r="M131" s="658"/>
    </row>
    <row r="132" ht="15.75" customHeight="1">
      <c r="B132" s="637"/>
      <c r="D132" s="325"/>
      <c r="E132" s="332"/>
      <c r="H132" s="325"/>
      <c r="M132" s="658"/>
    </row>
    <row r="133" ht="15.75" customHeight="1">
      <c r="B133" s="637"/>
      <c r="D133" s="325"/>
      <c r="E133" s="332"/>
      <c r="H133" s="325"/>
      <c r="M133" s="658"/>
    </row>
    <row r="134" ht="15.75" customHeight="1">
      <c r="B134" s="637"/>
      <c r="D134" s="325"/>
      <c r="E134" s="332"/>
      <c r="H134" s="325"/>
      <c r="M134" s="658"/>
    </row>
    <row r="135" ht="15.75" customHeight="1">
      <c r="B135" s="637"/>
      <c r="D135" s="325"/>
      <c r="E135" s="332"/>
      <c r="H135" s="325"/>
      <c r="M135" s="658"/>
    </row>
    <row r="136" ht="15.75" customHeight="1">
      <c r="B136" s="637"/>
      <c r="D136" s="325"/>
      <c r="E136" s="332"/>
      <c r="H136" s="325"/>
      <c r="M136" s="658"/>
    </row>
    <row r="137" ht="15.75" customHeight="1">
      <c r="B137" s="637"/>
      <c r="D137" s="325"/>
      <c r="E137" s="332"/>
      <c r="H137" s="325"/>
      <c r="M137" s="658"/>
    </row>
    <row r="138" ht="15.75" customHeight="1">
      <c r="B138" s="637"/>
      <c r="D138" s="325"/>
      <c r="E138" s="332"/>
      <c r="H138" s="325"/>
      <c r="M138" s="658"/>
    </row>
    <row r="139" ht="15.75" customHeight="1">
      <c r="B139" s="637"/>
      <c r="D139" s="325"/>
      <c r="E139" s="332"/>
      <c r="H139" s="325"/>
      <c r="M139" s="658"/>
    </row>
    <row r="140" ht="15.75" customHeight="1">
      <c r="B140" s="637"/>
      <c r="D140" s="325"/>
      <c r="E140" s="332"/>
      <c r="H140" s="325"/>
      <c r="M140" s="658"/>
    </row>
    <row r="141" ht="15.75" customHeight="1">
      <c r="B141" s="637"/>
      <c r="D141" s="325"/>
      <c r="E141" s="332"/>
      <c r="H141" s="325"/>
      <c r="M141" s="658"/>
    </row>
    <row r="142" ht="15.75" customHeight="1">
      <c r="B142" s="637"/>
      <c r="D142" s="325"/>
      <c r="E142" s="332"/>
      <c r="H142" s="325"/>
      <c r="M142" s="658"/>
    </row>
    <row r="143" ht="15.75" customHeight="1">
      <c r="B143" s="637"/>
      <c r="D143" s="325"/>
      <c r="E143" s="332"/>
      <c r="H143" s="325"/>
      <c r="M143" s="658"/>
    </row>
    <row r="144" ht="15.75" customHeight="1">
      <c r="B144" s="637"/>
      <c r="D144" s="325"/>
      <c r="E144" s="332"/>
      <c r="H144" s="325"/>
      <c r="M144" s="658"/>
    </row>
    <row r="145" ht="15.75" customHeight="1">
      <c r="B145" s="637"/>
      <c r="D145" s="325"/>
      <c r="E145" s="332"/>
      <c r="H145" s="325"/>
      <c r="M145" s="658"/>
    </row>
    <row r="146" ht="15.75" customHeight="1">
      <c r="B146" s="637"/>
      <c r="D146" s="325"/>
      <c r="E146" s="332"/>
      <c r="H146" s="325"/>
      <c r="M146" s="658"/>
    </row>
    <row r="147" ht="15.75" customHeight="1">
      <c r="B147" s="637"/>
      <c r="D147" s="325"/>
      <c r="E147" s="332"/>
      <c r="H147" s="325"/>
      <c r="M147" s="658"/>
    </row>
    <row r="148" ht="15.75" customHeight="1">
      <c r="B148" s="637"/>
      <c r="D148" s="325"/>
      <c r="E148" s="332"/>
      <c r="H148" s="325"/>
      <c r="M148" s="658"/>
    </row>
    <row r="149" ht="15.75" customHeight="1">
      <c r="B149" s="637"/>
      <c r="D149" s="325"/>
      <c r="E149" s="332"/>
      <c r="H149" s="325"/>
      <c r="M149" s="658"/>
    </row>
    <row r="150" ht="15.75" customHeight="1">
      <c r="B150" s="637"/>
      <c r="D150" s="325"/>
      <c r="E150" s="332"/>
      <c r="H150" s="325"/>
      <c r="M150" s="658"/>
    </row>
    <row r="151" ht="15.75" customHeight="1">
      <c r="B151" s="637"/>
      <c r="D151" s="325"/>
      <c r="E151" s="332"/>
      <c r="H151" s="325"/>
      <c r="M151" s="658"/>
    </row>
    <row r="152" ht="15.75" customHeight="1">
      <c r="B152" s="637"/>
      <c r="D152" s="325"/>
      <c r="E152" s="332"/>
      <c r="H152" s="325"/>
      <c r="M152" s="658"/>
    </row>
    <row r="153" ht="15.75" customHeight="1">
      <c r="B153" s="637"/>
      <c r="D153" s="325"/>
      <c r="E153" s="332"/>
      <c r="H153" s="325"/>
      <c r="M153" s="658"/>
    </row>
    <row r="154" ht="15.75" customHeight="1">
      <c r="B154" s="637"/>
      <c r="D154" s="325"/>
      <c r="E154" s="332"/>
      <c r="H154" s="325"/>
      <c r="M154" s="658"/>
    </row>
    <row r="155" ht="15.75" customHeight="1">
      <c r="B155" s="637"/>
      <c r="D155" s="325"/>
      <c r="E155" s="332"/>
      <c r="H155" s="325"/>
      <c r="M155" s="658"/>
    </row>
    <row r="156" ht="15.75" customHeight="1">
      <c r="B156" s="637"/>
      <c r="D156" s="325"/>
      <c r="E156" s="332"/>
      <c r="H156" s="325"/>
      <c r="M156" s="658"/>
    </row>
    <row r="157" ht="15.75" customHeight="1">
      <c r="B157" s="637"/>
      <c r="D157" s="325"/>
      <c r="E157" s="332"/>
      <c r="H157" s="325"/>
      <c r="M157" s="658"/>
    </row>
    <row r="158" ht="15.75" customHeight="1">
      <c r="B158" s="637"/>
      <c r="D158" s="325"/>
      <c r="E158" s="332"/>
      <c r="H158" s="325"/>
      <c r="M158" s="658"/>
    </row>
    <row r="159" ht="15.75" customHeight="1">
      <c r="B159" s="637"/>
      <c r="D159" s="325"/>
      <c r="E159" s="332"/>
      <c r="H159" s="325"/>
      <c r="M159" s="658"/>
    </row>
    <row r="160" ht="15.75" customHeight="1">
      <c r="B160" s="637"/>
      <c r="D160" s="325"/>
      <c r="E160" s="332"/>
      <c r="H160" s="325"/>
      <c r="M160" s="658"/>
    </row>
    <row r="161" ht="15.75" customHeight="1">
      <c r="B161" s="637"/>
      <c r="D161" s="325"/>
      <c r="E161" s="332"/>
      <c r="H161" s="325"/>
      <c r="M161" s="658"/>
    </row>
    <row r="162" ht="15.75" customHeight="1">
      <c r="B162" s="637"/>
      <c r="D162" s="325"/>
      <c r="E162" s="332"/>
      <c r="H162" s="325"/>
      <c r="M162" s="658"/>
    </row>
    <row r="163" ht="15.75" customHeight="1">
      <c r="B163" s="637"/>
      <c r="D163" s="325"/>
      <c r="E163" s="332"/>
      <c r="H163" s="325"/>
      <c r="M163" s="658"/>
    </row>
    <row r="164" ht="15.75" customHeight="1">
      <c r="B164" s="637"/>
      <c r="D164" s="325"/>
      <c r="E164" s="332"/>
      <c r="H164" s="325"/>
      <c r="M164" s="658"/>
    </row>
    <row r="165" ht="15.75" customHeight="1">
      <c r="B165" s="637"/>
      <c r="D165" s="325"/>
      <c r="E165" s="332"/>
      <c r="H165" s="325"/>
      <c r="M165" s="658"/>
    </row>
    <row r="166" ht="15.75" customHeight="1">
      <c r="B166" s="637"/>
      <c r="D166" s="325"/>
      <c r="E166" s="332"/>
      <c r="H166" s="325"/>
      <c r="M166" s="658"/>
    </row>
    <row r="167" ht="15.75" customHeight="1">
      <c r="B167" s="637"/>
      <c r="D167" s="325"/>
      <c r="E167" s="332"/>
      <c r="H167" s="325"/>
      <c r="M167" s="658"/>
    </row>
    <row r="168" ht="15.75" customHeight="1">
      <c r="B168" s="637"/>
      <c r="D168" s="325"/>
      <c r="E168" s="332"/>
      <c r="H168" s="325"/>
      <c r="M168" s="658"/>
    </row>
    <row r="169" ht="15.75" customHeight="1">
      <c r="B169" s="637"/>
      <c r="D169" s="325"/>
      <c r="E169" s="332"/>
      <c r="H169" s="325"/>
      <c r="M169" s="658"/>
    </row>
    <row r="170" ht="15.75" customHeight="1">
      <c r="B170" s="637"/>
      <c r="D170" s="325"/>
      <c r="E170" s="332"/>
      <c r="H170" s="325"/>
      <c r="M170" s="658"/>
    </row>
    <row r="171" ht="15.75" customHeight="1">
      <c r="B171" s="637"/>
      <c r="D171" s="325"/>
      <c r="E171" s="332"/>
      <c r="H171" s="325"/>
      <c r="M171" s="658"/>
    </row>
    <row r="172" ht="15.75" customHeight="1">
      <c r="B172" s="637"/>
      <c r="D172" s="325"/>
      <c r="E172" s="332"/>
      <c r="H172" s="325"/>
      <c r="M172" s="658"/>
    </row>
    <row r="173" ht="15.75" customHeight="1">
      <c r="B173" s="637"/>
      <c r="D173" s="325"/>
      <c r="E173" s="332"/>
      <c r="H173" s="325"/>
      <c r="M173" s="658"/>
    </row>
    <row r="174" ht="15.75" customHeight="1">
      <c r="B174" s="637"/>
      <c r="D174" s="325"/>
      <c r="E174" s="332"/>
      <c r="H174" s="325"/>
      <c r="M174" s="658"/>
    </row>
    <row r="175" ht="15.75" customHeight="1">
      <c r="B175" s="637"/>
      <c r="D175" s="325"/>
      <c r="E175" s="332"/>
      <c r="H175" s="325"/>
      <c r="M175" s="658"/>
    </row>
    <row r="176" ht="15.75" customHeight="1">
      <c r="B176" s="637"/>
      <c r="D176" s="325"/>
      <c r="E176" s="332"/>
      <c r="H176" s="325"/>
      <c r="M176" s="658"/>
    </row>
    <row r="177" ht="15.75" customHeight="1">
      <c r="B177" s="637"/>
      <c r="D177" s="325"/>
      <c r="E177" s="332"/>
      <c r="H177" s="325"/>
      <c r="M177" s="658"/>
    </row>
    <row r="178" ht="15.75" customHeight="1">
      <c r="B178" s="637"/>
      <c r="D178" s="325"/>
      <c r="E178" s="332"/>
      <c r="H178" s="325"/>
      <c r="M178" s="658"/>
    </row>
    <row r="179" ht="15.75" customHeight="1">
      <c r="B179" s="637"/>
      <c r="D179" s="325"/>
      <c r="E179" s="332"/>
      <c r="H179" s="325"/>
      <c r="M179" s="658"/>
    </row>
    <row r="180" ht="15.75" customHeight="1">
      <c r="B180" s="637"/>
      <c r="D180" s="325"/>
      <c r="E180" s="332"/>
      <c r="H180" s="325"/>
      <c r="M180" s="658"/>
    </row>
    <row r="181" ht="15.75" customHeight="1">
      <c r="B181" s="637"/>
      <c r="D181" s="325"/>
      <c r="E181" s="332"/>
      <c r="H181" s="325"/>
      <c r="M181" s="658"/>
    </row>
    <row r="182" ht="15.75" customHeight="1">
      <c r="B182" s="637"/>
      <c r="D182" s="325"/>
      <c r="E182" s="332"/>
      <c r="H182" s="325"/>
      <c r="M182" s="658"/>
    </row>
    <row r="183" ht="15.75" customHeight="1">
      <c r="B183" s="637"/>
      <c r="D183" s="325"/>
      <c r="E183" s="332"/>
      <c r="H183" s="325"/>
      <c r="M183" s="658"/>
    </row>
    <row r="184" ht="15.75" customHeight="1">
      <c r="B184" s="637"/>
      <c r="D184" s="325"/>
      <c r="E184" s="332"/>
      <c r="H184" s="325"/>
      <c r="M184" s="658"/>
    </row>
    <row r="185" ht="15.75" customHeight="1">
      <c r="B185" s="637"/>
      <c r="D185" s="325"/>
      <c r="E185" s="332"/>
      <c r="H185" s="325"/>
      <c r="M185" s="658"/>
    </row>
    <row r="186" ht="15.75" customHeight="1">
      <c r="B186" s="637"/>
      <c r="D186" s="325"/>
      <c r="E186" s="332"/>
      <c r="H186" s="325"/>
      <c r="M186" s="658"/>
    </row>
    <row r="187" ht="15.75" customHeight="1">
      <c r="B187" s="637"/>
      <c r="D187" s="325"/>
      <c r="E187" s="332"/>
      <c r="H187" s="325"/>
      <c r="M187" s="658"/>
    </row>
    <row r="188" ht="15.75" customHeight="1">
      <c r="B188" s="637"/>
      <c r="D188" s="325"/>
      <c r="E188" s="332"/>
      <c r="H188" s="325"/>
      <c r="M188" s="658"/>
    </row>
    <row r="189" ht="15.75" customHeight="1">
      <c r="B189" s="637"/>
      <c r="D189" s="325"/>
      <c r="E189" s="332"/>
      <c r="H189" s="325"/>
      <c r="M189" s="658"/>
    </row>
    <row r="190" ht="15.75" customHeight="1">
      <c r="B190" s="637"/>
      <c r="D190" s="325"/>
      <c r="E190" s="332"/>
      <c r="H190" s="325"/>
      <c r="M190" s="658"/>
    </row>
    <row r="191" ht="15.75" customHeight="1">
      <c r="B191" s="637"/>
      <c r="D191" s="325"/>
      <c r="E191" s="332"/>
      <c r="H191" s="325"/>
      <c r="M191" s="658"/>
    </row>
    <row r="192" ht="15.75" customHeight="1">
      <c r="B192" s="637"/>
      <c r="D192" s="325"/>
      <c r="E192" s="332"/>
      <c r="H192" s="325"/>
      <c r="M192" s="658"/>
    </row>
    <row r="193" ht="15.75" customHeight="1">
      <c r="B193" s="637"/>
      <c r="D193" s="325"/>
      <c r="E193" s="332"/>
      <c r="H193" s="325"/>
      <c r="M193" s="658"/>
    </row>
    <row r="194" ht="15.75" customHeight="1">
      <c r="B194" s="637"/>
      <c r="D194" s="325"/>
      <c r="E194" s="332"/>
      <c r="H194" s="325"/>
      <c r="M194" s="658"/>
    </row>
    <row r="195" ht="15.75" customHeight="1">
      <c r="B195" s="637"/>
      <c r="D195" s="325"/>
      <c r="E195" s="332"/>
      <c r="H195" s="325"/>
      <c r="M195" s="658"/>
    </row>
    <row r="196" ht="15.75" customHeight="1">
      <c r="B196" s="637"/>
      <c r="D196" s="325"/>
      <c r="E196" s="332"/>
      <c r="H196" s="325"/>
      <c r="M196" s="658"/>
    </row>
    <row r="197" ht="15.75" customHeight="1">
      <c r="B197" s="637"/>
      <c r="D197" s="325"/>
      <c r="E197" s="332"/>
      <c r="H197" s="325"/>
      <c r="M197" s="658"/>
    </row>
    <row r="198" ht="15.75" customHeight="1">
      <c r="B198" s="637"/>
      <c r="D198" s="325"/>
      <c r="E198" s="332"/>
      <c r="H198" s="325"/>
      <c r="M198" s="658"/>
    </row>
    <row r="199" ht="15.75" customHeight="1">
      <c r="B199" s="637"/>
      <c r="D199" s="325"/>
      <c r="E199" s="332"/>
      <c r="H199" s="325"/>
      <c r="M199" s="658"/>
    </row>
    <row r="200" ht="15.75" customHeight="1">
      <c r="B200" s="637"/>
      <c r="D200" s="325"/>
      <c r="E200" s="332"/>
      <c r="H200" s="325"/>
      <c r="M200" s="658"/>
    </row>
    <row r="201" ht="15.75" customHeight="1">
      <c r="B201" s="637"/>
      <c r="D201" s="325"/>
      <c r="E201" s="332"/>
      <c r="H201" s="325"/>
      <c r="M201" s="658"/>
    </row>
    <row r="202" ht="15.75" customHeight="1">
      <c r="B202" s="637"/>
      <c r="D202" s="325"/>
      <c r="E202" s="332"/>
      <c r="H202" s="325"/>
      <c r="M202" s="658"/>
    </row>
    <row r="203" ht="15.75" customHeight="1">
      <c r="B203" s="637"/>
      <c r="D203" s="325"/>
      <c r="E203" s="332"/>
      <c r="H203" s="325"/>
      <c r="M203" s="658"/>
    </row>
    <row r="204" ht="15.75" customHeight="1">
      <c r="B204" s="637"/>
      <c r="D204" s="325"/>
      <c r="E204" s="332"/>
      <c r="H204" s="325"/>
      <c r="M204" s="658"/>
    </row>
    <row r="205" ht="15.75" customHeight="1">
      <c r="B205" s="637"/>
      <c r="D205" s="325"/>
      <c r="E205" s="332"/>
      <c r="H205" s="325"/>
      <c r="M205" s="658"/>
    </row>
    <row r="206" ht="15.75" customHeight="1">
      <c r="B206" s="637"/>
      <c r="D206" s="325"/>
      <c r="E206" s="332"/>
      <c r="H206" s="325"/>
      <c r="M206" s="658"/>
    </row>
    <row r="207" ht="15.75" customHeight="1">
      <c r="B207" s="637"/>
      <c r="D207" s="325"/>
      <c r="E207" s="332"/>
      <c r="H207" s="325"/>
      <c r="M207" s="658"/>
    </row>
    <row r="208" ht="15.75" customHeight="1">
      <c r="B208" s="637"/>
      <c r="D208" s="325"/>
      <c r="E208" s="332"/>
      <c r="H208" s="325"/>
      <c r="M208" s="658"/>
    </row>
    <row r="209" ht="15.75" customHeight="1">
      <c r="B209" s="637"/>
      <c r="D209" s="325"/>
      <c r="E209" s="332"/>
      <c r="H209" s="325"/>
      <c r="M209" s="658"/>
    </row>
    <row r="210" ht="15.75" customHeight="1">
      <c r="B210" s="637"/>
      <c r="D210" s="325"/>
      <c r="E210" s="332"/>
      <c r="H210" s="325"/>
      <c r="M210" s="658"/>
    </row>
    <row r="211" ht="15.75" customHeight="1">
      <c r="B211" s="637"/>
      <c r="D211" s="325"/>
      <c r="E211" s="332"/>
      <c r="H211" s="325"/>
      <c r="M211" s="658"/>
    </row>
    <row r="212" ht="15.75" customHeight="1">
      <c r="B212" s="637"/>
      <c r="D212" s="325"/>
      <c r="E212" s="332"/>
      <c r="H212" s="325"/>
      <c r="M212" s="658"/>
    </row>
    <row r="213" ht="15.75" customHeight="1">
      <c r="B213" s="637"/>
      <c r="D213" s="325"/>
      <c r="E213" s="332"/>
      <c r="H213" s="325"/>
      <c r="M213" s="658"/>
    </row>
    <row r="214" ht="15.75" customHeight="1">
      <c r="B214" s="637"/>
      <c r="D214" s="325"/>
      <c r="E214" s="332"/>
      <c r="H214" s="325"/>
      <c r="M214" s="658"/>
    </row>
    <row r="215" ht="15.75" customHeight="1">
      <c r="B215" s="637"/>
      <c r="D215" s="325"/>
      <c r="E215" s="332"/>
      <c r="H215" s="325"/>
      <c r="M215" s="658"/>
    </row>
    <row r="216" ht="15.75" customHeight="1">
      <c r="B216" s="637"/>
      <c r="D216" s="325"/>
      <c r="E216" s="332"/>
      <c r="H216" s="325"/>
      <c r="M216" s="658"/>
    </row>
    <row r="217" ht="15.75" customHeight="1">
      <c r="B217" s="637"/>
      <c r="D217" s="325"/>
      <c r="E217" s="332"/>
      <c r="H217" s="325"/>
      <c r="M217" s="658"/>
    </row>
    <row r="218" ht="15.75" customHeight="1">
      <c r="B218" s="637"/>
      <c r="D218" s="325"/>
      <c r="E218" s="332"/>
      <c r="H218" s="325"/>
      <c r="M218" s="658"/>
    </row>
    <row r="219" ht="15.75" customHeight="1">
      <c r="B219" s="637"/>
      <c r="D219" s="325"/>
      <c r="E219" s="332"/>
      <c r="H219" s="325"/>
      <c r="M219" s="658"/>
    </row>
    <row r="220" ht="15.75" customHeight="1">
      <c r="B220" s="637"/>
      <c r="D220" s="325"/>
      <c r="E220" s="332"/>
      <c r="H220" s="325"/>
      <c r="M220" s="658"/>
    </row>
    <row r="221" ht="15.75" customHeight="1">
      <c r="B221" s="637"/>
      <c r="D221" s="325"/>
      <c r="E221" s="332"/>
      <c r="H221" s="325"/>
      <c r="M221" s="658"/>
    </row>
    <row r="222" ht="15.75" customHeight="1">
      <c r="B222" s="637"/>
      <c r="D222" s="325"/>
      <c r="E222" s="332"/>
      <c r="H222" s="325"/>
      <c r="M222" s="658"/>
    </row>
    <row r="223" ht="15.75" customHeight="1">
      <c r="B223" s="637"/>
      <c r="D223" s="325"/>
      <c r="E223" s="332"/>
      <c r="H223" s="325"/>
      <c r="M223" s="658"/>
    </row>
    <row r="224" ht="15.75" customHeight="1">
      <c r="B224" s="637"/>
      <c r="D224" s="325"/>
      <c r="E224" s="332"/>
      <c r="H224" s="325"/>
      <c r="M224" s="658"/>
    </row>
    <row r="225" ht="15.75" customHeight="1">
      <c r="B225" s="637"/>
      <c r="D225" s="325"/>
      <c r="E225" s="332"/>
      <c r="H225" s="325"/>
      <c r="M225" s="658"/>
    </row>
    <row r="226" ht="15.75" customHeight="1">
      <c r="B226" s="637"/>
      <c r="D226" s="325"/>
      <c r="E226" s="332"/>
      <c r="H226" s="325"/>
      <c r="M226" s="658"/>
    </row>
    <row r="227" ht="15.75" customHeight="1">
      <c r="B227" s="637"/>
      <c r="D227" s="325"/>
      <c r="E227" s="332"/>
      <c r="H227" s="325"/>
      <c r="M227" s="658"/>
    </row>
    <row r="228" ht="15.75" customHeight="1">
      <c r="B228" s="637"/>
      <c r="D228" s="325"/>
      <c r="E228" s="332"/>
      <c r="H228" s="325"/>
      <c r="M228" s="658"/>
    </row>
    <row r="229" ht="15.75" customHeight="1">
      <c r="B229" s="637"/>
      <c r="D229" s="325"/>
      <c r="E229" s="332"/>
      <c r="H229" s="325"/>
      <c r="M229" s="658"/>
    </row>
    <row r="230" ht="15.75" customHeight="1">
      <c r="B230" s="637"/>
      <c r="D230" s="325"/>
      <c r="E230" s="332"/>
      <c r="H230" s="325"/>
      <c r="M230" s="658"/>
    </row>
    <row r="231" ht="15.75" customHeight="1">
      <c r="B231" s="637"/>
      <c r="D231" s="325"/>
      <c r="E231" s="332"/>
      <c r="H231" s="325"/>
      <c r="M231" s="658"/>
    </row>
    <row r="232" ht="15.75" customHeight="1">
      <c r="B232" s="637"/>
      <c r="D232" s="325"/>
      <c r="E232" s="332"/>
      <c r="H232" s="325"/>
      <c r="M232" s="658"/>
    </row>
    <row r="233" ht="15.75" customHeight="1">
      <c r="B233" s="637"/>
      <c r="D233" s="325"/>
      <c r="E233" s="332"/>
      <c r="H233" s="325"/>
      <c r="M233" s="658"/>
    </row>
    <row r="234" ht="15.75" customHeight="1">
      <c r="B234" s="637"/>
      <c r="D234" s="325"/>
      <c r="E234" s="332"/>
      <c r="H234" s="325"/>
      <c r="M234" s="658"/>
    </row>
    <row r="235" ht="15.75" customHeight="1">
      <c r="B235" s="637"/>
      <c r="D235" s="325"/>
      <c r="E235" s="332"/>
      <c r="H235" s="325"/>
      <c r="M235" s="658"/>
    </row>
    <row r="236" ht="15.75" customHeight="1">
      <c r="B236" s="637"/>
      <c r="D236" s="325"/>
      <c r="E236" s="332"/>
      <c r="H236" s="325"/>
      <c r="M236" s="658"/>
    </row>
    <row r="237" ht="15.75" customHeight="1">
      <c r="B237" s="637"/>
      <c r="D237" s="325"/>
      <c r="E237" s="332"/>
      <c r="H237" s="325"/>
      <c r="M237" s="658"/>
    </row>
    <row r="238" ht="15.75" customHeight="1">
      <c r="B238" s="637"/>
      <c r="D238" s="325"/>
      <c r="E238" s="332"/>
      <c r="H238" s="325"/>
      <c r="M238" s="658"/>
    </row>
    <row r="239" ht="15.75" customHeight="1">
      <c r="B239" s="637"/>
      <c r="D239" s="325"/>
      <c r="E239" s="332"/>
      <c r="H239" s="325"/>
      <c r="M239" s="658"/>
    </row>
    <row r="240" ht="15.75" customHeight="1">
      <c r="B240" s="637"/>
      <c r="D240" s="325"/>
      <c r="E240" s="332"/>
      <c r="H240" s="325"/>
      <c r="M240" s="658"/>
    </row>
    <row r="241" ht="15.75" customHeight="1">
      <c r="B241" s="637"/>
      <c r="D241" s="325"/>
      <c r="E241" s="332"/>
      <c r="H241" s="325"/>
      <c r="M241" s="658"/>
    </row>
    <row r="242" ht="15.75" customHeight="1">
      <c r="B242" s="637"/>
      <c r="D242" s="325"/>
      <c r="E242" s="332"/>
      <c r="H242" s="325"/>
      <c r="M242" s="658"/>
    </row>
    <row r="243" ht="15.75" customHeight="1">
      <c r="B243" s="637"/>
      <c r="D243" s="325"/>
      <c r="E243" s="332"/>
      <c r="H243" s="325"/>
      <c r="M243" s="658"/>
    </row>
    <row r="244" ht="15.75" customHeight="1">
      <c r="B244" s="637"/>
      <c r="D244" s="325"/>
      <c r="E244" s="332"/>
      <c r="H244" s="325"/>
      <c r="M244" s="658"/>
    </row>
    <row r="245" ht="15.75" customHeight="1">
      <c r="B245" s="637"/>
      <c r="D245" s="325"/>
      <c r="E245" s="332"/>
      <c r="H245" s="325"/>
      <c r="M245" s="658"/>
    </row>
    <row r="246" ht="15.75" customHeight="1">
      <c r="B246" s="637"/>
      <c r="D246" s="325"/>
      <c r="E246" s="332"/>
      <c r="H246" s="325"/>
      <c r="M246" s="658"/>
    </row>
    <row r="247" ht="15.75" customHeight="1">
      <c r="B247" s="637"/>
      <c r="D247" s="325"/>
      <c r="E247" s="332"/>
      <c r="H247" s="325"/>
      <c r="M247" s="658"/>
    </row>
    <row r="248" ht="15.75" customHeight="1">
      <c r="B248" s="637"/>
      <c r="D248" s="325"/>
      <c r="E248" s="332"/>
      <c r="H248" s="325"/>
      <c r="M248" s="658"/>
    </row>
    <row r="249" ht="15.75" customHeight="1">
      <c r="B249" s="637"/>
      <c r="D249" s="325"/>
      <c r="E249" s="332"/>
      <c r="H249" s="325"/>
      <c r="M249" s="658"/>
    </row>
    <row r="250" ht="15.75" customHeight="1">
      <c r="B250" s="637"/>
      <c r="D250" s="325"/>
      <c r="E250" s="332"/>
      <c r="H250" s="325"/>
      <c r="M250" s="658"/>
    </row>
    <row r="251" ht="15.75" customHeight="1">
      <c r="B251" s="637"/>
      <c r="D251" s="325"/>
      <c r="E251" s="332"/>
      <c r="H251" s="325"/>
      <c r="M251" s="658"/>
    </row>
    <row r="252" ht="15.75" customHeight="1">
      <c r="B252" s="637"/>
      <c r="D252" s="325"/>
      <c r="E252" s="332"/>
      <c r="H252" s="325"/>
      <c r="M252" s="658"/>
    </row>
    <row r="253" ht="15.75" customHeight="1">
      <c r="B253" s="637"/>
      <c r="D253" s="325"/>
      <c r="E253" s="332"/>
      <c r="H253" s="325"/>
      <c r="M253" s="658"/>
    </row>
    <row r="254" ht="15.75" customHeight="1">
      <c r="B254" s="637"/>
      <c r="D254" s="325"/>
      <c r="E254" s="332"/>
      <c r="H254" s="325"/>
      <c r="M254" s="658"/>
    </row>
    <row r="255" ht="15.75" customHeight="1">
      <c r="B255" s="637"/>
      <c r="D255" s="325"/>
      <c r="E255" s="332"/>
      <c r="H255" s="325"/>
      <c r="M255" s="658"/>
    </row>
    <row r="256" ht="15.75" customHeight="1">
      <c r="B256" s="637"/>
      <c r="D256" s="325"/>
      <c r="E256" s="332"/>
      <c r="H256" s="325"/>
      <c r="M256" s="658"/>
    </row>
    <row r="257" ht="15.75" customHeight="1">
      <c r="B257" s="637"/>
      <c r="D257" s="325"/>
      <c r="E257" s="332"/>
      <c r="H257" s="325"/>
      <c r="M257" s="658"/>
    </row>
    <row r="258" ht="15.75" customHeight="1">
      <c r="B258" s="637"/>
      <c r="D258" s="325"/>
      <c r="E258" s="332"/>
      <c r="H258" s="325"/>
      <c r="M258" s="658"/>
    </row>
    <row r="259" ht="15.75" customHeight="1">
      <c r="B259" s="637"/>
      <c r="D259" s="325"/>
      <c r="E259" s="332"/>
      <c r="H259" s="325"/>
      <c r="M259" s="658"/>
    </row>
    <row r="260" ht="15.75" customHeight="1">
      <c r="B260" s="637"/>
      <c r="D260" s="325"/>
      <c r="E260" s="332"/>
      <c r="H260" s="325"/>
      <c r="M260" s="658"/>
    </row>
    <row r="261" ht="15.75" customHeight="1">
      <c r="B261" s="637"/>
      <c r="D261" s="325"/>
      <c r="E261" s="332"/>
      <c r="H261" s="325"/>
      <c r="M261" s="658"/>
    </row>
    <row r="262" ht="15.75" customHeight="1">
      <c r="B262" s="637"/>
      <c r="D262" s="325"/>
      <c r="E262" s="332"/>
      <c r="H262" s="325"/>
      <c r="M262" s="658"/>
    </row>
    <row r="263" ht="15.75" customHeight="1">
      <c r="B263" s="637"/>
      <c r="D263" s="325"/>
      <c r="E263" s="332"/>
      <c r="H263" s="325"/>
      <c r="M263" s="658"/>
    </row>
    <row r="264" ht="15.75" customHeight="1">
      <c r="B264" s="637"/>
      <c r="D264" s="325"/>
      <c r="E264" s="332"/>
      <c r="H264" s="325"/>
      <c r="M264" s="658"/>
    </row>
    <row r="265" ht="15.75" customHeight="1">
      <c r="B265" s="637"/>
      <c r="D265" s="325"/>
      <c r="E265" s="332"/>
      <c r="H265" s="325"/>
      <c r="M265" s="658"/>
    </row>
    <row r="266" ht="15.75" customHeight="1">
      <c r="B266" s="637"/>
      <c r="D266" s="325"/>
      <c r="E266" s="332"/>
      <c r="H266" s="325"/>
      <c r="M266" s="658"/>
    </row>
    <row r="267" ht="15.75" customHeight="1">
      <c r="B267" s="637"/>
      <c r="D267" s="325"/>
      <c r="E267" s="332"/>
      <c r="H267" s="325"/>
      <c r="M267" s="658"/>
    </row>
    <row r="268" ht="15.75" customHeight="1">
      <c r="B268" s="637"/>
      <c r="D268" s="325"/>
      <c r="E268" s="332"/>
      <c r="H268" s="325"/>
      <c r="M268" s="658"/>
    </row>
    <row r="269" ht="15.75" customHeight="1">
      <c r="B269" s="637"/>
      <c r="D269" s="325"/>
      <c r="E269" s="332"/>
      <c r="H269" s="325"/>
      <c r="M269" s="658"/>
    </row>
    <row r="270" ht="15.75" customHeight="1">
      <c r="B270" s="637"/>
      <c r="D270" s="325"/>
      <c r="E270" s="332"/>
      <c r="H270" s="325"/>
      <c r="M270" s="658"/>
    </row>
    <row r="271" ht="15.75" customHeight="1">
      <c r="B271" s="637"/>
      <c r="D271" s="325"/>
      <c r="E271" s="332"/>
      <c r="H271" s="325"/>
      <c r="M271" s="658"/>
    </row>
    <row r="272" ht="15.75" customHeight="1">
      <c r="B272" s="637"/>
      <c r="D272" s="325"/>
      <c r="E272" s="332"/>
      <c r="H272" s="325"/>
      <c r="M272" s="658"/>
    </row>
    <row r="273" ht="15.75" customHeight="1">
      <c r="B273" s="637"/>
      <c r="D273" s="325"/>
      <c r="E273" s="332"/>
      <c r="H273" s="325"/>
      <c r="M273" s="658"/>
    </row>
    <row r="274" ht="15.75" customHeight="1">
      <c r="B274" s="637"/>
      <c r="D274" s="325"/>
      <c r="E274" s="332"/>
      <c r="H274" s="325"/>
      <c r="M274" s="658"/>
    </row>
    <row r="275" ht="15.75" customHeight="1">
      <c r="B275" s="637"/>
      <c r="D275" s="325"/>
      <c r="E275" s="332"/>
      <c r="H275" s="325"/>
      <c r="M275" s="658"/>
    </row>
    <row r="276" ht="15.75" customHeight="1">
      <c r="B276" s="637"/>
      <c r="D276" s="325"/>
      <c r="E276" s="332"/>
      <c r="H276" s="325"/>
      <c r="M276" s="658"/>
    </row>
    <row r="277" ht="15.75" customHeight="1">
      <c r="B277" s="637"/>
      <c r="D277" s="325"/>
      <c r="E277" s="332"/>
      <c r="H277" s="325"/>
      <c r="M277" s="658"/>
    </row>
    <row r="278" ht="15.75" customHeight="1">
      <c r="B278" s="637"/>
      <c r="D278" s="325"/>
      <c r="E278" s="332"/>
      <c r="H278" s="325"/>
      <c r="M278" s="658"/>
    </row>
    <row r="279" ht="15.75" customHeight="1">
      <c r="B279" s="637"/>
      <c r="D279" s="325"/>
      <c r="E279" s="332"/>
      <c r="H279" s="325"/>
      <c r="M279" s="658"/>
    </row>
    <row r="280" ht="15.75" customHeight="1">
      <c r="B280" s="637"/>
      <c r="D280" s="325"/>
      <c r="E280" s="332"/>
      <c r="H280" s="325"/>
      <c r="M280" s="658"/>
    </row>
    <row r="281" ht="15.75" customHeight="1">
      <c r="B281" s="637"/>
      <c r="D281" s="325"/>
      <c r="E281" s="332"/>
      <c r="H281" s="325"/>
      <c r="M281" s="658"/>
    </row>
    <row r="282" ht="15.75" customHeight="1">
      <c r="B282" s="637"/>
      <c r="D282" s="325"/>
      <c r="E282" s="332"/>
      <c r="H282" s="325"/>
      <c r="M282" s="658"/>
    </row>
    <row r="283" ht="15.75" customHeight="1">
      <c r="B283" s="637"/>
      <c r="D283" s="325"/>
      <c r="E283" s="332"/>
      <c r="H283" s="325"/>
      <c r="M283" s="658"/>
    </row>
    <row r="284" ht="15.75" customHeight="1">
      <c r="B284" s="637"/>
      <c r="D284" s="325"/>
      <c r="E284" s="332"/>
      <c r="H284" s="325"/>
      <c r="M284" s="658"/>
    </row>
    <row r="285" ht="15.75" customHeight="1">
      <c r="B285" s="637"/>
      <c r="D285" s="325"/>
      <c r="E285" s="332"/>
      <c r="H285" s="325"/>
      <c r="M285" s="658"/>
    </row>
    <row r="286" ht="15.75" customHeight="1">
      <c r="B286" s="637"/>
      <c r="D286" s="325"/>
      <c r="E286" s="332"/>
      <c r="H286" s="325"/>
      <c r="M286" s="658"/>
    </row>
    <row r="287" ht="15.75" customHeight="1">
      <c r="B287" s="637"/>
      <c r="D287" s="325"/>
      <c r="E287" s="332"/>
      <c r="H287" s="325"/>
      <c r="M287" s="658"/>
    </row>
    <row r="288" ht="15.75" customHeight="1">
      <c r="B288" s="637"/>
      <c r="D288" s="325"/>
      <c r="E288" s="332"/>
      <c r="H288" s="325"/>
      <c r="M288" s="658"/>
    </row>
    <row r="289" ht="15.75" customHeight="1">
      <c r="B289" s="637"/>
      <c r="D289" s="325"/>
      <c r="E289" s="332"/>
      <c r="H289" s="325"/>
      <c r="M289" s="658"/>
    </row>
    <row r="290" ht="15.75" customHeight="1">
      <c r="B290" s="637"/>
      <c r="D290" s="325"/>
      <c r="E290" s="332"/>
      <c r="H290" s="325"/>
      <c r="M290" s="658"/>
    </row>
    <row r="291" ht="15.75" customHeight="1">
      <c r="B291" s="637"/>
      <c r="D291" s="325"/>
      <c r="E291" s="332"/>
      <c r="H291" s="325"/>
      <c r="M291" s="658"/>
    </row>
    <row r="292" ht="15.75" customHeight="1">
      <c r="B292" s="637"/>
      <c r="D292" s="325"/>
      <c r="E292" s="332"/>
      <c r="H292" s="325"/>
      <c r="M292" s="658"/>
    </row>
    <row r="293" ht="15.75" customHeight="1">
      <c r="B293" s="637"/>
      <c r="D293" s="325"/>
      <c r="E293" s="332"/>
      <c r="H293" s="325"/>
      <c r="M293" s="658"/>
    </row>
    <row r="294" ht="15.75" customHeight="1">
      <c r="B294" s="637"/>
      <c r="D294" s="325"/>
      <c r="E294" s="332"/>
      <c r="H294" s="325"/>
      <c r="M294" s="658"/>
    </row>
    <row r="295" ht="15.75" customHeight="1">
      <c r="B295" s="637"/>
      <c r="D295" s="325"/>
      <c r="E295" s="332"/>
      <c r="H295" s="325"/>
      <c r="M295" s="658"/>
    </row>
    <row r="296" ht="15.75" customHeight="1">
      <c r="B296" s="637"/>
      <c r="D296" s="325"/>
      <c r="E296" s="332"/>
      <c r="H296" s="325"/>
      <c r="M296" s="658"/>
    </row>
    <row r="297" ht="15.75" customHeight="1">
      <c r="B297" s="637"/>
      <c r="D297" s="325"/>
      <c r="E297" s="332"/>
      <c r="H297" s="325"/>
      <c r="M297" s="658"/>
    </row>
    <row r="298" ht="15.75" customHeight="1">
      <c r="B298" s="637"/>
      <c r="D298" s="325"/>
      <c r="E298" s="332"/>
      <c r="H298" s="325"/>
      <c r="M298" s="658"/>
    </row>
    <row r="299" ht="15.75" customHeight="1">
      <c r="B299" s="637"/>
      <c r="D299" s="325"/>
      <c r="E299" s="332"/>
      <c r="H299" s="325"/>
      <c r="M299" s="658"/>
    </row>
    <row r="300" ht="15.75" customHeight="1">
      <c r="B300" s="637"/>
      <c r="D300" s="325"/>
      <c r="E300" s="332"/>
      <c r="H300" s="325"/>
      <c r="M300" s="658"/>
    </row>
    <row r="301" ht="15.75" customHeight="1">
      <c r="B301" s="637"/>
      <c r="D301" s="325"/>
      <c r="E301" s="332"/>
      <c r="H301" s="325"/>
      <c r="M301" s="658"/>
    </row>
    <row r="302" ht="15.75" customHeight="1">
      <c r="B302" s="637"/>
      <c r="D302" s="325"/>
      <c r="E302" s="332"/>
      <c r="H302" s="325"/>
      <c r="M302" s="658"/>
    </row>
    <row r="303" ht="15.75" customHeight="1">
      <c r="B303" s="637"/>
      <c r="D303" s="325"/>
      <c r="E303" s="332"/>
      <c r="H303" s="325"/>
      <c r="M303" s="658"/>
    </row>
    <row r="304" ht="15.75" customHeight="1">
      <c r="B304" s="637"/>
      <c r="D304" s="325"/>
      <c r="E304" s="332"/>
      <c r="H304" s="325"/>
      <c r="M304" s="658"/>
    </row>
    <row r="305" ht="15.75" customHeight="1">
      <c r="B305" s="637"/>
      <c r="D305" s="325"/>
      <c r="E305" s="332"/>
      <c r="H305" s="325"/>
      <c r="M305" s="658"/>
    </row>
    <row r="306" ht="15.75" customHeight="1">
      <c r="B306" s="637"/>
      <c r="D306" s="325"/>
      <c r="E306" s="332"/>
      <c r="H306" s="325"/>
      <c r="M306" s="658"/>
    </row>
    <row r="307" ht="15.75" customHeight="1">
      <c r="B307" s="637"/>
      <c r="D307" s="325"/>
      <c r="E307" s="332"/>
      <c r="H307" s="325"/>
      <c r="M307" s="658"/>
    </row>
    <row r="308" ht="15.75" customHeight="1">
      <c r="B308" s="637"/>
      <c r="D308" s="325"/>
      <c r="E308" s="332"/>
      <c r="H308" s="325"/>
      <c r="M308" s="658"/>
    </row>
    <row r="309" ht="15.75" customHeight="1">
      <c r="B309" s="637"/>
      <c r="D309" s="325"/>
      <c r="E309" s="332"/>
      <c r="H309" s="325"/>
      <c r="M309" s="658"/>
    </row>
    <row r="310" ht="15.75" customHeight="1">
      <c r="B310" s="637"/>
      <c r="D310" s="325"/>
      <c r="E310" s="332"/>
      <c r="H310" s="325"/>
      <c r="M310" s="658"/>
    </row>
    <row r="311" ht="15.75" customHeight="1">
      <c r="B311" s="637"/>
      <c r="D311" s="325"/>
      <c r="E311" s="332"/>
      <c r="H311" s="325"/>
      <c r="M311" s="658"/>
    </row>
    <row r="312" ht="15.75" customHeight="1">
      <c r="B312" s="637"/>
      <c r="D312" s="325"/>
      <c r="E312" s="332"/>
      <c r="H312" s="325"/>
      <c r="M312" s="658"/>
    </row>
    <row r="313" ht="15.75" customHeight="1">
      <c r="B313" s="637"/>
      <c r="D313" s="325"/>
      <c r="E313" s="332"/>
      <c r="H313" s="325"/>
      <c r="M313" s="658"/>
    </row>
    <row r="314" ht="15.75" customHeight="1">
      <c r="B314" s="637"/>
      <c r="D314" s="325"/>
      <c r="E314" s="332"/>
      <c r="H314" s="325"/>
      <c r="M314" s="658"/>
    </row>
    <row r="315" ht="15.75" customHeight="1">
      <c r="B315" s="637"/>
      <c r="D315" s="325"/>
      <c r="E315" s="332"/>
      <c r="H315" s="325"/>
      <c r="M315" s="658"/>
    </row>
    <row r="316" ht="15.75" customHeight="1">
      <c r="B316" s="637"/>
      <c r="D316" s="325"/>
      <c r="E316" s="332"/>
      <c r="H316" s="325"/>
      <c r="M316" s="658"/>
    </row>
    <row r="317" ht="15.75" customHeight="1">
      <c r="B317" s="637"/>
      <c r="D317" s="325"/>
      <c r="E317" s="332"/>
      <c r="H317" s="325"/>
      <c r="M317" s="658"/>
    </row>
    <row r="318" ht="15.75" customHeight="1">
      <c r="B318" s="637"/>
      <c r="D318" s="325"/>
      <c r="E318" s="332"/>
      <c r="H318" s="325"/>
      <c r="M318" s="658"/>
    </row>
    <row r="319" ht="15.75" customHeight="1">
      <c r="B319" s="637"/>
      <c r="D319" s="325"/>
      <c r="E319" s="332"/>
      <c r="H319" s="325"/>
      <c r="M319" s="658"/>
    </row>
    <row r="320" ht="15.75" customHeight="1">
      <c r="B320" s="637"/>
      <c r="D320" s="325"/>
      <c r="E320" s="332"/>
      <c r="H320" s="325"/>
      <c r="M320" s="658"/>
    </row>
    <row r="321" ht="15.75" customHeight="1">
      <c r="B321" s="637"/>
      <c r="D321" s="325"/>
      <c r="E321" s="332"/>
      <c r="H321" s="325"/>
      <c r="M321" s="658"/>
    </row>
    <row r="322" ht="15.75" customHeight="1">
      <c r="B322" s="637"/>
      <c r="D322" s="325"/>
      <c r="E322" s="332"/>
      <c r="H322" s="325"/>
      <c r="M322" s="658"/>
    </row>
    <row r="323" ht="15.75" customHeight="1">
      <c r="B323" s="637"/>
      <c r="D323" s="325"/>
      <c r="E323" s="332"/>
      <c r="H323" s="325"/>
      <c r="M323" s="658"/>
    </row>
    <row r="324" ht="15.75" customHeight="1">
      <c r="B324" s="637"/>
      <c r="D324" s="325"/>
      <c r="E324" s="332"/>
      <c r="H324" s="325"/>
      <c r="M324" s="658"/>
    </row>
    <row r="325" ht="15.75" customHeight="1">
      <c r="B325" s="637"/>
      <c r="D325" s="325"/>
      <c r="E325" s="332"/>
      <c r="H325" s="325"/>
      <c r="M325" s="658"/>
    </row>
    <row r="326" ht="15.75" customHeight="1">
      <c r="B326" s="637"/>
      <c r="D326" s="325"/>
      <c r="E326" s="332"/>
      <c r="H326" s="325"/>
      <c r="M326" s="658"/>
    </row>
    <row r="327" ht="15.75" customHeight="1">
      <c r="B327" s="637"/>
      <c r="D327" s="325"/>
      <c r="E327" s="332"/>
      <c r="H327" s="325"/>
      <c r="M327" s="658"/>
    </row>
    <row r="328" ht="15.75" customHeight="1">
      <c r="B328" s="637"/>
      <c r="D328" s="325"/>
      <c r="E328" s="332"/>
      <c r="H328" s="325"/>
      <c r="M328" s="658"/>
    </row>
    <row r="329" ht="15.75" customHeight="1">
      <c r="B329" s="637"/>
      <c r="D329" s="325"/>
      <c r="E329" s="332"/>
      <c r="H329" s="325"/>
      <c r="M329" s="658"/>
    </row>
    <row r="330" ht="15.75" customHeight="1">
      <c r="B330" s="637"/>
      <c r="D330" s="325"/>
      <c r="E330" s="332"/>
      <c r="H330" s="325"/>
      <c r="M330" s="658"/>
    </row>
    <row r="331" ht="15.75" customHeight="1">
      <c r="B331" s="637"/>
      <c r="D331" s="325"/>
      <c r="E331" s="332"/>
      <c r="H331" s="325"/>
      <c r="M331" s="658"/>
    </row>
    <row r="332" ht="15.75" customHeight="1">
      <c r="B332" s="637"/>
      <c r="D332" s="325"/>
      <c r="E332" s="332"/>
      <c r="H332" s="325"/>
      <c r="M332" s="658"/>
    </row>
    <row r="333" ht="15.75" customHeight="1">
      <c r="B333" s="637"/>
      <c r="D333" s="325"/>
      <c r="E333" s="332"/>
      <c r="H333" s="325"/>
      <c r="M333" s="658"/>
    </row>
    <row r="334" ht="15.75" customHeight="1">
      <c r="B334" s="637"/>
      <c r="D334" s="325"/>
      <c r="E334" s="332"/>
      <c r="H334" s="325"/>
      <c r="M334" s="658"/>
    </row>
    <row r="335" ht="15.75" customHeight="1">
      <c r="B335" s="637"/>
      <c r="D335" s="325"/>
      <c r="E335" s="332"/>
      <c r="H335" s="325"/>
      <c r="M335" s="658"/>
    </row>
    <row r="336" ht="15.75" customHeight="1">
      <c r="B336" s="637"/>
      <c r="D336" s="325"/>
      <c r="E336" s="332"/>
      <c r="H336" s="325"/>
      <c r="M336" s="658"/>
    </row>
    <row r="337" ht="15.75" customHeight="1">
      <c r="B337" s="637"/>
      <c r="D337" s="325"/>
      <c r="E337" s="332"/>
      <c r="H337" s="325"/>
      <c r="M337" s="658"/>
    </row>
    <row r="338" ht="15.75" customHeight="1">
      <c r="B338" s="637"/>
      <c r="D338" s="325"/>
      <c r="E338" s="332"/>
      <c r="H338" s="325"/>
      <c r="M338" s="658"/>
    </row>
    <row r="339" ht="15.75" customHeight="1">
      <c r="B339" s="637"/>
      <c r="D339" s="325"/>
      <c r="E339" s="332"/>
      <c r="H339" s="325"/>
      <c r="M339" s="658"/>
    </row>
    <row r="340" ht="15.75" customHeight="1">
      <c r="B340" s="637"/>
      <c r="D340" s="325"/>
      <c r="E340" s="332"/>
      <c r="H340" s="325"/>
      <c r="M340" s="658"/>
    </row>
    <row r="341" ht="15.75" customHeight="1">
      <c r="B341" s="637"/>
      <c r="D341" s="325"/>
      <c r="E341" s="332"/>
      <c r="H341" s="325"/>
      <c r="M341" s="658"/>
    </row>
    <row r="342" ht="15.75" customHeight="1">
      <c r="B342" s="637"/>
      <c r="D342" s="325"/>
      <c r="E342" s="332"/>
      <c r="H342" s="325"/>
      <c r="M342" s="658"/>
    </row>
    <row r="343" ht="15.75" customHeight="1">
      <c r="B343" s="637"/>
      <c r="D343" s="325"/>
      <c r="E343" s="332"/>
      <c r="H343" s="325"/>
      <c r="M343" s="658"/>
    </row>
    <row r="344" ht="15.75" customHeight="1">
      <c r="B344" s="637"/>
      <c r="D344" s="325"/>
      <c r="E344" s="332"/>
      <c r="H344" s="325"/>
      <c r="M344" s="658"/>
    </row>
    <row r="345" ht="15.75" customHeight="1">
      <c r="B345" s="637"/>
      <c r="D345" s="325"/>
      <c r="E345" s="332"/>
      <c r="H345" s="325"/>
      <c r="M345" s="658"/>
    </row>
    <row r="346" ht="15.75" customHeight="1">
      <c r="B346" s="637"/>
      <c r="D346" s="325"/>
      <c r="E346" s="332"/>
      <c r="H346" s="325"/>
      <c r="M346" s="658"/>
    </row>
    <row r="347" ht="15.75" customHeight="1">
      <c r="B347" s="637"/>
      <c r="D347" s="325"/>
      <c r="E347" s="332"/>
      <c r="H347" s="325"/>
      <c r="M347" s="658"/>
    </row>
    <row r="348" ht="15.75" customHeight="1">
      <c r="B348" s="637"/>
      <c r="D348" s="325"/>
      <c r="E348" s="332"/>
      <c r="H348" s="325"/>
      <c r="M348" s="658"/>
    </row>
    <row r="349" ht="15.75" customHeight="1">
      <c r="B349" s="637"/>
      <c r="D349" s="325"/>
      <c r="E349" s="332"/>
      <c r="H349" s="325"/>
      <c r="M349" s="658"/>
    </row>
    <row r="350" ht="15.75" customHeight="1">
      <c r="B350" s="637"/>
      <c r="D350" s="325"/>
      <c r="E350" s="332"/>
      <c r="H350" s="325"/>
      <c r="M350" s="658"/>
    </row>
    <row r="351" ht="15.75" customHeight="1">
      <c r="B351" s="637"/>
      <c r="D351" s="325"/>
      <c r="E351" s="332"/>
      <c r="H351" s="325"/>
      <c r="M351" s="658"/>
    </row>
    <row r="352" ht="15.75" customHeight="1">
      <c r="B352" s="637"/>
      <c r="D352" s="325"/>
      <c r="E352" s="332"/>
      <c r="H352" s="325"/>
      <c r="M352" s="658"/>
    </row>
    <row r="353" ht="15.75" customHeight="1">
      <c r="B353" s="637"/>
      <c r="D353" s="325"/>
      <c r="E353" s="332"/>
      <c r="H353" s="325"/>
      <c r="M353" s="658"/>
    </row>
    <row r="354" ht="15.75" customHeight="1">
      <c r="B354" s="637"/>
      <c r="D354" s="325"/>
      <c r="E354" s="332"/>
      <c r="H354" s="325"/>
      <c r="M354" s="658"/>
    </row>
    <row r="355" ht="15.75" customHeight="1">
      <c r="B355" s="637"/>
      <c r="D355" s="325"/>
      <c r="E355" s="332"/>
      <c r="H355" s="325"/>
      <c r="M355" s="658"/>
    </row>
    <row r="356" ht="15.75" customHeight="1">
      <c r="B356" s="637"/>
      <c r="D356" s="325"/>
      <c r="E356" s="332"/>
      <c r="H356" s="325"/>
      <c r="M356" s="658"/>
    </row>
    <row r="357" ht="15.75" customHeight="1">
      <c r="B357" s="637"/>
      <c r="D357" s="325"/>
      <c r="E357" s="332"/>
      <c r="H357" s="325"/>
      <c r="M357" s="658"/>
    </row>
    <row r="358" ht="15.75" customHeight="1">
      <c r="B358" s="637"/>
      <c r="D358" s="325"/>
      <c r="E358" s="332"/>
      <c r="H358" s="325"/>
      <c r="M358" s="658"/>
    </row>
    <row r="359" ht="15.75" customHeight="1">
      <c r="B359" s="637"/>
      <c r="D359" s="325"/>
      <c r="E359" s="332"/>
      <c r="H359" s="325"/>
      <c r="M359" s="658"/>
    </row>
    <row r="360" ht="15.75" customHeight="1">
      <c r="B360" s="637"/>
      <c r="D360" s="325"/>
      <c r="E360" s="332"/>
      <c r="H360" s="325"/>
      <c r="M360" s="658"/>
    </row>
    <row r="361" ht="15.75" customHeight="1">
      <c r="B361" s="637"/>
      <c r="D361" s="325"/>
      <c r="E361" s="332"/>
      <c r="H361" s="325"/>
      <c r="M361" s="658"/>
    </row>
    <row r="362" ht="15.75" customHeight="1">
      <c r="B362" s="637"/>
      <c r="D362" s="325"/>
      <c r="E362" s="332"/>
      <c r="H362" s="325"/>
      <c r="M362" s="658"/>
    </row>
    <row r="363" ht="15.75" customHeight="1">
      <c r="B363" s="637"/>
      <c r="D363" s="325"/>
      <c r="E363" s="332"/>
      <c r="H363" s="325"/>
      <c r="M363" s="658"/>
    </row>
    <row r="364" ht="15.75" customHeight="1">
      <c r="B364" s="637"/>
      <c r="D364" s="325"/>
      <c r="E364" s="332"/>
      <c r="H364" s="325"/>
      <c r="M364" s="658"/>
    </row>
    <row r="365" ht="15.75" customHeight="1">
      <c r="B365" s="637"/>
      <c r="D365" s="325"/>
      <c r="E365" s="332"/>
      <c r="H365" s="325"/>
      <c r="M365" s="658"/>
    </row>
    <row r="366" ht="15.75" customHeight="1">
      <c r="B366" s="637"/>
      <c r="D366" s="325"/>
      <c r="E366" s="332"/>
      <c r="H366" s="325"/>
      <c r="M366" s="658"/>
    </row>
    <row r="367" ht="15.75" customHeight="1">
      <c r="B367" s="637"/>
      <c r="D367" s="325"/>
      <c r="E367" s="332"/>
      <c r="H367" s="325"/>
      <c r="M367" s="658"/>
    </row>
    <row r="368" ht="15.75" customHeight="1">
      <c r="B368" s="637"/>
      <c r="D368" s="325"/>
      <c r="E368" s="332"/>
      <c r="H368" s="325"/>
      <c r="M368" s="658"/>
    </row>
    <row r="369" ht="15.75" customHeight="1">
      <c r="B369" s="637"/>
      <c r="D369" s="325"/>
      <c r="E369" s="332"/>
      <c r="H369" s="325"/>
      <c r="M369" s="658"/>
    </row>
    <row r="370" ht="15.75" customHeight="1">
      <c r="B370" s="637"/>
      <c r="D370" s="325"/>
      <c r="E370" s="332"/>
      <c r="H370" s="325"/>
      <c r="M370" s="658"/>
    </row>
    <row r="371" ht="15.75" customHeight="1">
      <c r="B371" s="637"/>
      <c r="D371" s="325"/>
      <c r="E371" s="332"/>
      <c r="H371" s="325"/>
      <c r="M371" s="658"/>
    </row>
    <row r="372" ht="15.75" customHeight="1">
      <c r="B372" s="637"/>
      <c r="D372" s="325"/>
      <c r="E372" s="332"/>
      <c r="H372" s="325"/>
      <c r="M372" s="658"/>
    </row>
    <row r="373" ht="15.75" customHeight="1">
      <c r="B373" s="637"/>
      <c r="D373" s="325"/>
      <c r="E373" s="332"/>
      <c r="H373" s="325"/>
      <c r="M373" s="658"/>
    </row>
    <row r="374" ht="15.75" customHeight="1">
      <c r="B374" s="637"/>
      <c r="D374" s="325"/>
      <c r="E374" s="332"/>
      <c r="H374" s="325"/>
      <c r="M374" s="658"/>
    </row>
    <row r="375" ht="15.75" customHeight="1">
      <c r="B375" s="637"/>
      <c r="D375" s="325"/>
      <c r="E375" s="332"/>
      <c r="H375" s="325"/>
      <c r="M375" s="658"/>
    </row>
    <row r="376" ht="15.75" customHeight="1">
      <c r="B376" s="637"/>
      <c r="D376" s="325"/>
      <c r="E376" s="332"/>
      <c r="H376" s="325"/>
      <c r="M376" s="658"/>
    </row>
    <row r="377" ht="15.75" customHeight="1">
      <c r="B377" s="637"/>
      <c r="D377" s="325"/>
      <c r="E377" s="332"/>
      <c r="H377" s="325"/>
      <c r="M377" s="658"/>
    </row>
    <row r="378" ht="15.75" customHeight="1">
      <c r="B378" s="637"/>
      <c r="D378" s="325"/>
      <c r="E378" s="332"/>
      <c r="H378" s="325"/>
      <c r="M378" s="658"/>
    </row>
    <row r="379" ht="15.75" customHeight="1">
      <c r="B379" s="637"/>
      <c r="D379" s="325"/>
      <c r="E379" s="332"/>
      <c r="H379" s="325"/>
      <c r="M379" s="658"/>
    </row>
    <row r="380" ht="15.75" customHeight="1">
      <c r="B380" s="637"/>
      <c r="D380" s="325"/>
      <c r="E380" s="332"/>
      <c r="H380" s="325"/>
      <c r="M380" s="658"/>
    </row>
    <row r="381" ht="15.75" customHeight="1">
      <c r="B381" s="637"/>
      <c r="D381" s="325"/>
      <c r="E381" s="332"/>
      <c r="H381" s="325"/>
      <c r="M381" s="658"/>
    </row>
    <row r="382" ht="15.75" customHeight="1">
      <c r="B382" s="637"/>
      <c r="D382" s="325"/>
      <c r="E382" s="332"/>
      <c r="H382" s="325"/>
      <c r="M382" s="658"/>
    </row>
    <row r="383" ht="15.75" customHeight="1">
      <c r="B383" s="637"/>
      <c r="D383" s="325"/>
      <c r="E383" s="332"/>
      <c r="H383" s="325"/>
      <c r="M383" s="658"/>
    </row>
    <row r="384" ht="15.75" customHeight="1">
      <c r="B384" s="637"/>
      <c r="D384" s="325"/>
      <c r="E384" s="332"/>
      <c r="H384" s="325"/>
      <c r="M384" s="658"/>
    </row>
    <row r="385" ht="15.75" customHeight="1">
      <c r="B385" s="637"/>
      <c r="D385" s="325"/>
      <c r="E385" s="332"/>
      <c r="H385" s="325"/>
      <c r="M385" s="658"/>
    </row>
    <row r="386" ht="15.75" customHeight="1">
      <c r="B386" s="637"/>
      <c r="D386" s="325"/>
      <c r="E386" s="332"/>
      <c r="H386" s="325"/>
      <c r="M386" s="658"/>
    </row>
    <row r="387" ht="15.75" customHeight="1">
      <c r="B387" s="637"/>
      <c r="D387" s="325"/>
      <c r="E387" s="332"/>
      <c r="H387" s="325"/>
      <c r="M387" s="658"/>
    </row>
    <row r="388" ht="15.75" customHeight="1">
      <c r="B388" s="637"/>
      <c r="D388" s="325"/>
      <c r="E388" s="332"/>
      <c r="H388" s="325"/>
      <c r="M388" s="658"/>
    </row>
    <row r="389" ht="15.75" customHeight="1">
      <c r="B389" s="637"/>
      <c r="D389" s="325"/>
      <c r="E389" s="332"/>
      <c r="H389" s="325"/>
      <c r="M389" s="658"/>
    </row>
    <row r="390" ht="15.75" customHeight="1">
      <c r="B390" s="637"/>
      <c r="D390" s="325"/>
      <c r="E390" s="332"/>
      <c r="H390" s="325"/>
      <c r="M390" s="658"/>
    </row>
    <row r="391" ht="15.75" customHeight="1">
      <c r="B391" s="637"/>
      <c r="D391" s="325"/>
      <c r="E391" s="332"/>
      <c r="H391" s="325"/>
      <c r="M391" s="658"/>
    </row>
    <row r="392" ht="15.75" customHeight="1">
      <c r="B392" s="637"/>
      <c r="D392" s="325"/>
      <c r="E392" s="332"/>
      <c r="H392" s="325"/>
      <c r="M392" s="658"/>
    </row>
    <row r="393" ht="15.75" customHeight="1">
      <c r="B393" s="637"/>
      <c r="D393" s="325"/>
      <c r="E393" s="332"/>
      <c r="H393" s="325"/>
      <c r="M393" s="658"/>
    </row>
    <row r="394" ht="15.75" customHeight="1">
      <c r="B394" s="637"/>
      <c r="D394" s="325"/>
      <c r="E394" s="332"/>
      <c r="H394" s="325"/>
      <c r="M394" s="658"/>
    </row>
    <row r="395" ht="15.75" customHeight="1">
      <c r="B395" s="637"/>
      <c r="D395" s="325"/>
      <c r="E395" s="332"/>
      <c r="H395" s="325"/>
      <c r="M395" s="658"/>
    </row>
    <row r="396" ht="15.75" customHeight="1">
      <c r="B396" s="637"/>
      <c r="D396" s="325"/>
      <c r="E396" s="332"/>
      <c r="H396" s="325"/>
      <c r="M396" s="658"/>
    </row>
    <row r="397" ht="15.75" customHeight="1">
      <c r="B397" s="637"/>
      <c r="D397" s="325"/>
      <c r="E397" s="332"/>
      <c r="H397" s="325"/>
      <c r="M397" s="658"/>
    </row>
    <row r="398" ht="15.75" customHeight="1">
      <c r="B398" s="637"/>
      <c r="D398" s="325"/>
      <c r="E398" s="332"/>
      <c r="H398" s="325"/>
      <c r="M398" s="658"/>
    </row>
    <row r="399" ht="15.75" customHeight="1">
      <c r="B399" s="637"/>
      <c r="D399" s="325"/>
      <c r="E399" s="332"/>
      <c r="H399" s="325"/>
      <c r="M399" s="658"/>
    </row>
    <row r="400" ht="15.75" customHeight="1">
      <c r="B400" s="637"/>
      <c r="D400" s="325"/>
      <c r="E400" s="332"/>
      <c r="H400" s="325"/>
      <c r="M400" s="658"/>
    </row>
    <row r="401" ht="15.75" customHeight="1">
      <c r="B401" s="637"/>
      <c r="D401" s="325"/>
      <c r="E401" s="332"/>
      <c r="H401" s="325"/>
      <c r="M401" s="658"/>
    </row>
    <row r="402" ht="15.75" customHeight="1">
      <c r="B402" s="637"/>
      <c r="D402" s="325"/>
      <c r="E402" s="332"/>
      <c r="H402" s="325"/>
      <c r="M402" s="658"/>
    </row>
    <row r="403" ht="15.75" customHeight="1">
      <c r="B403" s="637"/>
      <c r="D403" s="325"/>
      <c r="E403" s="332"/>
      <c r="H403" s="325"/>
      <c r="M403" s="658"/>
    </row>
    <row r="404" ht="15.75" customHeight="1">
      <c r="B404" s="637"/>
      <c r="D404" s="325"/>
      <c r="E404" s="332"/>
      <c r="H404" s="325"/>
      <c r="M404" s="658"/>
    </row>
    <row r="405" ht="15.75" customHeight="1">
      <c r="B405" s="637"/>
      <c r="D405" s="325"/>
      <c r="E405" s="332"/>
      <c r="H405" s="325"/>
      <c r="M405" s="658"/>
    </row>
    <row r="406" ht="15.75" customHeight="1">
      <c r="B406" s="637"/>
      <c r="D406" s="325"/>
      <c r="E406" s="332"/>
      <c r="H406" s="325"/>
      <c r="M406" s="658"/>
    </row>
    <row r="407" ht="15.75" customHeight="1">
      <c r="B407" s="637"/>
      <c r="D407" s="325"/>
      <c r="E407" s="332"/>
      <c r="H407" s="325"/>
      <c r="M407" s="658"/>
    </row>
    <row r="408" ht="15.75" customHeight="1">
      <c r="B408" s="637"/>
      <c r="D408" s="325"/>
      <c r="E408" s="332"/>
      <c r="H408" s="325"/>
      <c r="M408" s="658"/>
    </row>
    <row r="409" ht="15.75" customHeight="1">
      <c r="B409" s="637"/>
      <c r="D409" s="325"/>
      <c r="E409" s="332"/>
      <c r="H409" s="325"/>
      <c r="M409" s="658"/>
    </row>
    <row r="410" ht="15.75" customHeight="1">
      <c r="B410" s="637"/>
      <c r="D410" s="325"/>
      <c r="E410" s="332"/>
      <c r="H410" s="325"/>
      <c r="M410" s="658"/>
    </row>
    <row r="411" ht="15.75" customHeight="1">
      <c r="B411" s="637"/>
      <c r="D411" s="325"/>
      <c r="E411" s="332"/>
      <c r="H411" s="325"/>
      <c r="M411" s="658"/>
    </row>
    <row r="412" ht="15.75" customHeight="1">
      <c r="B412" s="637"/>
      <c r="D412" s="325"/>
      <c r="E412" s="332"/>
      <c r="H412" s="325"/>
      <c r="M412" s="658"/>
    </row>
    <row r="413" ht="15.75" customHeight="1">
      <c r="B413" s="637"/>
      <c r="D413" s="325"/>
      <c r="E413" s="332"/>
      <c r="H413" s="325"/>
      <c r="M413" s="658"/>
    </row>
    <row r="414" ht="15.75" customHeight="1">
      <c r="B414" s="637"/>
      <c r="D414" s="325"/>
      <c r="E414" s="332"/>
      <c r="H414" s="325"/>
      <c r="M414" s="658"/>
    </row>
    <row r="415" ht="15.75" customHeight="1">
      <c r="B415" s="637"/>
      <c r="D415" s="325"/>
      <c r="E415" s="332"/>
      <c r="H415" s="325"/>
      <c r="M415" s="658"/>
    </row>
    <row r="416" ht="15.75" customHeight="1">
      <c r="B416" s="637"/>
      <c r="D416" s="325"/>
      <c r="E416" s="332"/>
      <c r="H416" s="325"/>
      <c r="M416" s="658"/>
    </row>
    <row r="417" ht="15.75" customHeight="1">
      <c r="B417" s="637"/>
      <c r="D417" s="325"/>
      <c r="E417" s="332"/>
      <c r="H417" s="325"/>
      <c r="M417" s="658"/>
    </row>
    <row r="418" ht="15.75" customHeight="1">
      <c r="B418" s="637"/>
      <c r="D418" s="325"/>
      <c r="E418" s="332"/>
      <c r="H418" s="325"/>
      <c r="M418" s="658"/>
    </row>
    <row r="419" ht="15.75" customHeight="1">
      <c r="B419" s="637"/>
      <c r="D419" s="325"/>
      <c r="E419" s="332"/>
      <c r="H419" s="325"/>
      <c r="M419" s="658"/>
    </row>
    <row r="420" ht="15.75" customHeight="1">
      <c r="B420" s="637"/>
      <c r="D420" s="325"/>
      <c r="E420" s="332"/>
      <c r="H420" s="325"/>
      <c r="M420" s="658"/>
    </row>
    <row r="421" ht="15.75" customHeight="1">
      <c r="B421" s="637"/>
      <c r="D421" s="325"/>
      <c r="E421" s="332"/>
      <c r="H421" s="325"/>
      <c r="M421" s="658"/>
    </row>
    <row r="422" ht="15.75" customHeight="1">
      <c r="B422" s="637"/>
      <c r="D422" s="325"/>
      <c r="E422" s="332"/>
      <c r="H422" s="325"/>
      <c r="M422" s="658"/>
    </row>
    <row r="423" ht="15.75" customHeight="1">
      <c r="B423" s="637"/>
      <c r="D423" s="325"/>
      <c r="E423" s="332"/>
      <c r="H423" s="325"/>
      <c r="M423" s="658"/>
    </row>
    <row r="424" ht="15.75" customHeight="1">
      <c r="B424" s="637"/>
      <c r="D424" s="325"/>
      <c r="E424" s="332"/>
      <c r="H424" s="325"/>
      <c r="M424" s="658"/>
    </row>
    <row r="425" ht="15.75" customHeight="1">
      <c r="B425" s="637"/>
      <c r="D425" s="325"/>
      <c r="E425" s="332"/>
      <c r="H425" s="325"/>
      <c r="M425" s="658"/>
    </row>
    <row r="426" ht="15.75" customHeight="1">
      <c r="B426" s="637"/>
      <c r="D426" s="325"/>
      <c r="E426" s="332"/>
      <c r="H426" s="325"/>
      <c r="M426" s="658"/>
    </row>
    <row r="427" ht="15.75" customHeight="1">
      <c r="B427" s="637"/>
      <c r="D427" s="325"/>
      <c r="E427" s="332"/>
      <c r="H427" s="325"/>
      <c r="M427" s="658"/>
    </row>
    <row r="428" ht="15.75" customHeight="1">
      <c r="B428" s="637"/>
      <c r="D428" s="325"/>
      <c r="E428" s="332"/>
      <c r="H428" s="325"/>
      <c r="M428" s="658"/>
    </row>
    <row r="429" ht="15.75" customHeight="1">
      <c r="B429" s="637"/>
      <c r="D429" s="325"/>
      <c r="E429" s="332"/>
      <c r="H429" s="325"/>
      <c r="M429" s="658"/>
    </row>
    <row r="430" ht="15.75" customHeight="1">
      <c r="B430" s="637"/>
      <c r="D430" s="325"/>
      <c r="E430" s="332"/>
      <c r="H430" s="325"/>
      <c r="M430" s="658"/>
    </row>
    <row r="431" ht="15.75" customHeight="1">
      <c r="B431" s="637"/>
      <c r="D431" s="325"/>
      <c r="E431" s="332"/>
      <c r="H431" s="325"/>
      <c r="M431" s="658"/>
    </row>
    <row r="432" ht="15.75" customHeight="1">
      <c r="B432" s="637"/>
      <c r="D432" s="325"/>
      <c r="E432" s="332"/>
      <c r="H432" s="325"/>
      <c r="M432" s="658"/>
    </row>
    <row r="433" ht="15.75" customHeight="1">
      <c r="B433" s="637"/>
      <c r="D433" s="325"/>
      <c r="E433" s="332"/>
      <c r="H433" s="325"/>
      <c r="M433" s="658"/>
    </row>
    <row r="434" ht="15.75" customHeight="1">
      <c r="B434" s="637"/>
      <c r="D434" s="325"/>
      <c r="E434" s="332"/>
      <c r="H434" s="325"/>
      <c r="M434" s="658"/>
    </row>
    <row r="435" ht="15.75" customHeight="1">
      <c r="B435" s="637"/>
      <c r="D435" s="325"/>
      <c r="E435" s="332"/>
      <c r="H435" s="325"/>
      <c r="M435" s="658"/>
    </row>
    <row r="436" ht="15.75" customHeight="1">
      <c r="B436" s="637"/>
      <c r="D436" s="325"/>
      <c r="E436" s="332"/>
      <c r="H436" s="325"/>
      <c r="M436" s="658"/>
    </row>
    <row r="437" ht="15.75" customHeight="1">
      <c r="B437" s="637"/>
      <c r="D437" s="325"/>
      <c r="E437" s="332"/>
      <c r="H437" s="325"/>
      <c r="M437" s="658"/>
    </row>
    <row r="438" ht="15.75" customHeight="1">
      <c r="B438" s="637"/>
      <c r="D438" s="325"/>
      <c r="E438" s="332"/>
      <c r="H438" s="325"/>
      <c r="M438" s="658"/>
    </row>
    <row r="439" ht="15.75" customHeight="1">
      <c r="B439" s="637"/>
      <c r="D439" s="325"/>
      <c r="E439" s="332"/>
      <c r="H439" s="325"/>
      <c r="M439" s="658"/>
    </row>
    <row r="440" ht="15.75" customHeight="1">
      <c r="B440" s="637"/>
      <c r="D440" s="325"/>
      <c r="E440" s="332"/>
      <c r="H440" s="325"/>
      <c r="M440" s="658"/>
    </row>
    <row r="441" ht="15.75" customHeight="1">
      <c r="B441" s="637"/>
      <c r="D441" s="325"/>
      <c r="E441" s="332"/>
      <c r="H441" s="325"/>
      <c r="M441" s="658"/>
    </row>
    <row r="442" ht="15.75" customHeight="1">
      <c r="B442" s="637"/>
      <c r="D442" s="325"/>
      <c r="E442" s="332"/>
      <c r="H442" s="325"/>
      <c r="M442" s="658"/>
    </row>
    <row r="443" ht="15.75" customHeight="1">
      <c r="B443" s="637"/>
      <c r="D443" s="325"/>
      <c r="E443" s="332"/>
      <c r="H443" s="325"/>
      <c r="M443" s="658"/>
    </row>
    <row r="444" ht="15.75" customHeight="1">
      <c r="B444" s="637"/>
      <c r="D444" s="325"/>
      <c r="E444" s="332"/>
      <c r="H444" s="325"/>
      <c r="M444" s="658"/>
    </row>
    <row r="445" ht="15.75" customHeight="1">
      <c r="B445" s="637"/>
      <c r="D445" s="325"/>
      <c r="E445" s="332"/>
      <c r="H445" s="325"/>
      <c r="M445" s="658"/>
    </row>
    <row r="446" ht="15.75" customHeight="1">
      <c r="B446" s="637"/>
      <c r="D446" s="325"/>
      <c r="E446" s="332"/>
      <c r="H446" s="325"/>
      <c r="M446" s="658"/>
    </row>
    <row r="447" ht="15.75" customHeight="1">
      <c r="B447" s="637"/>
      <c r="D447" s="325"/>
      <c r="E447" s="332"/>
      <c r="H447" s="325"/>
      <c r="M447" s="658"/>
    </row>
    <row r="448" ht="15.75" customHeight="1">
      <c r="B448" s="637"/>
      <c r="D448" s="325"/>
      <c r="E448" s="332"/>
      <c r="H448" s="325"/>
      <c r="M448" s="658"/>
    </row>
    <row r="449" ht="15.75" customHeight="1">
      <c r="B449" s="637"/>
      <c r="D449" s="325"/>
      <c r="E449" s="332"/>
      <c r="H449" s="325"/>
      <c r="M449" s="658"/>
    </row>
    <row r="450" ht="15.75" customHeight="1">
      <c r="B450" s="637"/>
      <c r="D450" s="325"/>
      <c r="E450" s="332"/>
      <c r="H450" s="325"/>
      <c r="M450" s="658"/>
    </row>
    <row r="451" ht="15.75" customHeight="1">
      <c r="B451" s="637"/>
      <c r="D451" s="325"/>
      <c r="E451" s="332"/>
      <c r="H451" s="325"/>
      <c r="M451" s="658"/>
    </row>
    <row r="452" ht="15.75" customHeight="1">
      <c r="B452" s="637"/>
      <c r="D452" s="325"/>
      <c r="E452" s="332"/>
      <c r="H452" s="325"/>
      <c r="M452" s="658"/>
    </row>
    <row r="453" ht="15.75" customHeight="1">
      <c r="B453" s="637"/>
      <c r="D453" s="325"/>
      <c r="E453" s="332"/>
      <c r="H453" s="325"/>
      <c r="M453" s="658"/>
    </row>
    <row r="454" ht="15.75" customHeight="1">
      <c r="B454" s="637"/>
      <c r="D454" s="325"/>
      <c r="E454" s="332"/>
      <c r="H454" s="325"/>
      <c r="M454" s="658"/>
    </row>
    <row r="455" ht="15.75" customHeight="1">
      <c r="B455" s="637"/>
      <c r="D455" s="325"/>
      <c r="E455" s="332"/>
      <c r="H455" s="325"/>
      <c r="M455" s="658"/>
    </row>
    <row r="456" ht="15.75" customHeight="1">
      <c r="B456" s="637"/>
      <c r="D456" s="325"/>
      <c r="E456" s="332"/>
      <c r="H456" s="325"/>
      <c r="M456" s="658"/>
    </row>
    <row r="457" ht="15.75" customHeight="1">
      <c r="B457" s="637"/>
      <c r="D457" s="325"/>
      <c r="E457" s="332"/>
      <c r="H457" s="325"/>
      <c r="M457" s="658"/>
    </row>
    <row r="458" ht="15.75" customHeight="1">
      <c r="B458" s="637"/>
      <c r="D458" s="325"/>
      <c r="E458" s="332"/>
      <c r="H458" s="325"/>
      <c r="M458" s="658"/>
    </row>
    <row r="459" ht="15.75" customHeight="1">
      <c r="B459" s="637"/>
      <c r="D459" s="325"/>
      <c r="E459" s="332"/>
      <c r="H459" s="325"/>
      <c r="M459" s="658"/>
    </row>
    <row r="460" ht="15.75" customHeight="1">
      <c r="B460" s="637"/>
      <c r="D460" s="325"/>
      <c r="E460" s="332"/>
      <c r="H460" s="325"/>
      <c r="M460" s="658"/>
    </row>
    <row r="461" ht="15.75" customHeight="1">
      <c r="B461" s="637"/>
      <c r="D461" s="325"/>
      <c r="E461" s="332"/>
      <c r="H461" s="325"/>
      <c r="M461" s="658"/>
    </row>
    <row r="462" ht="15.75" customHeight="1">
      <c r="B462" s="637"/>
      <c r="D462" s="325"/>
      <c r="E462" s="332"/>
      <c r="H462" s="325"/>
      <c r="M462" s="658"/>
    </row>
    <row r="463" ht="15.75" customHeight="1">
      <c r="B463" s="637"/>
      <c r="D463" s="325"/>
      <c r="E463" s="332"/>
      <c r="H463" s="325"/>
      <c r="M463" s="658"/>
    </row>
    <row r="464" ht="15.75" customHeight="1">
      <c r="B464" s="637"/>
      <c r="D464" s="325"/>
      <c r="E464" s="332"/>
      <c r="H464" s="325"/>
      <c r="M464" s="658"/>
    </row>
    <row r="465" ht="15.75" customHeight="1">
      <c r="B465" s="637"/>
      <c r="D465" s="325"/>
      <c r="E465" s="332"/>
      <c r="H465" s="325"/>
      <c r="M465" s="658"/>
    </row>
    <row r="466" ht="15.75" customHeight="1">
      <c r="B466" s="637"/>
      <c r="D466" s="325"/>
      <c r="E466" s="332"/>
      <c r="H466" s="325"/>
      <c r="M466" s="658"/>
    </row>
    <row r="467" ht="15.75" customHeight="1">
      <c r="B467" s="637"/>
      <c r="D467" s="325"/>
      <c r="E467" s="332"/>
      <c r="H467" s="325"/>
      <c r="M467" s="658"/>
    </row>
    <row r="468" ht="15.75" customHeight="1">
      <c r="B468" s="637"/>
      <c r="D468" s="325"/>
      <c r="E468" s="332"/>
      <c r="H468" s="325"/>
      <c r="M468" s="658"/>
    </row>
    <row r="469" ht="15.75" customHeight="1">
      <c r="B469" s="637"/>
      <c r="D469" s="325"/>
      <c r="E469" s="332"/>
      <c r="H469" s="325"/>
      <c r="M469" s="658"/>
    </row>
    <row r="470" ht="15.75" customHeight="1">
      <c r="B470" s="637"/>
      <c r="D470" s="325"/>
      <c r="E470" s="332"/>
      <c r="H470" s="325"/>
      <c r="M470" s="658"/>
    </row>
    <row r="471" ht="15.75" customHeight="1">
      <c r="B471" s="637"/>
      <c r="D471" s="325"/>
      <c r="E471" s="332"/>
      <c r="H471" s="325"/>
      <c r="M471" s="658"/>
    </row>
    <row r="472" ht="15.75" customHeight="1">
      <c r="B472" s="637"/>
      <c r="D472" s="325"/>
      <c r="E472" s="332"/>
      <c r="H472" s="325"/>
      <c r="M472" s="658"/>
    </row>
    <row r="473" ht="15.75" customHeight="1">
      <c r="B473" s="637"/>
      <c r="D473" s="325"/>
      <c r="E473" s="332"/>
      <c r="H473" s="325"/>
      <c r="M473" s="658"/>
    </row>
    <row r="474" ht="15.75" customHeight="1">
      <c r="B474" s="637"/>
      <c r="D474" s="325"/>
      <c r="E474" s="332"/>
      <c r="H474" s="325"/>
      <c r="M474" s="658"/>
    </row>
    <row r="475" ht="15.75" customHeight="1">
      <c r="B475" s="637"/>
      <c r="D475" s="325"/>
      <c r="E475" s="332"/>
      <c r="H475" s="325"/>
      <c r="M475" s="658"/>
    </row>
    <row r="476" ht="15.75" customHeight="1">
      <c r="B476" s="637"/>
      <c r="D476" s="325"/>
      <c r="E476" s="332"/>
      <c r="H476" s="325"/>
      <c r="M476" s="658"/>
    </row>
    <row r="477" ht="15.75" customHeight="1">
      <c r="B477" s="637"/>
      <c r="D477" s="325"/>
      <c r="E477" s="332"/>
      <c r="H477" s="325"/>
      <c r="M477" s="658"/>
    </row>
    <row r="478" ht="15.75" customHeight="1">
      <c r="B478" s="637"/>
      <c r="D478" s="325"/>
      <c r="E478" s="332"/>
      <c r="H478" s="325"/>
      <c r="M478" s="658"/>
    </row>
    <row r="479" ht="15.75" customHeight="1">
      <c r="B479" s="637"/>
      <c r="D479" s="325"/>
      <c r="E479" s="332"/>
      <c r="H479" s="325"/>
      <c r="M479" s="658"/>
    </row>
    <row r="480" ht="15.75" customHeight="1">
      <c r="B480" s="637"/>
      <c r="D480" s="325"/>
      <c r="E480" s="332"/>
      <c r="H480" s="325"/>
      <c r="M480" s="658"/>
    </row>
    <row r="481" ht="15.75" customHeight="1">
      <c r="B481" s="637"/>
      <c r="D481" s="325"/>
      <c r="E481" s="332"/>
      <c r="H481" s="325"/>
      <c r="M481" s="658"/>
    </row>
    <row r="482" ht="15.75" customHeight="1">
      <c r="B482" s="637"/>
      <c r="D482" s="325"/>
      <c r="E482" s="332"/>
      <c r="H482" s="325"/>
      <c r="M482" s="658"/>
    </row>
    <row r="483" ht="15.75" customHeight="1">
      <c r="B483" s="637"/>
      <c r="D483" s="325"/>
      <c r="E483" s="332"/>
      <c r="H483" s="325"/>
      <c r="M483" s="658"/>
    </row>
    <row r="484" ht="15.75" customHeight="1">
      <c r="B484" s="637"/>
      <c r="D484" s="325"/>
      <c r="E484" s="332"/>
      <c r="H484" s="325"/>
      <c r="M484" s="658"/>
    </row>
    <row r="485" ht="15.75" customHeight="1">
      <c r="B485" s="637"/>
      <c r="D485" s="325"/>
      <c r="E485" s="332"/>
      <c r="H485" s="325"/>
      <c r="M485" s="658"/>
    </row>
    <row r="486" ht="15.75" customHeight="1">
      <c r="B486" s="637"/>
      <c r="D486" s="325"/>
      <c r="E486" s="332"/>
      <c r="H486" s="325"/>
      <c r="M486" s="658"/>
    </row>
    <row r="487" ht="15.75" customHeight="1">
      <c r="B487" s="637"/>
      <c r="D487" s="325"/>
      <c r="E487" s="332"/>
      <c r="H487" s="325"/>
      <c r="M487" s="658"/>
    </row>
    <row r="488" ht="15.75" customHeight="1">
      <c r="B488" s="637"/>
      <c r="D488" s="325"/>
      <c r="E488" s="332"/>
      <c r="H488" s="325"/>
      <c r="M488" s="658"/>
    </row>
    <row r="489" ht="15.75" customHeight="1">
      <c r="B489" s="637"/>
      <c r="D489" s="325"/>
      <c r="E489" s="332"/>
      <c r="H489" s="325"/>
      <c r="M489" s="658"/>
    </row>
    <row r="490" ht="15.75" customHeight="1">
      <c r="B490" s="637"/>
      <c r="D490" s="325"/>
      <c r="E490" s="332"/>
      <c r="H490" s="325"/>
      <c r="M490" s="658"/>
    </row>
    <row r="491" ht="15.75" customHeight="1">
      <c r="B491" s="637"/>
      <c r="D491" s="325"/>
      <c r="E491" s="332"/>
      <c r="H491" s="325"/>
      <c r="M491" s="658"/>
    </row>
    <row r="492" ht="15.75" customHeight="1">
      <c r="B492" s="637"/>
      <c r="D492" s="325"/>
      <c r="E492" s="332"/>
      <c r="H492" s="325"/>
      <c r="M492" s="658"/>
    </row>
    <row r="493" ht="15.75" customHeight="1">
      <c r="B493" s="637"/>
      <c r="D493" s="325"/>
      <c r="E493" s="332"/>
      <c r="H493" s="325"/>
      <c r="M493" s="658"/>
    </row>
    <row r="494" ht="15.75" customHeight="1">
      <c r="B494" s="637"/>
      <c r="D494" s="325"/>
      <c r="E494" s="332"/>
      <c r="H494" s="325"/>
      <c r="M494" s="658"/>
    </row>
    <row r="495" ht="15.75" customHeight="1">
      <c r="B495" s="637"/>
      <c r="D495" s="325"/>
      <c r="E495" s="332"/>
      <c r="H495" s="325"/>
      <c r="M495" s="658"/>
    </row>
    <row r="496" ht="15.75" customHeight="1">
      <c r="B496" s="637"/>
      <c r="D496" s="325"/>
      <c r="E496" s="332"/>
      <c r="H496" s="325"/>
      <c r="M496" s="658"/>
    </row>
    <row r="497" ht="15.75" customHeight="1">
      <c r="B497" s="637"/>
      <c r="D497" s="325"/>
      <c r="E497" s="332"/>
      <c r="H497" s="325"/>
      <c r="M497" s="658"/>
    </row>
    <row r="498" ht="15.75" customHeight="1">
      <c r="B498" s="637"/>
      <c r="D498" s="325"/>
      <c r="E498" s="332"/>
      <c r="H498" s="325"/>
      <c r="M498" s="658"/>
    </row>
    <row r="499" ht="15.75" customHeight="1">
      <c r="B499" s="637"/>
      <c r="D499" s="325"/>
      <c r="E499" s="332"/>
      <c r="H499" s="325"/>
      <c r="M499" s="658"/>
    </row>
    <row r="500" ht="15.75" customHeight="1">
      <c r="B500" s="637"/>
      <c r="D500" s="325"/>
      <c r="E500" s="332"/>
      <c r="H500" s="325"/>
      <c r="M500" s="658"/>
    </row>
    <row r="501" ht="15.75" customHeight="1">
      <c r="B501" s="637"/>
      <c r="D501" s="325"/>
      <c r="E501" s="332"/>
      <c r="H501" s="325"/>
      <c r="M501" s="658"/>
    </row>
    <row r="502" ht="15.75" customHeight="1">
      <c r="B502" s="637"/>
      <c r="D502" s="325"/>
      <c r="E502" s="332"/>
      <c r="H502" s="325"/>
      <c r="M502" s="658"/>
    </row>
    <row r="503" ht="15.75" customHeight="1">
      <c r="B503" s="637"/>
      <c r="D503" s="325"/>
      <c r="E503" s="332"/>
      <c r="H503" s="325"/>
      <c r="M503" s="658"/>
    </row>
    <row r="504" ht="15.75" customHeight="1">
      <c r="B504" s="637"/>
      <c r="D504" s="325"/>
      <c r="E504" s="332"/>
      <c r="H504" s="325"/>
      <c r="M504" s="658"/>
    </row>
    <row r="505" ht="15.75" customHeight="1">
      <c r="B505" s="637"/>
      <c r="D505" s="325"/>
      <c r="E505" s="332"/>
      <c r="H505" s="325"/>
      <c r="M505" s="658"/>
    </row>
    <row r="506" ht="15.75" customHeight="1">
      <c r="B506" s="637"/>
      <c r="D506" s="325"/>
      <c r="E506" s="332"/>
      <c r="H506" s="325"/>
      <c r="M506" s="658"/>
    </row>
    <row r="507" ht="15.75" customHeight="1">
      <c r="B507" s="637"/>
      <c r="D507" s="325"/>
      <c r="E507" s="332"/>
      <c r="H507" s="325"/>
      <c r="M507" s="658"/>
    </row>
    <row r="508" ht="15.75" customHeight="1">
      <c r="B508" s="637"/>
      <c r="D508" s="325"/>
      <c r="E508" s="332"/>
      <c r="H508" s="325"/>
      <c r="M508" s="658"/>
    </row>
    <row r="509" ht="15.75" customHeight="1">
      <c r="B509" s="637"/>
      <c r="D509" s="325"/>
      <c r="E509" s="332"/>
      <c r="H509" s="325"/>
      <c r="M509" s="658"/>
    </row>
    <row r="510" ht="15.75" customHeight="1">
      <c r="B510" s="637"/>
      <c r="D510" s="325"/>
      <c r="E510" s="332"/>
      <c r="H510" s="325"/>
      <c r="M510" s="658"/>
    </row>
    <row r="511" ht="15.75" customHeight="1">
      <c r="B511" s="637"/>
      <c r="D511" s="325"/>
      <c r="E511" s="332"/>
      <c r="H511" s="325"/>
      <c r="M511" s="658"/>
    </row>
    <row r="512" ht="15.75" customHeight="1">
      <c r="B512" s="637"/>
      <c r="D512" s="325"/>
      <c r="E512" s="332"/>
      <c r="H512" s="325"/>
      <c r="M512" s="658"/>
    </row>
    <row r="513" ht="15.75" customHeight="1">
      <c r="B513" s="637"/>
      <c r="D513" s="325"/>
      <c r="E513" s="332"/>
      <c r="H513" s="325"/>
      <c r="M513" s="658"/>
    </row>
    <row r="514" ht="15.75" customHeight="1">
      <c r="B514" s="637"/>
      <c r="D514" s="325"/>
      <c r="E514" s="332"/>
      <c r="H514" s="325"/>
      <c r="M514" s="658"/>
    </row>
    <row r="515" ht="15.75" customHeight="1">
      <c r="B515" s="637"/>
      <c r="D515" s="325"/>
      <c r="E515" s="332"/>
      <c r="H515" s="325"/>
      <c r="M515" s="658"/>
    </row>
    <row r="516" ht="15.75" customHeight="1">
      <c r="B516" s="637"/>
      <c r="D516" s="325"/>
      <c r="E516" s="332"/>
      <c r="H516" s="325"/>
      <c r="M516" s="658"/>
    </row>
    <row r="517" ht="15.75" customHeight="1">
      <c r="B517" s="637"/>
      <c r="D517" s="325"/>
      <c r="E517" s="332"/>
      <c r="H517" s="325"/>
      <c r="M517" s="658"/>
    </row>
    <row r="518" ht="15.75" customHeight="1">
      <c r="B518" s="637"/>
      <c r="D518" s="325"/>
      <c r="E518" s="332"/>
      <c r="H518" s="325"/>
      <c r="M518" s="658"/>
    </row>
    <row r="519" ht="15.75" customHeight="1">
      <c r="B519" s="637"/>
      <c r="D519" s="325"/>
      <c r="E519" s="332"/>
      <c r="H519" s="325"/>
      <c r="M519" s="658"/>
    </row>
    <row r="520" ht="15.75" customHeight="1">
      <c r="B520" s="637"/>
      <c r="D520" s="325"/>
      <c r="E520" s="332"/>
      <c r="H520" s="325"/>
      <c r="M520" s="658"/>
    </row>
    <row r="521" ht="15.75" customHeight="1">
      <c r="B521" s="637"/>
      <c r="D521" s="325"/>
      <c r="E521" s="332"/>
      <c r="H521" s="325"/>
      <c r="M521" s="658"/>
    </row>
    <row r="522" ht="15.75" customHeight="1">
      <c r="B522" s="637"/>
      <c r="D522" s="325"/>
      <c r="E522" s="332"/>
      <c r="H522" s="325"/>
      <c r="M522" s="658"/>
    </row>
    <row r="523" ht="15.75" customHeight="1">
      <c r="B523" s="637"/>
      <c r="D523" s="325"/>
      <c r="E523" s="332"/>
      <c r="H523" s="325"/>
      <c r="M523" s="658"/>
    </row>
    <row r="524" ht="15.75" customHeight="1">
      <c r="B524" s="637"/>
      <c r="D524" s="325"/>
      <c r="E524" s="332"/>
      <c r="H524" s="325"/>
      <c r="M524" s="658"/>
    </row>
    <row r="525" ht="15.75" customHeight="1">
      <c r="B525" s="637"/>
      <c r="D525" s="325"/>
      <c r="E525" s="332"/>
      <c r="H525" s="325"/>
      <c r="M525" s="658"/>
    </row>
    <row r="526" ht="15.75" customHeight="1">
      <c r="B526" s="637"/>
      <c r="D526" s="325"/>
      <c r="E526" s="332"/>
      <c r="H526" s="325"/>
      <c r="M526" s="658"/>
    </row>
    <row r="527" ht="15.75" customHeight="1">
      <c r="B527" s="637"/>
      <c r="D527" s="325"/>
      <c r="E527" s="332"/>
      <c r="H527" s="325"/>
      <c r="M527" s="658"/>
    </row>
    <row r="528" ht="15.75" customHeight="1">
      <c r="B528" s="637"/>
      <c r="D528" s="325"/>
      <c r="E528" s="332"/>
      <c r="H528" s="325"/>
      <c r="M528" s="658"/>
    </row>
    <row r="529" ht="15.75" customHeight="1">
      <c r="B529" s="637"/>
      <c r="D529" s="325"/>
      <c r="E529" s="332"/>
      <c r="H529" s="325"/>
      <c r="M529" s="658"/>
    </row>
    <row r="530" ht="15.75" customHeight="1">
      <c r="B530" s="637"/>
      <c r="D530" s="325"/>
      <c r="E530" s="332"/>
      <c r="H530" s="325"/>
      <c r="M530" s="658"/>
    </row>
    <row r="531" ht="15.75" customHeight="1">
      <c r="B531" s="637"/>
      <c r="D531" s="325"/>
      <c r="E531" s="332"/>
      <c r="H531" s="325"/>
      <c r="M531" s="658"/>
    </row>
    <row r="532" ht="15.75" customHeight="1">
      <c r="B532" s="637"/>
      <c r="D532" s="325"/>
      <c r="E532" s="332"/>
      <c r="H532" s="325"/>
      <c r="M532" s="658"/>
    </row>
    <row r="533" ht="15.75" customHeight="1">
      <c r="B533" s="637"/>
      <c r="D533" s="325"/>
      <c r="E533" s="332"/>
      <c r="H533" s="325"/>
      <c r="M533" s="658"/>
    </row>
    <row r="534" ht="15.75" customHeight="1">
      <c r="B534" s="637"/>
      <c r="D534" s="325"/>
      <c r="E534" s="332"/>
      <c r="H534" s="325"/>
      <c r="M534" s="658"/>
    </row>
    <row r="535" ht="15.75" customHeight="1">
      <c r="B535" s="637"/>
      <c r="D535" s="325"/>
      <c r="E535" s="332"/>
      <c r="H535" s="325"/>
      <c r="M535" s="658"/>
    </row>
    <row r="536" ht="15.75" customHeight="1">
      <c r="B536" s="637"/>
      <c r="D536" s="325"/>
      <c r="E536" s="332"/>
      <c r="H536" s="325"/>
      <c r="M536" s="658"/>
    </row>
    <row r="537" ht="15.75" customHeight="1">
      <c r="B537" s="637"/>
      <c r="D537" s="325"/>
      <c r="E537" s="332"/>
      <c r="H537" s="325"/>
      <c r="M537" s="658"/>
    </row>
    <row r="538" ht="15.75" customHeight="1">
      <c r="B538" s="637"/>
      <c r="D538" s="325"/>
      <c r="E538" s="332"/>
      <c r="H538" s="325"/>
      <c r="M538" s="658"/>
    </row>
    <row r="539" ht="15.75" customHeight="1">
      <c r="B539" s="637"/>
      <c r="D539" s="325"/>
      <c r="E539" s="332"/>
      <c r="H539" s="325"/>
      <c r="M539" s="658"/>
    </row>
    <row r="540" ht="15.75" customHeight="1">
      <c r="B540" s="637"/>
      <c r="D540" s="325"/>
      <c r="E540" s="332"/>
      <c r="H540" s="325"/>
      <c r="M540" s="658"/>
    </row>
    <row r="541" ht="15.75" customHeight="1">
      <c r="B541" s="637"/>
      <c r="D541" s="325"/>
      <c r="E541" s="332"/>
      <c r="H541" s="325"/>
      <c r="M541" s="658"/>
    </row>
    <row r="542" ht="15.75" customHeight="1">
      <c r="B542" s="637"/>
      <c r="D542" s="325"/>
      <c r="E542" s="332"/>
      <c r="H542" s="325"/>
      <c r="M542" s="658"/>
    </row>
    <row r="543" ht="15.75" customHeight="1">
      <c r="B543" s="637"/>
      <c r="D543" s="325"/>
      <c r="E543" s="332"/>
      <c r="H543" s="325"/>
      <c r="M543" s="658"/>
    </row>
    <row r="544" ht="15.75" customHeight="1">
      <c r="B544" s="637"/>
      <c r="D544" s="325"/>
      <c r="E544" s="332"/>
      <c r="H544" s="325"/>
      <c r="M544" s="658"/>
    </row>
    <row r="545" ht="15.75" customHeight="1">
      <c r="B545" s="637"/>
      <c r="D545" s="325"/>
      <c r="E545" s="332"/>
      <c r="H545" s="325"/>
      <c r="M545" s="658"/>
    </row>
    <row r="546" ht="15.75" customHeight="1">
      <c r="B546" s="637"/>
      <c r="D546" s="325"/>
      <c r="E546" s="332"/>
      <c r="H546" s="325"/>
      <c r="M546" s="658"/>
    </row>
    <row r="547" ht="15.75" customHeight="1">
      <c r="B547" s="637"/>
      <c r="D547" s="325"/>
      <c r="E547" s="332"/>
      <c r="H547" s="325"/>
      <c r="M547" s="658"/>
    </row>
    <row r="548" ht="15.75" customHeight="1">
      <c r="B548" s="637"/>
      <c r="D548" s="325"/>
      <c r="E548" s="332"/>
      <c r="H548" s="325"/>
      <c r="M548" s="658"/>
    </row>
    <row r="549" ht="15.75" customHeight="1">
      <c r="B549" s="637"/>
      <c r="D549" s="325"/>
      <c r="E549" s="332"/>
      <c r="H549" s="325"/>
      <c r="M549" s="658"/>
    </row>
    <row r="550" ht="15.75" customHeight="1">
      <c r="B550" s="637"/>
      <c r="D550" s="325"/>
      <c r="E550" s="332"/>
      <c r="H550" s="325"/>
      <c r="M550" s="658"/>
    </row>
    <row r="551" ht="15.75" customHeight="1">
      <c r="B551" s="637"/>
      <c r="D551" s="325"/>
      <c r="E551" s="332"/>
      <c r="H551" s="325"/>
      <c r="M551" s="658"/>
    </row>
    <row r="552" ht="15.75" customHeight="1">
      <c r="B552" s="637"/>
      <c r="D552" s="325"/>
      <c r="E552" s="332"/>
      <c r="H552" s="325"/>
      <c r="M552" s="658"/>
    </row>
    <row r="553" ht="15.75" customHeight="1">
      <c r="B553" s="637"/>
      <c r="D553" s="325"/>
      <c r="E553" s="332"/>
      <c r="H553" s="325"/>
      <c r="M553" s="658"/>
    </row>
    <row r="554" ht="15.75" customHeight="1">
      <c r="B554" s="637"/>
      <c r="D554" s="325"/>
      <c r="E554" s="332"/>
      <c r="H554" s="325"/>
      <c r="M554" s="658"/>
    </row>
    <row r="555" ht="15.75" customHeight="1">
      <c r="B555" s="637"/>
      <c r="D555" s="325"/>
      <c r="E555" s="332"/>
      <c r="H555" s="325"/>
      <c r="M555" s="658"/>
    </row>
    <row r="556" ht="15.75" customHeight="1">
      <c r="B556" s="637"/>
      <c r="D556" s="325"/>
      <c r="E556" s="332"/>
      <c r="H556" s="325"/>
      <c r="M556" s="658"/>
    </row>
    <row r="557" ht="15.75" customHeight="1">
      <c r="B557" s="637"/>
      <c r="D557" s="325"/>
      <c r="E557" s="332"/>
      <c r="H557" s="325"/>
      <c r="M557" s="658"/>
    </row>
    <row r="558" ht="15.75" customHeight="1">
      <c r="B558" s="637"/>
      <c r="D558" s="325"/>
      <c r="E558" s="332"/>
      <c r="H558" s="325"/>
      <c r="M558" s="658"/>
    </row>
    <row r="559" ht="15.75" customHeight="1">
      <c r="B559" s="637"/>
      <c r="D559" s="325"/>
      <c r="E559" s="332"/>
      <c r="H559" s="325"/>
      <c r="M559" s="658"/>
    </row>
    <row r="560" ht="15.75" customHeight="1">
      <c r="B560" s="637"/>
      <c r="D560" s="325"/>
      <c r="E560" s="332"/>
      <c r="H560" s="325"/>
      <c r="M560" s="658"/>
    </row>
    <row r="561" ht="15.75" customHeight="1">
      <c r="B561" s="637"/>
      <c r="D561" s="325"/>
      <c r="E561" s="332"/>
      <c r="H561" s="325"/>
      <c r="M561" s="658"/>
    </row>
    <row r="562" ht="15.75" customHeight="1">
      <c r="B562" s="637"/>
      <c r="D562" s="325"/>
      <c r="E562" s="332"/>
      <c r="H562" s="325"/>
      <c r="M562" s="658"/>
    </row>
    <row r="563" ht="15.75" customHeight="1">
      <c r="B563" s="637"/>
      <c r="D563" s="325"/>
      <c r="E563" s="332"/>
      <c r="H563" s="325"/>
      <c r="M563" s="658"/>
    </row>
    <row r="564" ht="15.75" customHeight="1">
      <c r="B564" s="637"/>
      <c r="D564" s="325"/>
      <c r="E564" s="332"/>
      <c r="H564" s="325"/>
      <c r="M564" s="658"/>
    </row>
    <row r="565" ht="15.75" customHeight="1">
      <c r="B565" s="637"/>
      <c r="D565" s="325"/>
      <c r="E565" s="332"/>
      <c r="H565" s="325"/>
      <c r="M565" s="658"/>
    </row>
    <row r="566" ht="15.75" customHeight="1">
      <c r="B566" s="637"/>
      <c r="D566" s="325"/>
      <c r="E566" s="332"/>
      <c r="H566" s="325"/>
      <c r="M566" s="658"/>
    </row>
    <row r="567" ht="15.75" customHeight="1">
      <c r="B567" s="637"/>
      <c r="D567" s="325"/>
      <c r="E567" s="332"/>
      <c r="H567" s="325"/>
      <c r="M567" s="658"/>
    </row>
    <row r="568" ht="15.75" customHeight="1">
      <c r="B568" s="637"/>
      <c r="D568" s="325"/>
      <c r="E568" s="332"/>
      <c r="H568" s="325"/>
      <c r="M568" s="658"/>
    </row>
    <row r="569" ht="15.75" customHeight="1">
      <c r="B569" s="637"/>
      <c r="D569" s="325"/>
      <c r="E569" s="332"/>
      <c r="H569" s="325"/>
      <c r="M569" s="658"/>
    </row>
    <row r="570" ht="15.75" customHeight="1">
      <c r="B570" s="637"/>
      <c r="D570" s="325"/>
      <c r="E570" s="332"/>
      <c r="H570" s="325"/>
      <c r="M570" s="658"/>
    </row>
    <row r="571" ht="15.75" customHeight="1">
      <c r="B571" s="637"/>
      <c r="D571" s="325"/>
      <c r="E571" s="332"/>
      <c r="H571" s="325"/>
      <c r="M571" s="658"/>
    </row>
    <row r="572" ht="15.75" customHeight="1">
      <c r="B572" s="637"/>
      <c r="D572" s="325"/>
      <c r="E572" s="332"/>
      <c r="H572" s="325"/>
      <c r="M572" s="658"/>
    </row>
    <row r="573" ht="15.75" customHeight="1">
      <c r="B573" s="637"/>
      <c r="D573" s="325"/>
      <c r="E573" s="332"/>
      <c r="H573" s="325"/>
      <c r="M573" s="658"/>
    </row>
    <row r="574" ht="15.75" customHeight="1">
      <c r="B574" s="637"/>
      <c r="D574" s="325"/>
      <c r="E574" s="332"/>
      <c r="H574" s="325"/>
      <c r="M574" s="658"/>
    </row>
    <row r="575" ht="15.75" customHeight="1">
      <c r="B575" s="637"/>
      <c r="D575" s="325"/>
      <c r="E575" s="332"/>
      <c r="H575" s="325"/>
      <c r="M575" s="658"/>
    </row>
    <row r="576" ht="15.75" customHeight="1">
      <c r="B576" s="637"/>
      <c r="D576" s="325"/>
      <c r="E576" s="332"/>
      <c r="H576" s="325"/>
      <c r="M576" s="658"/>
    </row>
    <row r="577" ht="15.75" customHeight="1">
      <c r="B577" s="637"/>
      <c r="D577" s="325"/>
      <c r="E577" s="332"/>
      <c r="H577" s="325"/>
      <c r="M577" s="658"/>
    </row>
    <row r="578" ht="15.75" customHeight="1">
      <c r="B578" s="637"/>
      <c r="D578" s="325"/>
      <c r="E578" s="332"/>
      <c r="H578" s="325"/>
      <c r="M578" s="658"/>
    </row>
    <row r="579" ht="15.75" customHeight="1">
      <c r="B579" s="637"/>
      <c r="D579" s="325"/>
      <c r="E579" s="332"/>
      <c r="H579" s="325"/>
      <c r="M579" s="658"/>
    </row>
    <row r="580" ht="15.75" customHeight="1">
      <c r="B580" s="637"/>
      <c r="D580" s="325"/>
      <c r="E580" s="332"/>
      <c r="H580" s="325"/>
      <c r="M580" s="658"/>
    </row>
    <row r="581" ht="15.75" customHeight="1">
      <c r="B581" s="637"/>
      <c r="D581" s="325"/>
      <c r="E581" s="332"/>
      <c r="H581" s="325"/>
      <c r="M581" s="658"/>
    </row>
    <row r="582" ht="15.75" customHeight="1">
      <c r="B582" s="637"/>
      <c r="D582" s="325"/>
      <c r="E582" s="332"/>
      <c r="H582" s="325"/>
      <c r="M582" s="658"/>
    </row>
    <row r="583" ht="15.75" customHeight="1">
      <c r="B583" s="637"/>
      <c r="D583" s="325"/>
      <c r="E583" s="332"/>
      <c r="H583" s="325"/>
      <c r="M583" s="658"/>
    </row>
    <row r="584" ht="15.75" customHeight="1">
      <c r="B584" s="637"/>
      <c r="D584" s="325"/>
      <c r="E584" s="332"/>
      <c r="H584" s="325"/>
      <c r="M584" s="658"/>
    </row>
    <row r="585" ht="15.75" customHeight="1">
      <c r="B585" s="637"/>
      <c r="D585" s="325"/>
      <c r="E585" s="332"/>
      <c r="H585" s="325"/>
      <c r="M585" s="658"/>
    </row>
    <row r="586" ht="15.75" customHeight="1">
      <c r="B586" s="637"/>
      <c r="D586" s="325"/>
      <c r="E586" s="332"/>
      <c r="H586" s="325"/>
      <c r="M586" s="658"/>
    </row>
    <row r="587" ht="15.75" customHeight="1">
      <c r="B587" s="637"/>
      <c r="D587" s="325"/>
      <c r="E587" s="332"/>
      <c r="H587" s="325"/>
      <c r="M587" s="658"/>
    </row>
    <row r="588" ht="15.75" customHeight="1">
      <c r="B588" s="637"/>
      <c r="D588" s="325"/>
      <c r="E588" s="332"/>
      <c r="H588" s="325"/>
      <c r="M588" s="658"/>
    </row>
    <row r="589" ht="15.75" customHeight="1">
      <c r="B589" s="637"/>
      <c r="D589" s="325"/>
      <c r="E589" s="332"/>
      <c r="H589" s="325"/>
      <c r="M589" s="658"/>
    </row>
    <row r="590" ht="15.75" customHeight="1">
      <c r="B590" s="637"/>
      <c r="D590" s="325"/>
      <c r="E590" s="332"/>
      <c r="H590" s="325"/>
      <c r="M590" s="658"/>
    </row>
    <row r="591" ht="15.75" customHeight="1">
      <c r="B591" s="637"/>
      <c r="D591" s="325"/>
      <c r="E591" s="332"/>
      <c r="H591" s="325"/>
      <c r="M591" s="658"/>
    </row>
    <row r="592" ht="15.75" customHeight="1">
      <c r="B592" s="637"/>
      <c r="D592" s="325"/>
      <c r="E592" s="332"/>
      <c r="H592" s="325"/>
      <c r="M592" s="658"/>
    </row>
    <row r="593" ht="15.75" customHeight="1">
      <c r="B593" s="637"/>
      <c r="D593" s="325"/>
      <c r="E593" s="332"/>
      <c r="H593" s="325"/>
      <c r="M593" s="658"/>
    </row>
    <row r="594" ht="15.75" customHeight="1">
      <c r="B594" s="637"/>
      <c r="D594" s="325"/>
      <c r="E594" s="332"/>
      <c r="H594" s="325"/>
      <c r="M594" s="658"/>
    </row>
    <row r="595" ht="15.75" customHeight="1">
      <c r="B595" s="637"/>
      <c r="D595" s="325"/>
      <c r="E595" s="332"/>
      <c r="H595" s="325"/>
      <c r="M595" s="658"/>
    </row>
    <row r="596" ht="15.75" customHeight="1">
      <c r="B596" s="637"/>
      <c r="D596" s="325"/>
      <c r="E596" s="332"/>
      <c r="H596" s="325"/>
      <c r="M596" s="658"/>
    </row>
    <row r="597" ht="15.75" customHeight="1">
      <c r="B597" s="637"/>
      <c r="D597" s="325"/>
      <c r="E597" s="332"/>
      <c r="H597" s="325"/>
      <c r="M597" s="658"/>
    </row>
    <row r="598" ht="15.75" customHeight="1">
      <c r="B598" s="637"/>
      <c r="D598" s="325"/>
      <c r="E598" s="332"/>
      <c r="H598" s="325"/>
      <c r="M598" s="658"/>
    </row>
    <row r="599" ht="15.75" customHeight="1">
      <c r="B599" s="637"/>
      <c r="D599" s="325"/>
      <c r="E599" s="332"/>
      <c r="H599" s="325"/>
      <c r="M599" s="658"/>
    </row>
    <row r="600" ht="15.75" customHeight="1">
      <c r="B600" s="637"/>
      <c r="D600" s="325"/>
      <c r="E600" s="332"/>
      <c r="H600" s="325"/>
      <c r="M600" s="658"/>
    </row>
    <row r="601" ht="15.75" customHeight="1">
      <c r="B601" s="637"/>
      <c r="D601" s="325"/>
      <c r="E601" s="332"/>
      <c r="H601" s="325"/>
      <c r="M601" s="658"/>
    </row>
    <row r="602" ht="15.75" customHeight="1">
      <c r="B602" s="637"/>
      <c r="D602" s="325"/>
      <c r="E602" s="332"/>
      <c r="H602" s="325"/>
      <c r="M602" s="658"/>
    </row>
    <row r="603" ht="15.75" customHeight="1">
      <c r="B603" s="637"/>
      <c r="D603" s="325"/>
      <c r="E603" s="332"/>
      <c r="H603" s="325"/>
      <c r="M603" s="658"/>
    </row>
    <row r="604" ht="15.75" customHeight="1">
      <c r="B604" s="637"/>
      <c r="D604" s="325"/>
      <c r="E604" s="332"/>
      <c r="H604" s="325"/>
      <c r="M604" s="658"/>
    </row>
    <row r="605" ht="15.75" customHeight="1">
      <c r="B605" s="637"/>
      <c r="D605" s="325"/>
      <c r="E605" s="332"/>
      <c r="H605" s="325"/>
      <c r="M605" s="658"/>
    </row>
    <row r="606" ht="15.75" customHeight="1">
      <c r="B606" s="637"/>
      <c r="D606" s="325"/>
      <c r="E606" s="332"/>
      <c r="H606" s="325"/>
      <c r="M606" s="658"/>
    </row>
    <row r="607" ht="15.75" customHeight="1">
      <c r="B607" s="637"/>
      <c r="D607" s="325"/>
      <c r="E607" s="332"/>
      <c r="H607" s="325"/>
      <c r="M607" s="658"/>
    </row>
    <row r="608" ht="15.75" customHeight="1">
      <c r="B608" s="637"/>
      <c r="D608" s="325"/>
      <c r="E608" s="332"/>
      <c r="H608" s="325"/>
      <c r="M608" s="658"/>
    </row>
    <row r="609" ht="15.75" customHeight="1">
      <c r="B609" s="637"/>
      <c r="D609" s="325"/>
      <c r="E609" s="332"/>
      <c r="H609" s="325"/>
      <c r="M609" s="658"/>
    </row>
    <row r="610" ht="15.75" customHeight="1">
      <c r="B610" s="637"/>
      <c r="D610" s="325"/>
      <c r="E610" s="332"/>
      <c r="H610" s="325"/>
      <c r="M610" s="658"/>
    </row>
    <row r="611" ht="15.75" customHeight="1">
      <c r="B611" s="637"/>
      <c r="D611" s="325"/>
      <c r="E611" s="332"/>
      <c r="H611" s="325"/>
      <c r="M611" s="658"/>
    </row>
    <row r="612" ht="15.75" customHeight="1">
      <c r="B612" s="637"/>
      <c r="D612" s="325"/>
      <c r="E612" s="332"/>
      <c r="H612" s="325"/>
      <c r="M612" s="658"/>
    </row>
    <row r="613" ht="15.75" customHeight="1">
      <c r="B613" s="637"/>
      <c r="D613" s="325"/>
      <c r="E613" s="332"/>
      <c r="H613" s="325"/>
      <c r="M613" s="658"/>
    </row>
    <row r="614" ht="15.75" customHeight="1">
      <c r="B614" s="637"/>
      <c r="D614" s="325"/>
      <c r="E614" s="332"/>
      <c r="H614" s="325"/>
      <c r="M614" s="658"/>
    </row>
    <row r="615" ht="15.75" customHeight="1">
      <c r="B615" s="637"/>
      <c r="D615" s="325"/>
      <c r="E615" s="332"/>
      <c r="H615" s="325"/>
      <c r="M615" s="658"/>
    </row>
    <row r="616" ht="15.75" customHeight="1">
      <c r="B616" s="637"/>
      <c r="D616" s="325"/>
      <c r="E616" s="332"/>
      <c r="H616" s="325"/>
      <c r="M616" s="658"/>
    </row>
    <row r="617" ht="15.75" customHeight="1">
      <c r="B617" s="637"/>
      <c r="D617" s="325"/>
      <c r="E617" s="332"/>
      <c r="H617" s="325"/>
      <c r="M617" s="658"/>
    </row>
    <row r="618" ht="15.75" customHeight="1">
      <c r="B618" s="637"/>
      <c r="D618" s="325"/>
      <c r="E618" s="332"/>
      <c r="H618" s="325"/>
      <c r="M618" s="658"/>
    </row>
    <row r="619" ht="15.75" customHeight="1">
      <c r="B619" s="637"/>
      <c r="D619" s="325"/>
      <c r="E619" s="332"/>
      <c r="H619" s="325"/>
      <c r="M619" s="658"/>
    </row>
    <row r="620" ht="15.75" customHeight="1">
      <c r="B620" s="637"/>
      <c r="D620" s="325"/>
      <c r="E620" s="332"/>
      <c r="H620" s="325"/>
      <c r="M620" s="658"/>
    </row>
    <row r="621" ht="15.75" customHeight="1">
      <c r="B621" s="637"/>
      <c r="D621" s="325"/>
      <c r="E621" s="332"/>
      <c r="H621" s="325"/>
      <c r="M621" s="658"/>
    </row>
    <row r="622" ht="15.75" customHeight="1">
      <c r="B622" s="637"/>
      <c r="D622" s="325"/>
      <c r="E622" s="332"/>
      <c r="H622" s="325"/>
      <c r="M622" s="658"/>
    </row>
    <row r="623" ht="15.75" customHeight="1">
      <c r="B623" s="637"/>
      <c r="D623" s="325"/>
      <c r="E623" s="332"/>
      <c r="H623" s="325"/>
      <c r="M623" s="658"/>
    </row>
    <row r="624" ht="15.75" customHeight="1">
      <c r="B624" s="637"/>
      <c r="D624" s="325"/>
      <c r="E624" s="332"/>
      <c r="H624" s="325"/>
      <c r="M624" s="658"/>
    </row>
    <row r="625" ht="15.75" customHeight="1">
      <c r="B625" s="637"/>
      <c r="D625" s="325"/>
      <c r="E625" s="332"/>
      <c r="H625" s="325"/>
      <c r="M625" s="658"/>
    </row>
    <row r="626" ht="15.75" customHeight="1">
      <c r="B626" s="637"/>
      <c r="D626" s="325"/>
      <c r="E626" s="332"/>
      <c r="H626" s="325"/>
      <c r="M626" s="658"/>
    </row>
    <row r="627" ht="15.75" customHeight="1">
      <c r="B627" s="637"/>
      <c r="D627" s="325"/>
      <c r="E627" s="332"/>
      <c r="H627" s="325"/>
      <c r="M627" s="658"/>
    </row>
    <row r="628" ht="15.75" customHeight="1">
      <c r="B628" s="637"/>
      <c r="D628" s="325"/>
      <c r="E628" s="332"/>
      <c r="H628" s="325"/>
      <c r="M628" s="658"/>
    </row>
    <row r="629" ht="15.75" customHeight="1">
      <c r="B629" s="637"/>
      <c r="D629" s="325"/>
      <c r="E629" s="332"/>
      <c r="H629" s="325"/>
      <c r="M629" s="658"/>
    </row>
    <row r="630" ht="15.75" customHeight="1">
      <c r="B630" s="637"/>
      <c r="D630" s="325"/>
      <c r="E630" s="332"/>
      <c r="H630" s="325"/>
      <c r="M630" s="658"/>
    </row>
    <row r="631" ht="15.75" customHeight="1">
      <c r="B631" s="637"/>
      <c r="D631" s="325"/>
      <c r="E631" s="332"/>
      <c r="H631" s="325"/>
      <c r="M631" s="658"/>
    </row>
    <row r="632" ht="15.75" customHeight="1">
      <c r="B632" s="637"/>
      <c r="D632" s="325"/>
      <c r="E632" s="332"/>
      <c r="H632" s="325"/>
      <c r="M632" s="658"/>
    </row>
    <row r="633" ht="15.75" customHeight="1">
      <c r="B633" s="637"/>
      <c r="D633" s="325"/>
      <c r="E633" s="332"/>
      <c r="H633" s="325"/>
      <c r="M633" s="658"/>
    </row>
    <row r="634" ht="15.75" customHeight="1">
      <c r="B634" s="637"/>
      <c r="D634" s="325"/>
      <c r="E634" s="332"/>
      <c r="H634" s="325"/>
      <c r="M634" s="658"/>
    </row>
    <row r="635" ht="15.75" customHeight="1">
      <c r="B635" s="637"/>
      <c r="D635" s="325"/>
      <c r="E635" s="332"/>
      <c r="H635" s="325"/>
      <c r="M635" s="658"/>
    </row>
    <row r="636" ht="15.75" customHeight="1">
      <c r="B636" s="637"/>
      <c r="D636" s="325"/>
      <c r="E636" s="332"/>
      <c r="H636" s="325"/>
      <c r="M636" s="658"/>
    </row>
    <row r="637" ht="15.75" customHeight="1">
      <c r="B637" s="637"/>
      <c r="D637" s="325"/>
      <c r="E637" s="332"/>
      <c r="H637" s="325"/>
      <c r="M637" s="658"/>
    </row>
    <row r="638" ht="15.75" customHeight="1">
      <c r="B638" s="637"/>
      <c r="D638" s="325"/>
      <c r="E638" s="332"/>
      <c r="H638" s="325"/>
      <c r="M638" s="658"/>
    </row>
    <row r="639" ht="15.75" customHeight="1">
      <c r="B639" s="637"/>
      <c r="D639" s="325"/>
      <c r="E639" s="332"/>
      <c r="H639" s="325"/>
      <c r="M639" s="658"/>
    </row>
    <row r="640" ht="15.75" customHeight="1">
      <c r="B640" s="637"/>
      <c r="D640" s="325"/>
      <c r="E640" s="332"/>
      <c r="H640" s="325"/>
      <c r="M640" s="658"/>
    </row>
    <row r="641" ht="15.75" customHeight="1">
      <c r="B641" s="637"/>
      <c r="D641" s="325"/>
      <c r="E641" s="332"/>
      <c r="H641" s="325"/>
      <c r="M641" s="658"/>
    </row>
    <row r="642" ht="15.75" customHeight="1">
      <c r="B642" s="637"/>
      <c r="D642" s="325"/>
      <c r="E642" s="332"/>
      <c r="H642" s="325"/>
      <c r="M642" s="658"/>
    </row>
    <row r="643" ht="15.75" customHeight="1">
      <c r="B643" s="637"/>
      <c r="D643" s="325"/>
      <c r="E643" s="332"/>
      <c r="H643" s="325"/>
      <c r="M643" s="658"/>
    </row>
    <row r="644" ht="15.75" customHeight="1">
      <c r="B644" s="637"/>
      <c r="D644" s="325"/>
      <c r="E644" s="332"/>
      <c r="H644" s="325"/>
      <c r="M644" s="658"/>
    </row>
    <row r="645" ht="15.75" customHeight="1">
      <c r="B645" s="637"/>
      <c r="D645" s="325"/>
      <c r="E645" s="332"/>
      <c r="H645" s="325"/>
      <c r="M645" s="658"/>
    </row>
    <row r="646" ht="15.75" customHeight="1">
      <c r="B646" s="637"/>
      <c r="D646" s="325"/>
      <c r="E646" s="332"/>
      <c r="H646" s="325"/>
      <c r="M646" s="658"/>
    </row>
    <row r="647" ht="15.75" customHeight="1">
      <c r="B647" s="637"/>
      <c r="D647" s="325"/>
      <c r="E647" s="332"/>
      <c r="H647" s="325"/>
      <c r="M647" s="658"/>
    </row>
    <row r="648" ht="15.75" customHeight="1">
      <c r="B648" s="637"/>
      <c r="D648" s="325"/>
      <c r="E648" s="332"/>
      <c r="H648" s="325"/>
      <c r="M648" s="658"/>
    </row>
    <row r="649" ht="15.75" customHeight="1">
      <c r="B649" s="637"/>
      <c r="D649" s="325"/>
      <c r="E649" s="332"/>
      <c r="H649" s="325"/>
      <c r="M649" s="658"/>
    </row>
    <row r="650" ht="15.75" customHeight="1">
      <c r="B650" s="637"/>
      <c r="D650" s="325"/>
      <c r="E650" s="332"/>
      <c r="H650" s="325"/>
      <c r="M650" s="658"/>
    </row>
    <row r="651" ht="15.75" customHeight="1">
      <c r="B651" s="637"/>
      <c r="D651" s="325"/>
      <c r="E651" s="332"/>
      <c r="H651" s="325"/>
      <c r="M651" s="658"/>
    </row>
    <row r="652" ht="15.75" customHeight="1">
      <c r="B652" s="637"/>
      <c r="D652" s="325"/>
      <c r="E652" s="332"/>
      <c r="H652" s="325"/>
      <c r="M652" s="658"/>
    </row>
    <row r="653" ht="15.75" customHeight="1">
      <c r="B653" s="637"/>
      <c r="D653" s="325"/>
      <c r="E653" s="332"/>
      <c r="H653" s="325"/>
      <c r="M653" s="658"/>
    </row>
    <row r="654" ht="15.75" customHeight="1">
      <c r="B654" s="637"/>
      <c r="D654" s="325"/>
      <c r="E654" s="332"/>
      <c r="H654" s="325"/>
      <c r="M654" s="658"/>
    </row>
    <row r="655" ht="15.75" customHeight="1">
      <c r="B655" s="637"/>
      <c r="D655" s="325"/>
      <c r="E655" s="332"/>
      <c r="H655" s="325"/>
      <c r="M655" s="658"/>
    </row>
    <row r="656" ht="15.75" customHeight="1">
      <c r="B656" s="637"/>
      <c r="D656" s="325"/>
      <c r="E656" s="332"/>
      <c r="H656" s="325"/>
      <c r="M656" s="658"/>
    </row>
    <row r="657" ht="15.75" customHeight="1">
      <c r="B657" s="637"/>
      <c r="D657" s="325"/>
      <c r="E657" s="332"/>
      <c r="H657" s="325"/>
      <c r="M657" s="658"/>
    </row>
    <row r="658" ht="15.75" customHeight="1">
      <c r="B658" s="637"/>
      <c r="D658" s="325"/>
      <c r="E658" s="332"/>
      <c r="H658" s="325"/>
      <c r="M658" s="658"/>
    </row>
    <row r="659" ht="15.75" customHeight="1">
      <c r="B659" s="637"/>
      <c r="D659" s="325"/>
      <c r="E659" s="332"/>
      <c r="H659" s="325"/>
      <c r="M659" s="658"/>
    </row>
    <row r="660" ht="15.75" customHeight="1">
      <c r="B660" s="637"/>
      <c r="D660" s="325"/>
      <c r="E660" s="332"/>
      <c r="H660" s="325"/>
      <c r="M660" s="658"/>
    </row>
    <row r="661" ht="15.75" customHeight="1">
      <c r="B661" s="637"/>
      <c r="D661" s="325"/>
      <c r="E661" s="332"/>
      <c r="H661" s="325"/>
      <c r="M661" s="658"/>
    </row>
    <row r="662" ht="15.75" customHeight="1">
      <c r="B662" s="637"/>
      <c r="D662" s="325"/>
      <c r="E662" s="332"/>
      <c r="H662" s="325"/>
      <c r="M662" s="658"/>
    </row>
    <row r="663" ht="15.75" customHeight="1">
      <c r="B663" s="637"/>
      <c r="D663" s="325"/>
      <c r="E663" s="332"/>
      <c r="H663" s="325"/>
      <c r="M663" s="658"/>
    </row>
    <row r="664" ht="15.75" customHeight="1">
      <c r="B664" s="637"/>
      <c r="D664" s="325"/>
      <c r="E664" s="332"/>
      <c r="H664" s="325"/>
      <c r="M664" s="658"/>
    </row>
    <row r="665" ht="15.75" customHeight="1">
      <c r="B665" s="637"/>
      <c r="D665" s="325"/>
      <c r="E665" s="332"/>
      <c r="H665" s="325"/>
      <c r="M665" s="658"/>
    </row>
    <row r="666" ht="15.75" customHeight="1">
      <c r="B666" s="637"/>
      <c r="D666" s="325"/>
      <c r="E666" s="332"/>
      <c r="H666" s="325"/>
      <c r="M666" s="658"/>
    </row>
    <row r="667" ht="15.75" customHeight="1">
      <c r="B667" s="637"/>
      <c r="D667" s="325"/>
      <c r="E667" s="332"/>
      <c r="H667" s="325"/>
      <c r="M667" s="658"/>
    </row>
    <row r="668" ht="15.75" customHeight="1">
      <c r="B668" s="637"/>
      <c r="D668" s="325"/>
      <c r="E668" s="332"/>
      <c r="H668" s="325"/>
      <c r="M668" s="658"/>
    </row>
    <row r="669" ht="15.75" customHeight="1">
      <c r="B669" s="637"/>
      <c r="D669" s="325"/>
      <c r="E669" s="332"/>
      <c r="H669" s="325"/>
      <c r="M669" s="658"/>
    </row>
    <row r="670" ht="15.75" customHeight="1">
      <c r="B670" s="637"/>
      <c r="D670" s="325"/>
      <c r="E670" s="332"/>
      <c r="H670" s="325"/>
      <c r="M670" s="658"/>
    </row>
    <row r="671" ht="15.75" customHeight="1">
      <c r="B671" s="637"/>
      <c r="D671" s="325"/>
      <c r="E671" s="332"/>
      <c r="H671" s="325"/>
      <c r="M671" s="658"/>
    </row>
    <row r="672" ht="15.75" customHeight="1">
      <c r="B672" s="637"/>
      <c r="D672" s="325"/>
      <c r="E672" s="332"/>
      <c r="H672" s="325"/>
      <c r="M672" s="658"/>
    </row>
    <row r="673" ht="15.75" customHeight="1">
      <c r="B673" s="637"/>
      <c r="D673" s="325"/>
      <c r="E673" s="332"/>
      <c r="H673" s="325"/>
      <c r="M673" s="658"/>
    </row>
    <row r="674" ht="15.75" customHeight="1">
      <c r="B674" s="637"/>
      <c r="D674" s="325"/>
      <c r="E674" s="332"/>
      <c r="H674" s="325"/>
      <c r="M674" s="658"/>
    </row>
    <row r="675" ht="15.75" customHeight="1">
      <c r="B675" s="637"/>
      <c r="D675" s="325"/>
      <c r="E675" s="332"/>
      <c r="H675" s="325"/>
      <c r="M675" s="658"/>
    </row>
    <row r="676" ht="15.75" customHeight="1">
      <c r="B676" s="637"/>
      <c r="D676" s="325"/>
      <c r="E676" s="332"/>
      <c r="H676" s="325"/>
      <c r="M676" s="658"/>
    </row>
    <row r="677" ht="15.75" customHeight="1">
      <c r="B677" s="637"/>
      <c r="D677" s="325"/>
      <c r="E677" s="332"/>
      <c r="H677" s="325"/>
      <c r="M677" s="658"/>
    </row>
    <row r="678" ht="15.75" customHeight="1">
      <c r="B678" s="637"/>
      <c r="D678" s="325"/>
      <c r="E678" s="332"/>
      <c r="H678" s="325"/>
      <c r="M678" s="658"/>
    </row>
    <row r="679" ht="15.75" customHeight="1">
      <c r="B679" s="637"/>
      <c r="D679" s="325"/>
      <c r="E679" s="332"/>
      <c r="H679" s="325"/>
      <c r="M679" s="658"/>
    </row>
    <row r="680" ht="15.75" customHeight="1">
      <c r="B680" s="637"/>
      <c r="D680" s="325"/>
      <c r="E680" s="332"/>
      <c r="H680" s="325"/>
      <c r="M680" s="658"/>
    </row>
    <row r="681" ht="15.75" customHeight="1">
      <c r="B681" s="637"/>
      <c r="D681" s="325"/>
      <c r="E681" s="332"/>
      <c r="H681" s="325"/>
      <c r="M681" s="658"/>
    </row>
    <row r="682" ht="15.75" customHeight="1">
      <c r="B682" s="637"/>
      <c r="D682" s="325"/>
      <c r="E682" s="332"/>
      <c r="H682" s="325"/>
      <c r="M682" s="658"/>
    </row>
    <row r="683" ht="15.75" customHeight="1">
      <c r="B683" s="637"/>
      <c r="D683" s="325"/>
      <c r="E683" s="332"/>
      <c r="H683" s="325"/>
      <c r="M683" s="658"/>
    </row>
    <row r="684" ht="15.75" customHeight="1">
      <c r="B684" s="637"/>
      <c r="D684" s="325"/>
      <c r="E684" s="332"/>
      <c r="H684" s="325"/>
      <c r="M684" s="658"/>
    </row>
    <row r="685" ht="15.75" customHeight="1">
      <c r="B685" s="637"/>
      <c r="D685" s="325"/>
      <c r="E685" s="332"/>
      <c r="H685" s="325"/>
      <c r="M685" s="658"/>
    </row>
    <row r="686" ht="15.75" customHeight="1">
      <c r="B686" s="637"/>
      <c r="D686" s="325"/>
      <c r="E686" s="332"/>
      <c r="H686" s="325"/>
      <c r="M686" s="658"/>
    </row>
    <row r="687" ht="15.75" customHeight="1">
      <c r="B687" s="637"/>
      <c r="D687" s="325"/>
      <c r="E687" s="332"/>
      <c r="H687" s="325"/>
      <c r="M687" s="658"/>
    </row>
    <row r="688" ht="15.75" customHeight="1">
      <c r="B688" s="637"/>
      <c r="D688" s="325"/>
      <c r="E688" s="332"/>
      <c r="H688" s="325"/>
      <c r="M688" s="658"/>
    </row>
    <row r="689" ht="15.75" customHeight="1">
      <c r="B689" s="637"/>
      <c r="D689" s="325"/>
      <c r="E689" s="332"/>
      <c r="H689" s="325"/>
      <c r="M689" s="658"/>
    </row>
    <row r="690" ht="15.75" customHeight="1">
      <c r="B690" s="637"/>
      <c r="D690" s="325"/>
      <c r="E690" s="332"/>
      <c r="H690" s="325"/>
      <c r="M690" s="658"/>
    </row>
    <row r="691" ht="15.75" customHeight="1">
      <c r="B691" s="637"/>
      <c r="D691" s="325"/>
      <c r="E691" s="332"/>
      <c r="H691" s="325"/>
      <c r="M691" s="658"/>
    </row>
    <row r="692" ht="15.75" customHeight="1">
      <c r="B692" s="637"/>
      <c r="D692" s="325"/>
      <c r="E692" s="332"/>
      <c r="H692" s="325"/>
      <c r="M692" s="658"/>
    </row>
    <row r="693" ht="15.75" customHeight="1">
      <c r="B693" s="637"/>
      <c r="D693" s="325"/>
      <c r="E693" s="332"/>
      <c r="H693" s="325"/>
      <c r="M693" s="658"/>
    </row>
    <row r="694" ht="15.75" customHeight="1">
      <c r="B694" s="637"/>
      <c r="D694" s="325"/>
      <c r="E694" s="332"/>
      <c r="H694" s="325"/>
      <c r="M694" s="658"/>
    </row>
    <row r="695" ht="15.75" customHeight="1">
      <c r="B695" s="637"/>
      <c r="D695" s="325"/>
      <c r="E695" s="332"/>
      <c r="H695" s="325"/>
      <c r="M695" s="658"/>
    </row>
    <row r="696" ht="15.75" customHeight="1">
      <c r="B696" s="637"/>
      <c r="D696" s="325"/>
      <c r="E696" s="332"/>
      <c r="H696" s="325"/>
      <c r="M696" s="658"/>
    </row>
    <row r="697" ht="15.75" customHeight="1">
      <c r="B697" s="637"/>
      <c r="D697" s="325"/>
      <c r="E697" s="332"/>
      <c r="H697" s="325"/>
      <c r="M697" s="658"/>
    </row>
    <row r="698" ht="15.75" customHeight="1">
      <c r="B698" s="637"/>
      <c r="D698" s="325"/>
      <c r="E698" s="332"/>
      <c r="H698" s="325"/>
      <c r="M698" s="658"/>
    </row>
    <row r="699" ht="15.75" customHeight="1">
      <c r="B699" s="637"/>
      <c r="D699" s="325"/>
      <c r="E699" s="332"/>
      <c r="H699" s="325"/>
      <c r="M699" s="658"/>
    </row>
    <row r="700" ht="15.75" customHeight="1">
      <c r="B700" s="637"/>
      <c r="D700" s="325"/>
      <c r="E700" s="332"/>
      <c r="H700" s="325"/>
      <c r="M700" s="658"/>
    </row>
    <row r="701" ht="15.75" customHeight="1">
      <c r="B701" s="637"/>
      <c r="D701" s="325"/>
      <c r="E701" s="332"/>
      <c r="H701" s="325"/>
      <c r="M701" s="658"/>
    </row>
    <row r="702" ht="15.75" customHeight="1">
      <c r="B702" s="637"/>
      <c r="D702" s="325"/>
      <c r="E702" s="332"/>
      <c r="H702" s="325"/>
      <c r="M702" s="658"/>
    </row>
    <row r="703" ht="15.75" customHeight="1">
      <c r="B703" s="637"/>
      <c r="D703" s="325"/>
      <c r="E703" s="332"/>
      <c r="H703" s="325"/>
      <c r="M703" s="658"/>
    </row>
    <row r="704" ht="15.75" customHeight="1">
      <c r="B704" s="637"/>
      <c r="D704" s="325"/>
      <c r="E704" s="332"/>
      <c r="H704" s="325"/>
      <c r="M704" s="658"/>
    </row>
    <row r="705" ht="15.75" customHeight="1">
      <c r="B705" s="637"/>
      <c r="D705" s="325"/>
      <c r="E705" s="332"/>
      <c r="H705" s="325"/>
      <c r="M705" s="658"/>
    </row>
    <row r="706" ht="15.75" customHeight="1">
      <c r="B706" s="637"/>
      <c r="D706" s="325"/>
      <c r="E706" s="332"/>
      <c r="H706" s="325"/>
      <c r="M706" s="658"/>
    </row>
    <row r="707" ht="15.75" customHeight="1">
      <c r="B707" s="637"/>
      <c r="D707" s="325"/>
      <c r="E707" s="332"/>
      <c r="H707" s="325"/>
      <c r="M707" s="658"/>
    </row>
    <row r="708" ht="15.75" customHeight="1">
      <c r="B708" s="637"/>
      <c r="D708" s="325"/>
      <c r="E708" s="332"/>
      <c r="H708" s="325"/>
      <c r="M708" s="658"/>
    </row>
    <row r="709" ht="15.75" customHeight="1">
      <c r="B709" s="637"/>
      <c r="D709" s="325"/>
      <c r="E709" s="332"/>
      <c r="H709" s="325"/>
      <c r="M709" s="658"/>
    </row>
    <row r="710" ht="15.75" customHeight="1">
      <c r="B710" s="637"/>
      <c r="D710" s="325"/>
      <c r="E710" s="332"/>
      <c r="H710" s="325"/>
      <c r="M710" s="658"/>
    </row>
    <row r="711" ht="15.75" customHeight="1">
      <c r="B711" s="637"/>
      <c r="D711" s="325"/>
      <c r="E711" s="332"/>
      <c r="H711" s="325"/>
      <c r="M711" s="658"/>
    </row>
    <row r="712" ht="15.75" customHeight="1">
      <c r="B712" s="637"/>
      <c r="D712" s="325"/>
      <c r="E712" s="332"/>
      <c r="H712" s="325"/>
      <c r="M712" s="658"/>
    </row>
    <row r="713" ht="15.75" customHeight="1">
      <c r="B713" s="637"/>
      <c r="D713" s="325"/>
      <c r="E713" s="332"/>
      <c r="H713" s="325"/>
      <c r="M713" s="658"/>
    </row>
    <row r="714" ht="15.75" customHeight="1">
      <c r="B714" s="637"/>
      <c r="D714" s="325"/>
      <c r="E714" s="332"/>
      <c r="H714" s="325"/>
      <c r="M714" s="658"/>
    </row>
    <row r="715" ht="15.75" customHeight="1">
      <c r="B715" s="637"/>
      <c r="D715" s="325"/>
      <c r="E715" s="332"/>
      <c r="H715" s="325"/>
      <c r="M715" s="658"/>
    </row>
    <row r="716" ht="15.75" customHeight="1">
      <c r="B716" s="637"/>
      <c r="D716" s="325"/>
      <c r="E716" s="332"/>
      <c r="H716" s="325"/>
      <c r="M716" s="658"/>
    </row>
    <row r="717" ht="15.75" customHeight="1">
      <c r="B717" s="637"/>
      <c r="D717" s="325"/>
      <c r="E717" s="332"/>
      <c r="H717" s="325"/>
      <c r="M717" s="658"/>
    </row>
    <row r="718" ht="15.75" customHeight="1">
      <c r="B718" s="637"/>
      <c r="D718" s="325"/>
      <c r="E718" s="332"/>
      <c r="H718" s="325"/>
      <c r="M718" s="658"/>
    </row>
    <row r="719" ht="15.75" customHeight="1">
      <c r="B719" s="637"/>
      <c r="D719" s="325"/>
      <c r="E719" s="332"/>
      <c r="H719" s="325"/>
      <c r="M719" s="658"/>
    </row>
    <row r="720" ht="15.75" customHeight="1">
      <c r="B720" s="637"/>
      <c r="D720" s="325"/>
      <c r="E720" s="332"/>
      <c r="H720" s="325"/>
      <c r="M720" s="658"/>
    </row>
    <row r="721" ht="15.75" customHeight="1">
      <c r="B721" s="637"/>
      <c r="D721" s="325"/>
      <c r="E721" s="332"/>
      <c r="H721" s="325"/>
      <c r="M721" s="658"/>
    </row>
    <row r="722" ht="15.75" customHeight="1">
      <c r="B722" s="637"/>
      <c r="D722" s="325"/>
      <c r="E722" s="332"/>
      <c r="H722" s="325"/>
      <c r="M722" s="658"/>
    </row>
    <row r="723" ht="15.75" customHeight="1">
      <c r="B723" s="637"/>
      <c r="D723" s="325"/>
      <c r="E723" s="332"/>
      <c r="H723" s="325"/>
      <c r="M723" s="658"/>
    </row>
    <row r="724" ht="15.75" customHeight="1">
      <c r="B724" s="637"/>
      <c r="D724" s="325"/>
      <c r="E724" s="332"/>
      <c r="H724" s="325"/>
      <c r="M724" s="658"/>
    </row>
    <row r="725" ht="15.75" customHeight="1">
      <c r="B725" s="637"/>
      <c r="D725" s="325"/>
      <c r="E725" s="332"/>
      <c r="H725" s="325"/>
      <c r="M725" s="658"/>
    </row>
    <row r="726" ht="15.75" customHeight="1">
      <c r="B726" s="637"/>
      <c r="D726" s="325"/>
      <c r="E726" s="332"/>
      <c r="H726" s="325"/>
      <c r="M726" s="658"/>
    </row>
    <row r="727" ht="15.75" customHeight="1">
      <c r="B727" s="637"/>
      <c r="D727" s="325"/>
      <c r="E727" s="332"/>
      <c r="H727" s="325"/>
      <c r="M727" s="658"/>
    </row>
    <row r="728" ht="15.75" customHeight="1">
      <c r="B728" s="637"/>
      <c r="D728" s="325"/>
      <c r="E728" s="332"/>
      <c r="H728" s="325"/>
      <c r="M728" s="658"/>
    </row>
    <row r="729" ht="15.75" customHeight="1">
      <c r="B729" s="637"/>
      <c r="D729" s="325"/>
      <c r="E729" s="332"/>
      <c r="H729" s="325"/>
      <c r="M729" s="658"/>
    </row>
    <row r="730" ht="15.75" customHeight="1">
      <c r="B730" s="637"/>
      <c r="D730" s="325"/>
      <c r="E730" s="332"/>
      <c r="H730" s="325"/>
      <c r="M730" s="658"/>
    </row>
    <row r="731" ht="15.75" customHeight="1">
      <c r="B731" s="637"/>
      <c r="D731" s="325"/>
      <c r="E731" s="332"/>
      <c r="H731" s="325"/>
      <c r="M731" s="658"/>
    </row>
    <row r="732" ht="15.75" customHeight="1">
      <c r="B732" s="637"/>
      <c r="D732" s="325"/>
      <c r="E732" s="332"/>
      <c r="H732" s="325"/>
      <c r="M732" s="658"/>
    </row>
    <row r="733" ht="15.75" customHeight="1">
      <c r="B733" s="637"/>
      <c r="D733" s="325"/>
      <c r="E733" s="332"/>
      <c r="H733" s="325"/>
      <c r="M733" s="658"/>
    </row>
    <row r="734" ht="15.75" customHeight="1">
      <c r="B734" s="637"/>
      <c r="D734" s="325"/>
      <c r="E734" s="332"/>
      <c r="H734" s="325"/>
      <c r="M734" s="658"/>
    </row>
    <row r="735" ht="15.75" customHeight="1">
      <c r="B735" s="637"/>
      <c r="D735" s="325"/>
      <c r="E735" s="332"/>
      <c r="H735" s="325"/>
      <c r="M735" s="658"/>
    </row>
    <row r="736" ht="15.75" customHeight="1">
      <c r="B736" s="637"/>
      <c r="D736" s="325"/>
      <c r="E736" s="332"/>
      <c r="H736" s="325"/>
      <c r="M736" s="658"/>
    </row>
    <row r="737" ht="15.75" customHeight="1">
      <c r="B737" s="637"/>
      <c r="D737" s="325"/>
      <c r="E737" s="332"/>
      <c r="H737" s="325"/>
      <c r="M737" s="658"/>
    </row>
    <row r="738" ht="15.75" customHeight="1">
      <c r="B738" s="637"/>
      <c r="D738" s="325"/>
      <c r="E738" s="332"/>
      <c r="H738" s="325"/>
      <c r="M738" s="658"/>
    </row>
    <row r="739" ht="15.75" customHeight="1">
      <c r="B739" s="637"/>
      <c r="D739" s="325"/>
      <c r="E739" s="332"/>
      <c r="H739" s="325"/>
      <c r="M739" s="658"/>
    </row>
    <row r="740" ht="15.75" customHeight="1">
      <c r="B740" s="637"/>
      <c r="D740" s="325"/>
      <c r="E740" s="332"/>
      <c r="H740" s="325"/>
      <c r="M740" s="658"/>
    </row>
    <row r="741" ht="15.75" customHeight="1">
      <c r="B741" s="637"/>
      <c r="D741" s="325"/>
      <c r="E741" s="332"/>
      <c r="H741" s="325"/>
      <c r="M741" s="658"/>
    </row>
    <row r="742" ht="15.75" customHeight="1">
      <c r="B742" s="637"/>
      <c r="D742" s="325"/>
      <c r="E742" s="332"/>
      <c r="H742" s="325"/>
      <c r="M742" s="658"/>
    </row>
    <row r="743" ht="15.75" customHeight="1">
      <c r="B743" s="637"/>
      <c r="D743" s="325"/>
      <c r="E743" s="332"/>
      <c r="H743" s="325"/>
      <c r="M743" s="658"/>
    </row>
    <row r="744" ht="15.75" customHeight="1">
      <c r="B744" s="637"/>
      <c r="D744" s="325"/>
      <c r="E744" s="332"/>
      <c r="H744" s="325"/>
      <c r="M744" s="658"/>
    </row>
    <row r="745" ht="15.75" customHeight="1">
      <c r="B745" s="637"/>
      <c r="D745" s="325"/>
      <c r="E745" s="332"/>
      <c r="H745" s="325"/>
      <c r="M745" s="658"/>
    </row>
    <row r="746" ht="15.75" customHeight="1">
      <c r="B746" s="637"/>
      <c r="D746" s="325"/>
      <c r="E746" s="332"/>
      <c r="H746" s="325"/>
      <c r="M746" s="658"/>
    </row>
    <row r="747" ht="15.75" customHeight="1">
      <c r="B747" s="637"/>
      <c r="D747" s="325"/>
      <c r="E747" s="332"/>
      <c r="H747" s="325"/>
      <c r="M747" s="658"/>
    </row>
    <row r="748" ht="15.75" customHeight="1">
      <c r="B748" s="637"/>
      <c r="D748" s="325"/>
      <c r="E748" s="332"/>
      <c r="H748" s="325"/>
      <c r="M748" s="658"/>
    </row>
    <row r="749" ht="15.75" customHeight="1">
      <c r="B749" s="637"/>
      <c r="D749" s="325"/>
      <c r="E749" s="332"/>
      <c r="H749" s="325"/>
      <c r="M749" s="658"/>
    </row>
    <row r="750" ht="15.75" customHeight="1">
      <c r="B750" s="637"/>
      <c r="D750" s="325"/>
      <c r="E750" s="332"/>
      <c r="H750" s="325"/>
      <c r="M750" s="658"/>
    </row>
    <row r="751" ht="15.75" customHeight="1">
      <c r="B751" s="637"/>
      <c r="D751" s="325"/>
      <c r="E751" s="332"/>
      <c r="H751" s="325"/>
      <c r="M751" s="658"/>
    </row>
    <row r="752" ht="15.75" customHeight="1">
      <c r="B752" s="637"/>
      <c r="D752" s="325"/>
      <c r="E752" s="332"/>
      <c r="H752" s="325"/>
      <c r="M752" s="658"/>
    </row>
    <row r="753" ht="15.75" customHeight="1">
      <c r="B753" s="637"/>
      <c r="D753" s="325"/>
      <c r="E753" s="332"/>
      <c r="H753" s="325"/>
      <c r="M753" s="658"/>
    </row>
    <row r="754" ht="15.75" customHeight="1">
      <c r="B754" s="637"/>
      <c r="D754" s="325"/>
      <c r="E754" s="332"/>
      <c r="H754" s="325"/>
      <c r="M754" s="658"/>
    </row>
    <row r="755" ht="15.75" customHeight="1">
      <c r="B755" s="637"/>
      <c r="D755" s="325"/>
      <c r="E755" s="332"/>
      <c r="H755" s="325"/>
      <c r="M755" s="658"/>
    </row>
    <row r="756" ht="15.75" customHeight="1">
      <c r="B756" s="637"/>
      <c r="D756" s="325"/>
      <c r="E756" s="332"/>
      <c r="H756" s="325"/>
      <c r="M756" s="658"/>
    </row>
    <row r="757" ht="15.75" customHeight="1">
      <c r="B757" s="637"/>
      <c r="D757" s="325"/>
      <c r="E757" s="332"/>
      <c r="H757" s="325"/>
      <c r="M757" s="658"/>
    </row>
    <row r="758" ht="15.75" customHeight="1">
      <c r="B758" s="637"/>
      <c r="D758" s="325"/>
      <c r="E758" s="332"/>
      <c r="H758" s="325"/>
      <c r="M758" s="658"/>
    </row>
    <row r="759" ht="15.75" customHeight="1">
      <c r="B759" s="637"/>
      <c r="D759" s="325"/>
      <c r="E759" s="332"/>
      <c r="H759" s="325"/>
      <c r="M759" s="658"/>
    </row>
    <row r="760" ht="15.75" customHeight="1">
      <c r="B760" s="637"/>
      <c r="D760" s="325"/>
      <c r="E760" s="332"/>
      <c r="H760" s="325"/>
      <c r="M760" s="658"/>
    </row>
    <row r="761" ht="15.75" customHeight="1">
      <c r="B761" s="637"/>
      <c r="D761" s="325"/>
      <c r="E761" s="332"/>
      <c r="H761" s="325"/>
      <c r="M761" s="658"/>
    </row>
    <row r="762" ht="15.75" customHeight="1">
      <c r="B762" s="637"/>
      <c r="D762" s="325"/>
      <c r="E762" s="332"/>
      <c r="H762" s="325"/>
      <c r="M762" s="658"/>
    </row>
    <row r="763" ht="15.75" customHeight="1">
      <c r="B763" s="637"/>
      <c r="D763" s="325"/>
      <c r="E763" s="332"/>
      <c r="H763" s="325"/>
      <c r="M763" s="658"/>
    </row>
    <row r="764" ht="15.75" customHeight="1">
      <c r="B764" s="637"/>
      <c r="D764" s="325"/>
      <c r="E764" s="332"/>
      <c r="H764" s="325"/>
      <c r="M764" s="658"/>
    </row>
    <row r="765" ht="15.75" customHeight="1">
      <c r="B765" s="637"/>
      <c r="D765" s="325"/>
      <c r="E765" s="332"/>
      <c r="H765" s="325"/>
      <c r="M765" s="658"/>
    </row>
    <row r="766" ht="15.75" customHeight="1">
      <c r="B766" s="637"/>
      <c r="D766" s="325"/>
      <c r="E766" s="332"/>
      <c r="H766" s="325"/>
      <c r="M766" s="658"/>
    </row>
    <row r="767" ht="15.75" customHeight="1">
      <c r="B767" s="637"/>
      <c r="D767" s="325"/>
      <c r="E767" s="332"/>
      <c r="H767" s="325"/>
      <c r="M767" s="658"/>
    </row>
    <row r="768" ht="15.75" customHeight="1">
      <c r="B768" s="637"/>
      <c r="D768" s="325"/>
      <c r="E768" s="332"/>
      <c r="H768" s="325"/>
      <c r="M768" s="658"/>
    </row>
    <row r="769" ht="15.75" customHeight="1">
      <c r="B769" s="637"/>
      <c r="D769" s="325"/>
      <c r="E769" s="332"/>
      <c r="H769" s="325"/>
      <c r="M769" s="658"/>
    </row>
    <row r="770" ht="15.75" customHeight="1">
      <c r="B770" s="637"/>
      <c r="D770" s="325"/>
      <c r="E770" s="332"/>
      <c r="H770" s="325"/>
      <c r="M770" s="658"/>
    </row>
    <row r="771" ht="15.75" customHeight="1">
      <c r="B771" s="637"/>
      <c r="D771" s="325"/>
      <c r="E771" s="332"/>
      <c r="H771" s="325"/>
      <c r="M771" s="658"/>
    </row>
    <row r="772" ht="15.75" customHeight="1">
      <c r="B772" s="637"/>
      <c r="D772" s="325"/>
      <c r="E772" s="332"/>
      <c r="H772" s="325"/>
      <c r="M772" s="658"/>
    </row>
    <row r="773" ht="15.75" customHeight="1">
      <c r="B773" s="637"/>
      <c r="D773" s="325"/>
      <c r="E773" s="332"/>
      <c r="H773" s="325"/>
      <c r="M773" s="658"/>
    </row>
    <row r="774" ht="15.75" customHeight="1">
      <c r="B774" s="637"/>
      <c r="D774" s="325"/>
      <c r="E774" s="332"/>
      <c r="H774" s="325"/>
      <c r="M774" s="658"/>
    </row>
    <row r="775" ht="15.75" customHeight="1">
      <c r="B775" s="637"/>
      <c r="D775" s="325"/>
      <c r="E775" s="332"/>
      <c r="H775" s="325"/>
      <c r="M775" s="658"/>
    </row>
    <row r="776" ht="15.75" customHeight="1">
      <c r="B776" s="637"/>
      <c r="D776" s="325"/>
      <c r="E776" s="332"/>
      <c r="H776" s="325"/>
      <c r="M776" s="658"/>
    </row>
    <row r="777" ht="15.75" customHeight="1">
      <c r="B777" s="637"/>
      <c r="D777" s="325"/>
      <c r="E777" s="332"/>
      <c r="H777" s="325"/>
      <c r="M777" s="658"/>
    </row>
    <row r="778" ht="15.75" customHeight="1">
      <c r="B778" s="637"/>
      <c r="D778" s="325"/>
      <c r="E778" s="332"/>
      <c r="H778" s="325"/>
      <c r="M778" s="658"/>
    </row>
    <row r="779" ht="15.75" customHeight="1">
      <c r="B779" s="637"/>
      <c r="D779" s="325"/>
      <c r="E779" s="332"/>
      <c r="H779" s="325"/>
      <c r="M779" s="658"/>
    </row>
    <row r="780" ht="15.75" customHeight="1">
      <c r="B780" s="637"/>
      <c r="D780" s="325"/>
      <c r="E780" s="332"/>
      <c r="H780" s="325"/>
      <c r="M780" s="658"/>
    </row>
    <row r="781" ht="15.75" customHeight="1">
      <c r="B781" s="637"/>
      <c r="D781" s="325"/>
      <c r="E781" s="332"/>
      <c r="H781" s="325"/>
      <c r="M781" s="658"/>
    </row>
    <row r="782" ht="15.75" customHeight="1">
      <c r="B782" s="637"/>
      <c r="D782" s="325"/>
      <c r="E782" s="332"/>
      <c r="H782" s="325"/>
      <c r="M782" s="658"/>
    </row>
    <row r="783" ht="15.75" customHeight="1">
      <c r="B783" s="637"/>
      <c r="D783" s="325"/>
      <c r="E783" s="332"/>
      <c r="H783" s="325"/>
      <c r="M783" s="658"/>
    </row>
    <row r="784" ht="15.75" customHeight="1">
      <c r="B784" s="637"/>
      <c r="D784" s="325"/>
      <c r="E784" s="332"/>
      <c r="H784" s="325"/>
      <c r="M784" s="658"/>
    </row>
    <row r="785" ht="15.75" customHeight="1">
      <c r="B785" s="637"/>
      <c r="D785" s="325"/>
      <c r="E785" s="332"/>
      <c r="H785" s="325"/>
      <c r="M785" s="658"/>
    </row>
    <row r="786" ht="15.75" customHeight="1">
      <c r="B786" s="637"/>
      <c r="D786" s="325"/>
      <c r="E786" s="332"/>
      <c r="H786" s="325"/>
      <c r="M786" s="658"/>
    </row>
    <row r="787" ht="15.75" customHeight="1">
      <c r="B787" s="637"/>
      <c r="D787" s="325"/>
      <c r="E787" s="332"/>
      <c r="H787" s="325"/>
      <c r="M787" s="658"/>
    </row>
    <row r="788" ht="15.75" customHeight="1">
      <c r="B788" s="637"/>
      <c r="D788" s="325"/>
      <c r="E788" s="332"/>
      <c r="H788" s="325"/>
      <c r="M788" s="658"/>
    </row>
    <row r="789" ht="15.75" customHeight="1">
      <c r="B789" s="637"/>
      <c r="D789" s="325"/>
      <c r="E789" s="332"/>
      <c r="H789" s="325"/>
      <c r="M789" s="658"/>
    </row>
    <row r="790" ht="15.75" customHeight="1">
      <c r="B790" s="637"/>
      <c r="D790" s="325"/>
      <c r="E790" s="332"/>
      <c r="H790" s="325"/>
      <c r="M790" s="658"/>
    </row>
    <row r="791" ht="15.75" customHeight="1">
      <c r="B791" s="637"/>
      <c r="D791" s="325"/>
      <c r="E791" s="332"/>
      <c r="H791" s="325"/>
      <c r="M791" s="658"/>
    </row>
    <row r="792" ht="15.75" customHeight="1">
      <c r="B792" s="637"/>
      <c r="D792" s="325"/>
      <c r="E792" s="332"/>
      <c r="H792" s="325"/>
      <c r="M792" s="658"/>
    </row>
    <row r="793" ht="15.75" customHeight="1">
      <c r="B793" s="637"/>
      <c r="D793" s="325"/>
      <c r="E793" s="332"/>
      <c r="H793" s="325"/>
      <c r="M793" s="658"/>
    </row>
    <row r="794" ht="15.75" customHeight="1">
      <c r="B794" s="637"/>
      <c r="D794" s="325"/>
      <c r="E794" s="332"/>
      <c r="H794" s="325"/>
      <c r="M794" s="658"/>
    </row>
    <row r="795" ht="15.75" customHeight="1">
      <c r="B795" s="637"/>
      <c r="D795" s="325"/>
      <c r="E795" s="332"/>
      <c r="H795" s="325"/>
      <c r="M795" s="658"/>
    </row>
    <row r="796" ht="15.75" customHeight="1">
      <c r="B796" s="637"/>
      <c r="D796" s="325"/>
      <c r="E796" s="332"/>
      <c r="H796" s="325"/>
      <c r="M796" s="658"/>
    </row>
    <row r="797" ht="15.75" customHeight="1">
      <c r="B797" s="637"/>
      <c r="D797" s="325"/>
      <c r="E797" s="332"/>
      <c r="H797" s="325"/>
      <c r="M797" s="658"/>
    </row>
    <row r="798" ht="15.75" customHeight="1">
      <c r="B798" s="637"/>
      <c r="D798" s="325"/>
      <c r="E798" s="332"/>
      <c r="H798" s="325"/>
      <c r="M798" s="658"/>
    </row>
    <row r="799" ht="15.75" customHeight="1">
      <c r="B799" s="637"/>
      <c r="D799" s="325"/>
      <c r="E799" s="332"/>
      <c r="H799" s="325"/>
      <c r="M799" s="658"/>
    </row>
    <row r="800" ht="15.75" customHeight="1">
      <c r="B800" s="637"/>
      <c r="D800" s="325"/>
      <c r="E800" s="332"/>
      <c r="H800" s="325"/>
      <c r="M800" s="658"/>
    </row>
    <row r="801" ht="15.75" customHeight="1">
      <c r="B801" s="637"/>
      <c r="D801" s="325"/>
      <c r="E801" s="332"/>
      <c r="H801" s="325"/>
      <c r="M801" s="658"/>
    </row>
    <row r="802" ht="15.75" customHeight="1">
      <c r="B802" s="637"/>
      <c r="D802" s="325"/>
      <c r="E802" s="332"/>
      <c r="H802" s="325"/>
      <c r="M802" s="658"/>
    </row>
    <row r="803" ht="15.75" customHeight="1">
      <c r="B803" s="637"/>
      <c r="D803" s="325"/>
      <c r="E803" s="332"/>
      <c r="H803" s="325"/>
      <c r="M803" s="658"/>
    </row>
    <row r="804" ht="15.75" customHeight="1">
      <c r="B804" s="637"/>
      <c r="D804" s="325"/>
      <c r="E804" s="332"/>
      <c r="H804" s="325"/>
      <c r="M804" s="658"/>
    </row>
    <row r="805" ht="15.75" customHeight="1">
      <c r="B805" s="637"/>
      <c r="D805" s="325"/>
      <c r="E805" s="332"/>
      <c r="H805" s="325"/>
      <c r="M805" s="658"/>
    </row>
    <row r="806" ht="15.75" customHeight="1">
      <c r="B806" s="637"/>
      <c r="D806" s="325"/>
      <c r="E806" s="332"/>
      <c r="H806" s="325"/>
      <c r="M806" s="658"/>
    </row>
    <row r="807" ht="15.75" customHeight="1">
      <c r="B807" s="637"/>
      <c r="D807" s="325"/>
      <c r="E807" s="332"/>
      <c r="H807" s="325"/>
      <c r="M807" s="658"/>
    </row>
    <row r="808" ht="15.75" customHeight="1">
      <c r="B808" s="637"/>
      <c r="D808" s="325"/>
      <c r="E808" s="332"/>
      <c r="H808" s="325"/>
      <c r="M808" s="658"/>
    </row>
    <row r="809" ht="15.75" customHeight="1">
      <c r="B809" s="637"/>
      <c r="D809" s="325"/>
      <c r="E809" s="332"/>
      <c r="H809" s="325"/>
      <c r="M809" s="658"/>
    </row>
    <row r="810" ht="15.75" customHeight="1">
      <c r="B810" s="637"/>
      <c r="D810" s="325"/>
      <c r="E810" s="332"/>
      <c r="H810" s="325"/>
      <c r="M810" s="658"/>
    </row>
    <row r="811" ht="15.75" customHeight="1">
      <c r="B811" s="637"/>
      <c r="D811" s="325"/>
      <c r="E811" s="332"/>
      <c r="H811" s="325"/>
      <c r="M811" s="658"/>
    </row>
    <row r="812" ht="15.75" customHeight="1">
      <c r="B812" s="637"/>
      <c r="D812" s="325"/>
      <c r="E812" s="332"/>
      <c r="H812" s="325"/>
      <c r="M812" s="658"/>
    </row>
    <row r="813" ht="15.75" customHeight="1">
      <c r="B813" s="637"/>
      <c r="D813" s="325"/>
      <c r="E813" s="332"/>
      <c r="H813" s="325"/>
      <c r="M813" s="658"/>
    </row>
    <row r="814" ht="15.75" customHeight="1">
      <c r="B814" s="637"/>
      <c r="D814" s="325"/>
      <c r="E814" s="332"/>
      <c r="H814" s="325"/>
      <c r="M814" s="658"/>
    </row>
    <row r="815" ht="15.75" customHeight="1">
      <c r="B815" s="637"/>
      <c r="D815" s="325"/>
      <c r="E815" s="332"/>
      <c r="H815" s="325"/>
      <c r="M815" s="658"/>
    </row>
    <row r="816" ht="15.75" customHeight="1">
      <c r="B816" s="637"/>
      <c r="D816" s="325"/>
      <c r="E816" s="332"/>
      <c r="H816" s="325"/>
      <c r="M816" s="658"/>
    </row>
    <row r="817" ht="15.75" customHeight="1">
      <c r="B817" s="637"/>
      <c r="D817" s="325"/>
      <c r="E817" s="332"/>
      <c r="H817" s="325"/>
      <c r="M817" s="658"/>
    </row>
    <row r="818" ht="15.75" customHeight="1">
      <c r="B818" s="637"/>
      <c r="D818" s="325"/>
      <c r="E818" s="332"/>
      <c r="H818" s="325"/>
      <c r="M818" s="658"/>
    </row>
    <row r="819" ht="15.75" customHeight="1">
      <c r="B819" s="637"/>
      <c r="D819" s="325"/>
      <c r="E819" s="332"/>
      <c r="H819" s="325"/>
      <c r="M819" s="658"/>
    </row>
    <row r="820" ht="15.75" customHeight="1">
      <c r="B820" s="637"/>
      <c r="D820" s="325"/>
      <c r="E820" s="332"/>
      <c r="H820" s="325"/>
      <c r="M820" s="658"/>
    </row>
    <row r="821" ht="15.75" customHeight="1">
      <c r="B821" s="637"/>
      <c r="D821" s="325"/>
      <c r="E821" s="332"/>
      <c r="H821" s="325"/>
      <c r="M821" s="658"/>
    </row>
    <row r="822" ht="15.75" customHeight="1">
      <c r="B822" s="637"/>
      <c r="D822" s="325"/>
      <c r="E822" s="332"/>
      <c r="H822" s="325"/>
      <c r="M822" s="658"/>
    </row>
    <row r="823" ht="15.75" customHeight="1">
      <c r="B823" s="637"/>
      <c r="D823" s="325"/>
      <c r="E823" s="332"/>
      <c r="H823" s="325"/>
      <c r="M823" s="658"/>
    </row>
    <row r="824" ht="15.75" customHeight="1">
      <c r="B824" s="637"/>
      <c r="D824" s="325"/>
      <c r="E824" s="332"/>
      <c r="H824" s="325"/>
      <c r="M824" s="658"/>
    </row>
    <row r="825" ht="15.75" customHeight="1">
      <c r="B825" s="637"/>
      <c r="D825" s="325"/>
      <c r="E825" s="332"/>
      <c r="H825" s="325"/>
      <c r="M825" s="658"/>
    </row>
    <row r="826" ht="15.75" customHeight="1">
      <c r="B826" s="637"/>
      <c r="D826" s="325"/>
      <c r="E826" s="332"/>
      <c r="H826" s="325"/>
      <c r="M826" s="658"/>
    </row>
    <row r="827" ht="15.75" customHeight="1">
      <c r="B827" s="637"/>
      <c r="D827" s="325"/>
      <c r="E827" s="332"/>
      <c r="H827" s="325"/>
      <c r="M827" s="658"/>
    </row>
    <row r="828" ht="15.75" customHeight="1">
      <c r="B828" s="637"/>
      <c r="D828" s="325"/>
      <c r="E828" s="332"/>
      <c r="H828" s="325"/>
      <c r="M828" s="658"/>
    </row>
    <row r="829" ht="15.75" customHeight="1">
      <c r="B829" s="637"/>
      <c r="D829" s="325"/>
      <c r="E829" s="332"/>
      <c r="H829" s="325"/>
      <c r="M829" s="658"/>
    </row>
    <row r="830" ht="15.75" customHeight="1">
      <c r="B830" s="637"/>
      <c r="D830" s="325"/>
      <c r="E830" s="332"/>
      <c r="H830" s="325"/>
      <c r="M830" s="658"/>
    </row>
    <row r="831" ht="15.75" customHeight="1">
      <c r="B831" s="637"/>
      <c r="D831" s="325"/>
      <c r="E831" s="332"/>
      <c r="H831" s="325"/>
      <c r="M831" s="658"/>
    </row>
    <row r="832" ht="15.75" customHeight="1">
      <c r="B832" s="637"/>
      <c r="D832" s="325"/>
      <c r="E832" s="332"/>
      <c r="H832" s="325"/>
      <c r="M832" s="658"/>
    </row>
    <row r="833" ht="15.75" customHeight="1">
      <c r="B833" s="637"/>
      <c r="D833" s="325"/>
      <c r="E833" s="332"/>
      <c r="H833" s="325"/>
      <c r="M833" s="658"/>
    </row>
    <row r="834" ht="15.75" customHeight="1">
      <c r="B834" s="637"/>
      <c r="D834" s="325"/>
      <c r="E834" s="332"/>
      <c r="H834" s="325"/>
      <c r="M834" s="658"/>
    </row>
    <row r="835" ht="15.75" customHeight="1">
      <c r="B835" s="637"/>
      <c r="D835" s="325"/>
      <c r="E835" s="332"/>
      <c r="H835" s="325"/>
      <c r="M835" s="658"/>
    </row>
    <row r="836" ht="15.75" customHeight="1">
      <c r="B836" s="637"/>
      <c r="D836" s="325"/>
      <c r="E836" s="332"/>
      <c r="H836" s="325"/>
      <c r="M836" s="658"/>
    </row>
    <row r="837" ht="15.75" customHeight="1">
      <c r="B837" s="637"/>
      <c r="D837" s="325"/>
      <c r="E837" s="332"/>
      <c r="H837" s="325"/>
      <c r="M837" s="658"/>
    </row>
    <row r="838" ht="15.75" customHeight="1">
      <c r="B838" s="637"/>
      <c r="D838" s="325"/>
      <c r="E838" s="332"/>
      <c r="H838" s="325"/>
      <c r="M838" s="658"/>
    </row>
    <row r="839" ht="15.75" customHeight="1">
      <c r="B839" s="637"/>
      <c r="D839" s="325"/>
      <c r="E839" s="332"/>
      <c r="H839" s="325"/>
      <c r="M839" s="658"/>
    </row>
    <row r="840" ht="15.75" customHeight="1">
      <c r="B840" s="637"/>
      <c r="D840" s="325"/>
      <c r="E840" s="332"/>
      <c r="H840" s="325"/>
      <c r="M840" s="658"/>
    </row>
    <row r="841" ht="15.75" customHeight="1">
      <c r="B841" s="637"/>
      <c r="D841" s="325"/>
      <c r="E841" s="332"/>
      <c r="H841" s="325"/>
      <c r="M841" s="658"/>
    </row>
    <row r="842" ht="15.75" customHeight="1">
      <c r="B842" s="637"/>
      <c r="D842" s="325"/>
      <c r="E842" s="332"/>
      <c r="H842" s="325"/>
      <c r="M842" s="658"/>
    </row>
    <row r="843" ht="15.75" customHeight="1">
      <c r="B843" s="637"/>
      <c r="D843" s="325"/>
      <c r="E843" s="332"/>
      <c r="H843" s="325"/>
      <c r="M843" s="658"/>
    </row>
    <row r="844" ht="15.75" customHeight="1">
      <c r="B844" s="637"/>
      <c r="D844" s="325"/>
      <c r="E844" s="332"/>
      <c r="H844" s="325"/>
      <c r="M844" s="658"/>
    </row>
    <row r="845" ht="15.75" customHeight="1">
      <c r="B845" s="637"/>
      <c r="D845" s="325"/>
      <c r="E845" s="332"/>
      <c r="H845" s="325"/>
      <c r="M845" s="658"/>
    </row>
    <row r="846" ht="15.75" customHeight="1">
      <c r="B846" s="637"/>
      <c r="D846" s="325"/>
      <c r="E846" s="332"/>
      <c r="H846" s="325"/>
      <c r="M846" s="658"/>
    </row>
    <row r="847" ht="15.75" customHeight="1">
      <c r="B847" s="637"/>
      <c r="D847" s="325"/>
      <c r="E847" s="332"/>
      <c r="H847" s="325"/>
      <c r="M847" s="658"/>
    </row>
    <row r="848" ht="15.75" customHeight="1">
      <c r="B848" s="637"/>
      <c r="D848" s="325"/>
      <c r="E848" s="332"/>
      <c r="H848" s="325"/>
      <c r="M848" s="658"/>
    </row>
    <row r="849" ht="15.75" customHeight="1">
      <c r="B849" s="637"/>
      <c r="D849" s="325"/>
      <c r="E849" s="332"/>
      <c r="H849" s="325"/>
      <c r="M849" s="658"/>
    </row>
    <row r="850" ht="15.75" customHeight="1">
      <c r="B850" s="637"/>
      <c r="D850" s="325"/>
      <c r="E850" s="332"/>
      <c r="H850" s="325"/>
      <c r="M850" s="658"/>
    </row>
    <row r="851" ht="15.75" customHeight="1">
      <c r="B851" s="637"/>
      <c r="D851" s="325"/>
      <c r="E851" s="332"/>
      <c r="H851" s="325"/>
      <c r="M851" s="658"/>
    </row>
    <row r="852" ht="15.75" customHeight="1">
      <c r="B852" s="637"/>
      <c r="D852" s="325"/>
      <c r="E852" s="332"/>
      <c r="H852" s="325"/>
      <c r="M852" s="658"/>
    </row>
    <row r="853" ht="15.75" customHeight="1">
      <c r="B853" s="637"/>
      <c r="D853" s="325"/>
      <c r="E853" s="332"/>
      <c r="H853" s="325"/>
      <c r="M853" s="658"/>
    </row>
    <row r="854" ht="15.75" customHeight="1">
      <c r="B854" s="637"/>
      <c r="D854" s="325"/>
      <c r="E854" s="332"/>
      <c r="H854" s="325"/>
      <c r="M854" s="658"/>
    </row>
    <row r="855" ht="15.75" customHeight="1">
      <c r="B855" s="637"/>
      <c r="D855" s="325"/>
      <c r="E855" s="332"/>
      <c r="H855" s="325"/>
      <c r="M855" s="658"/>
    </row>
    <row r="856" ht="15.75" customHeight="1">
      <c r="B856" s="637"/>
      <c r="D856" s="325"/>
      <c r="E856" s="332"/>
      <c r="H856" s="325"/>
      <c r="M856" s="658"/>
    </row>
    <row r="857" ht="15.75" customHeight="1">
      <c r="B857" s="637"/>
      <c r="D857" s="325"/>
      <c r="E857" s="332"/>
      <c r="H857" s="325"/>
      <c r="M857" s="658"/>
    </row>
    <row r="858" ht="15.75" customHeight="1">
      <c r="B858" s="637"/>
      <c r="D858" s="325"/>
      <c r="E858" s="332"/>
      <c r="H858" s="325"/>
      <c r="M858" s="658"/>
    </row>
    <row r="859" ht="15.75" customHeight="1">
      <c r="B859" s="637"/>
      <c r="D859" s="325"/>
      <c r="E859" s="332"/>
      <c r="H859" s="325"/>
      <c r="M859" s="658"/>
    </row>
    <row r="860" ht="15.75" customHeight="1">
      <c r="B860" s="637"/>
      <c r="D860" s="325"/>
      <c r="E860" s="332"/>
      <c r="H860" s="325"/>
      <c r="M860" s="658"/>
    </row>
    <row r="861" ht="15.75" customHeight="1">
      <c r="B861" s="637"/>
      <c r="D861" s="325"/>
      <c r="E861" s="332"/>
      <c r="H861" s="325"/>
      <c r="M861" s="658"/>
    </row>
    <row r="862" ht="15.75" customHeight="1">
      <c r="B862" s="637"/>
      <c r="D862" s="325"/>
      <c r="E862" s="332"/>
      <c r="H862" s="325"/>
      <c r="M862" s="658"/>
    </row>
    <row r="863" ht="15.75" customHeight="1">
      <c r="B863" s="637"/>
      <c r="D863" s="325"/>
      <c r="E863" s="332"/>
      <c r="H863" s="325"/>
      <c r="M863" s="658"/>
    </row>
    <row r="864" ht="15.75" customHeight="1">
      <c r="B864" s="637"/>
      <c r="D864" s="325"/>
      <c r="E864" s="332"/>
      <c r="H864" s="325"/>
      <c r="M864" s="658"/>
    </row>
    <row r="865" ht="15.75" customHeight="1">
      <c r="B865" s="637"/>
      <c r="D865" s="325"/>
      <c r="E865" s="332"/>
      <c r="H865" s="325"/>
      <c r="M865" s="658"/>
    </row>
    <row r="866" ht="15.75" customHeight="1">
      <c r="B866" s="637"/>
      <c r="D866" s="325"/>
      <c r="E866" s="332"/>
      <c r="H866" s="325"/>
      <c r="M866" s="658"/>
    </row>
    <row r="867" ht="15.75" customHeight="1">
      <c r="B867" s="637"/>
      <c r="D867" s="325"/>
      <c r="E867" s="332"/>
      <c r="H867" s="325"/>
      <c r="M867" s="658"/>
    </row>
    <row r="868" ht="15.75" customHeight="1">
      <c r="B868" s="637"/>
      <c r="D868" s="325"/>
      <c r="E868" s="332"/>
      <c r="H868" s="325"/>
      <c r="M868" s="658"/>
    </row>
    <row r="869" ht="15.75" customHeight="1">
      <c r="B869" s="637"/>
      <c r="D869" s="325"/>
      <c r="E869" s="332"/>
      <c r="H869" s="325"/>
      <c r="M869" s="658"/>
    </row>
    <row r="870" ht="15.75" customHeight="1">
      <c r="B870" s="637"/>
      <c r="D870" s="325"/>
      <c r="E870" s="332"/>
      <c r="H870" s="325"/>
      <c r="M870" s="658"/>
    </row>
    <row r="871" ht="15.75" customHeight="1">
      <c r="B871" s="637"/>
      <c r="D871" s="325"/>
      <c r="E871" s="332"/>
      <c r="H871" s="325"/>
      <c r="M871" s="658"/>
    </row>
    <row r="872" ht="15.75" customHeight="1">
      <c r="B872" s="637"/>
      <c r="D872" s="325"/>
      <c r="E872" s="332"/>
      <c r="H872" s="325"/>
      <c r="M872" s="658"/>
    </row>
    <row r="873" ht="15.75" customHeight="1">
      <c r="B873" s="637"/>
      <c r="D873" s="325"/>
      <c r="E873" s="332"/>
      <c r="H873" s="325"/>
      <c r="M873" s="658"/>
    </row>
    <row r="874" ht="15.75" customHeight="1">
      <c r="B874" s="637"/>
      <c r="D874" s="325"/>
      <c r="E874" s="332"/>
      <c r="H874" s="325"/>
      <c r="M874" s="658"/>
    </row>
    <row r="875" ht="15.75" customHeight="1">
      <c r="B875" s="637"/>
      <c r="D875" s="325"/>
      <c r="E875" s="332"/>
      <c r="H875" s="325"/>
      <c r="M875" s="658"/>
    </row>
    <row r="876" ht="15.75" customHeight="1">
      <c r="B876" s="637"/>
      <c r="D876" s="325"/>
      <c r="E876" s="332"/>
      <c r="H876" s="325"/>
      <c r="M876" s="658"/>
    </row>
    <row r="877" ht="15.75" customHeight="1">
      <c r="B877" s="637"/>
      <c r="D877" s="325"/>
      <c r="E877" s="332"/>
      <c r="H877" s="325"/>
      <c r="M877" s="658"/>
    </row>
    <row r="878" ht="15.75" customHeight="1">
      <c r="B878" s="637"/>
      <c r="D878" s="325"/>
      <c r="E878" s="332"/>
      <c r="H878" s="325"/>
      <c r="M878" s="658"/>
    </row>
    <row r="879" ht="15.75" customHeight="1">
      <c r="B879" s="637"/>
      <c r="D879" s="325"/>
      <c r="E879" s="332"/>
      <c r="H879" s="325"/>
      <c r="M879" s="658"/>
    </row>
    <row r="880" ht="15.75" customHeight="1">
      <c r="B880" s="637"/>
      <c r="D880" s="325"/>
      <c r="E880" s="332"/>
      <c r="H880" s="325"/>
      <c r="M880" s="658"/>
    </row>
    <row r="881" ht="15.75" customHeight="1">
      <c r="B881" s="637"/>
      <c r="D881" s="325"/>
      <c r="E881" s="332"/>
      <c r="H881" s="325"/>
      <c r="M881" s="658"/>
    </row>
    <row r="882" ht="15.75" customHeight="1">
      <c r="B882" s="637"/>
      <c r="D882" s="325"/>
      <c r="E882" s="332"/>
      <c r="H882" s="325"/>
      <c r="M882" s="658"/>
    </row>
    <row r="883" ht="15.75" customHeight="1">
      <c r="B883" s="637"/>
      <c r="D883" s="325"/>
      <c r="E883" s="332"/>
      <c r="H883" s="325"/>
      <c r="M883" s="658"/>
    </row>
    <row r="884" ht="15.75" customHeight="1">
      <c r="B884" s="637"/>
      <c r="D884" s="325"/>
      <c r="E884" s="332"/>
      <c r="H884" s="325"/>
      <c r="M884" s="658"/>
    </row>
    <row r="885" ht="15.75" customHeight="1">
      <c r="B885" s="637"/>
      <c r="D885" s="325"/>
      <c r="E885" s="332"/>
      <c r="H885" s="325"/>
      <c r="M885" s="658"/>
    </row>
    <row r="886" ht="15.75" customHeight="1">
      <c r="B886" s="637"/>
      <c r="D886" s="325"/>
      <c r="E886" s="332"/>
      <c r="H886" s="325"/>
      <c r="M886" s="658"/>
    </row>
    <row r="887" ht="15.75" customHeight="1">
      <c r="B887" s="637"/>
      <c r="D887" s="325"/>
      <c r="E887" s="332"/>
      <c r="H887" s="325"/>
      <c r="M887" s="658"/>
    </row>
    <row r="888" ht="15.75" customHeight="1">
      <c r="B888" s="637"/>
      <c r="D888" s="325"/>
      <c r="E888" s="332"/>
      <c r="H888" s="325"/>
      <c r="M888" s="658"/>
    </row>
    <row r="889" ht="15.75" customHeight="1">
      <c r="B889" s="637"/>
      <c r="D889" s="325"/>
      <c r="E889" s="332"/>
      <c r="H889" s="325"/>
      <c r="M889" s="658"/>
    </row>
    <row r="890" ht="15.75" customHeight="1">
      <c r="B890" s="637"/>
      <c r="D890" s="325"/>
      <c r="E890" s="332"/>
      <c r="H890" s="325"/>
      <c r="M890" s="658"/>
    </row>
    <row r="891" ht="15.75" customHeight="1">
      <c r="B891" s="637"/>
      <c r="D891" s="325"/>
      <c r="E891" s="332"/>
      <c r="H891" s="325"/>
      <c r="M891" s="658"/>
    </row>
    <row r="892" ht="15.75" customHeight="1">
      <c r="B892" s="637"/>
      <c r="D892" s="325"/>
      <c r="E892" s="332"/>
      <c r="H892" s="325"/>
      <c r="M892" s="658"/>
    </row>
    <row r="893" ht="15.75" customHeight="1">
      <c r="B893" s="637"/>
      <c r="D893" s="325"/>
      <c r="E893" s="332"/>
      <c r="H893" s="325"/>
      <c r="M893" s="658"/>
    </row>
    <row r="894" ht="15.75" customHeight="1">
      <c r="B894" s="637"/>
      <c r="D894" s="325"/>
      <c r="E894" s="332"/>
      <c r="H894" s="325"/>
      <c r="M894" s="658"/>
    </row>
    <row r="895" ht="15.75" customHeight="1">
      <c r="B895" s="637"/>
      <c r="D895" s="325"/>
      <c r="E895" s="332"/>
      <c r="H895" s="325"/>
      <c r="M895" s="658"/>
    </row>
    <row r="896" ht="15.75" customHeight="1">
      <c r="B896" s="637"/>
      <c r="D896" s="325"/>
      <c r="E896" s="332"/>
      <c r="H896" s="325"/>
      <c r="M896" s="658"/>
    </row>
    <row r="897" ht="15.75" customHeight="1">
      <c r="B897" s="637"/>
      <c r="D897" s="325"/>
      <c r="E897" s="332"/>
      <c r="H897" s="325"/>
      <c r="M897" s="658"/>
    </row>
    <row r="898" ht="15.75" customHeight="1">
      <c r="B898" s="637"/>
      <c r="D898" s="325"/>
      <c r="E898" s="332"/>
      <c r="H898" s="325"/>
      <c r="M898" s="658"/>
    </row>
    <row r="899" ht="15.75" customHeight="1">
      <c r="B899" s="637"/>
      <c r="D899" s="325"/>
      <c r="E899" s="332"/>
      <c r="H899" s="325"/>
      <c r="M899" s="658"/>
    </row>
    <row r="900" ht="15.75" customHeight="1">
      <c r="B900" s="637"/>
      <c r="D900" s="325"/>
      <c r="E900" s="332"/>
      <c r="H900" s="325"/>
      <c r="M900" s="658"/>
    </row>
    <row r="901" ht="15.75" customHeight="1">
      <c r="B901" s="637"/>
      <c r="D901" s="325"/>
      <c r="E901" s="332"/>
      <c r="H901" s="325"/>
      <c r="M901" s="658"/>
    </row>
    <row r="902" ht="15.75" customHeight="1">
      <c r="B902" s="637"/>
      <c r="D902" s="325"/>
      <c r="E902" s="332"/>
      <c r="H902" s="325"/>
      <c r="M902" s="658"/>
    </row>
    <row r="903" ht="15.75" customHeight="1">
      <c r="B903" s="637"/>
      <c r="D903" s="325"/>
      <c r="E903" s="332"/>
      <c r="H903" s="325"/>
      <c r="M903" s="658"/>
    </row>
    <row r="904" ht="15.75" customHeight="1">
      <c r="B904" s="637"/>
      <c r="D904" s="325"/>
      <c r="E904" s="332"/>
      <c r="H904" s="325"/>
      <c r="M904" s="658"/>
    </row>
    <row r="905" ht="15.75" customHeight="1">
      <c r="B905" s="637"/>
      <c r="D905" s="325"/>
      <c r="E905" s="332"/>
      <c r="H905" s="325"/>
      <c r="M905" s="658"/>
    </row>
    <row r="906" ht="15.75" customHeight="1">
      <c r="B906" s="637"/>
      <c r="D906" s="325"/>
      <c r="E906" s="332"/>
      <c r="H906" s="325"/>
      <c r="M906" s="658"/>
    </row>
    <row r="907" ht="15.75" customHeight="1">
      <c r="B907" s="637"/>
      <c r="D907" s="325"/>
      <c r="E907" s="332"/>
      <c r="H907" s="325"/>
      <c r="M907" s="658"/>
    </row>
    <row r="908" ht="15.75" customHeight="1">
      <c r="B908" s="637"/>
      <c r="D908" s="325"/>
      <c r="E908" s="332"/>
      <c r="H908" s="325"/>
      <c r="M908" s="658"/>
    </row>
    <row r="909" ht="15.75" customHeight="1">
      <c r="B909" s="637"/>
      <c r="D909" s="325"/>
      <c r="E909" s="332"/>
      <c r="H909" s="325"/>
      <c r="M909" s="658"/>
    </row>
    <row r="910" ht="15.75" customHeight="1">
      <c r="B910" s="637"/>
      <c r="D910" s="325"/>
      <c r="E910" s="332"/>
      <c r="H910" s="325"/>
      <c r="M910" s="658"/>
    </row>
    <row r="911" ht="15.75" customHeight="1">
      <c r="B911" s="637"/>
      <c r="D911" s="325"/>
      <c r="E911" s="332"/>
      <c r="H911" s="325"/>
      <c r="M911" s="658"/>
    </row>
    <row r="912" ht="15.75" customHeight="1">
      <c r="B912" s="637"/>
      <c r="D912" s="325"/>
      <c r="E912" s="332"/>
      <c r="H912" s="325"/>
      <c r="M912" s="658"/>
    </row>
    <row r="913" ht="15.75" customHeight="1">
      <c r="B913" s="637"/>
      <c r="D913" s="325"/>
      <c r="E913" s="332"/>
      <c r="H913" s="325"/>
      <c r="M913" s="658"/>
    </row>
    <row r="914" ht="15.75" customHeight="1">
      <c r="B914" s="637"/>
      <c r="D914" s="325"/>
      <c r="E914" s="332"/>
      <c r="H914" s="325"/>
      <c r="M914" s="658"/>
    </row>
    <row r="915" ht="15.75" customHeight="1">
      <c r="B915" s="637"/>
      <c r="D915" s="325"/>
      <c r="E915" s="332"/>
      <c r="H915" s="325"/>
      <c r="M915" s="658"/>
    </row>
    <row r="916" ht="15.75" customHeight="1">
      <c r="B916" s="637"/>
      <c r="D916" s="325"/>
      <c r="E916" s="332"/>
      <c r="H916" s="325"/>
      <c r="M916" s="658"/>
    </row>
    <row r="917" ht="15.75" customHeight="1">
      <c r="B917" s="637"/>
      <c r="D917" s="325"/>
      <c r="E917" s="332"/>
      <c r="H917" s="325"/>
      <c r="M917" s="658"/>
    </row>
    <row r="918" ht="15.75" customHeight="1">
      <c r="B918" s="637"/>
      <c r="D918" s="325"/>
      <c r="E918" s="332"/>
      <c r="H918" s="325"/>
      <c r="M918" s="658"/>
    </row>
    <row r="919" ht="15.75" customHeight="1">
      <c r="B919" s="637"/>
      <c r="D919" s="325"/>
      <c r="E919" s="332"/>
      <c r="H919" s="325"/>
      <c r="M919" s="658"/>
    </row>
    <row r="920" ht="15.75" customHeight="1">
      <c r="B920" s="637"/>
      <c r="D920" s="325"/>
      <c r="E920" s="332"/>
      <c r="H920" s="325"/>
      <c r="M920" s="658"/>
    </row>
    <row r="921" ht="15.75" customHeight="1">
      <c r="B921" s="637"/>
      <c r="D921" s="325"/>
      <c r="E921" s="332"/>
      <c r="H921" s="325"/>
      <c r="M921" s="658"/>
    </row>
    <row r="922" ht="15.75" customHeight="1">
      <c r="B922" s="637"/>
      <c r="D922" s="325"/>
      <c r="E922" s="332"/>
      <c r="H922" s="325"/>
      <c r="M922" s="658"/>
    </row>
    <row r="923" ht="15.75" customHeight="1">
      <c r="B923" s="637"/>
      <c r="D923" s="325"/>
      <c r="E923" s="332"/>
      <c r="H923" s="325"/>
      <c r="M923" s="658"/>
    </row>
    <row r="924" ht="15.75" customHeight="1">
      <c r="B924" s="637"/>
      <c r="D924" s="325"/>
      <c r="E924" s="332"/>
      <c r="H924" s="325"/>
      <c r="M924" s="658"/>
    </row>
    <row r="925" ht="15.75" customHeight="1">
      <c r="B925" s="637"/>
      <c r="D925" s="325"/>
      <c r="E925" s="332"/>
      <c r="H925" s="325"/>
      <c r="M925" s="658"/>
    </row>
    <row r="926" ht="15.75" customHeight="1">
      <c r="B926" s="637"/>
      <c r="D926" s="325"/>
      <c r="E926" s="332"/>
      <c r="H926" s="325"/>
      <c r="M926" s="658"/>
    </row>
    <row r="927" ht="15.75" customHeight="1">
      <c r="B927" s="637"/>
      <c r="D927" s="325"/>
      <c r="E927" s="332"/>
      <c r="H927" s="325"/>
      <c r="M927" s="658"/>
    </row>
    <row r="928" ht="15.75" customHeight="1">
      <c r="B928" s="637"/>
      <c r="D928" s="325"/>
      <c r="E928" s="332"/>
      <c r="H928" s="325"/>
      <c r="M928" s="658"/>
    </row>
    <row r="929" ht="15.75" customHeight="1">
      <c r="B929" s="637"/>
      <c r="D929" s="325"/>
      <c r="E929" s="332"/>
      <c r="H929" s="325"/>
      <c r="M929" s="658"/>
    </row>
    <row r="930" ht="15.75" customHeight="1">
      <c r="B930" s="637"/>
      <c r="D930" s="325"/>
      <c r="E930" s="332"/>
      <c r="H930" s="325"/>
      <c r="M930" s="658"/>
    </row>
    <row r="931" ht="15.75" customHeight="1">
      <c r="B931" s="637"/>
      <c r="D931" s="325"/>
      <c r="E931" s="332"/>
      <c r="H931" s="325"/>
      <c r="M931" s="658"/>
    </row>
    <row r="932" ht="15.75" customHeight="1">
      <c r="B932" s="637"/>
      <c r="D932" s="325"/>
      <c r="E932" s="332"/>
      <c r="H932" s="325"/>
      <c r="M932" s="658"/>
    </row>
    <row r="933" ht="15.75" customHeight="1">
      <c r="B933" s="637"/>
      <c r="D933" s="325"/>
      <c r="E933" s="332"/>
      <c r="H933" s="325"/>
      <c r="M933" s="658"/>
    </row>
    <row r="934" ht="15.75" customHeight="1">
      <c r="B934" s="637"/>
      <c r="D934" s="325"/>
      <c r="E934" s="332"/>
      <c r="H934" s="325"/>
      <c r="M934" s="658"/>
    </row>
    <row r="935" ht="15.75" customHeight="1">
      <c r="B935" s="637"/>
      <c r="D935" s="325"/>
      <c r="E935" s="332"/>
      <c r="H935" s="325"/>
      <c r="M935" s="658"/>
    </row>
    <row r="936" ht="15.75" customHeight="1">
      <c r="B936" s="637"/>
      <c r="D936" s="325"/>
      <c r="E936" s="332"/>
      <c r="H936" s="325"/>
      <c r="M936" s="658"/>
    </row>
  </sheetData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6" t="s">
        <v>1101</v>
      </c>
    </row>
    <row r="4">
      <c r="B4" s="526" t="s">
        <v>1102</v>
      </c>
    </row>
    <row r="5">
      <c r="B5" s="526" t="s">
        <v>1103</v>
      </c>
    </row>
    <row r="6">
      <c r="B6" s="526" t="s">
        <v>1104</v>
      </c>
    </row>
    <row r="7">
      <c r="B7" s="526" t="s">
        <v>1105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14"/>
    <col customWidth="1" min="2" max="2" width="14.57"/>
    <col customWidth="1" min="3" max="3" width="67.43"/>
    <col customWidth="1" min="4" max="4" width="19.71"/>
    <col customWidth="1" min="5" max="5" width="10.57"/>
    <col customWidth="1" min="6" max="6" width="9.29"/>
    <col customWidth="1" min="7" max="7" width="11.71"/>
    <col customWidth="1" min="8" max="8" width="12.86"/>
    <col customWidth="1" min="9" max="9" width="18.57"/>
    <col customWidth="1" min="10" max="12" width="13.86"/>
    <col customWidth="1" min="13" max="13" width="16.86"/>
    <col customWidth="1" min="14" max="14" width="15.86"/>
    <col customWidth="1" min="15" max="17" width="10.71"/>
    <col customWidth="1" min="18" max="18" width="37.71"/>
    <col customWidth="1" min="19" max="19" width="29.29"/>
    <col customWidth="1" min="20" max="22" width="10.71"/>
    <col customWidth="1" min="23" max="23" width="37.43"/>
    <col customWidth="1" min="24" max="24" width="10.71"/>
    <col customWidth="1" min="25" max="25" width="18.86"/>
    <col customWidth="1" min="26" max="26" width="10.71"/>
    <col customWidth="1" min="27" max="27" width="20.57"/>
    <col customWidth="1" min="28" max="29" width="10.71"/>
  </cols>
  <sheetData>
    <row r="1">
      <c r="A1" s="526">
        <v>5.0</v>
      </c>
      <c r="B1" s="694" t="s">
        <v>1106</v>
      </c>
      <c r="C1" s="325" t="s">
        <v>1107</v>
      </c>
      <c r="D1" s="325" t="s">
        <v>1108</v>
      </c>
      <c r="E1" s="332"/>
      <c r="F1" s="695" t="s">
        <v>1109</v>
      </c>
      <c r="I1" s="332"/>
      <c r="O1" s="658" t="s">
        <v>1110</v>
      </c>
      <c r="R1" s="630"/>
      <c r="AA1" s="325" t="s">
        <v>1111</v>
      </c>
    </row>
    <row r="2">
      <c r="A2" s="526" t="s">
        <v>1112</v>
      </c>
      <c r="B2" s="659" t="s">
        <v>435</v>
      </c>
      <c r="C2" s="696" t="s">
        <v>283</v>
      </c>
      <c r="D2" s="697" t="s">
        <v>436</v>
      </c>
      <c r="E2" s="697" t="s">
        <v>285</v>
      </c>
      <c r="F2" s="697"/>
      <c r="G2" s="697" t="s">
        <v>1087</v>
      </c>
      <c r="H2" s="698" t="s">
        <v>287</v>
      </c>
      <c r="I2" s="699" t="s">
        <v>1088</v>
      </c>
      <c r="J2" s="662" t="s">
        <v>1113</v>
      </c>
      <c r="K2" s="663" t="s">
        <v>1114</v>
      </c>
      <c r="M2" s="700" t="s">
        <v>1115</v>
      </c>
      <c r="N2" s="701" t="s">
        <v>1116</v>
      </c>
      <c r="O2" s="698" t="s">
        <v>287</v>
      </c>
      <c r="R2" s="664" t="s">
        <v>1090</v>
      </c>
      <c r="S2" s="664" t="s">
        <v>1091</v>
      </c>
      <c r="Y2" s="665" t="s">
        <v>1092</v>
      </c>
      <c r="AA2" s="697" t="s">
        <v>436</v>
      </c>
    </row>
    <row r="3">
      <c r="A3" s="526" t="s">
        <v>964</v>
      </c>
      <c r="B3" s="702" t="s">
        <v>1117</v>
      </c>
      <c r="C3" s="703" t="s">
        <v>1118</v>
      </c>
      <c r="D3" s="704">
        <f>24.01*1.05*1.0485</f>
        <v>26.43320925</v>
      </c>
      <c r="E3" s="705">
        <v>0.15</v>
      </c>
      <c r="F3" s="706"/>
      <c r="G3" s="707">
        <f t="shared" ref="G3:G12" si="1">H3-D3</f>
        <v>3.964981388</v>
      </c>
      <c r="H3" s="707">
        <f t="shared" ref="H3:H12" si="2">D3*E3+D3</f>
        <v>30.39819064</v>
      </c>
      <c r="I3" s="708">
        <f t="shared" ref="I3:I12" si="3">H3*1.22</f>
        <v>37.08579258</v>
      </c>
      <c r="J3" s="709">
        <f t="shared" ref="J3:J12" si="4">I3*1.1</f>
        <v>40.79437184</v>
      </c>
      <c r="L3" s="526">
        <f t="shared" ref="L3:L12" si="5">D3*1.1</f>
        <v>29.07653018</v>
      </c>
      <c r="O3" s="658">
        <f t="shared" ref="O3:O12" si="6">D3*1.1</f>
        <v>29.07653018</v>
      </c>
      <c r="R3" s="710" t="s">
        <v>1119</v>
      </c>
      <c r="S3" s="650" t="s">
        <v>1120</v>
      </c>
      <c r="Y3" s="676"/>
      <c r="AA3" s="707">
        <f>24.01*1.05</f>
        <v>25.2105</v>
      </c>
    </row>
    <row r="4">
      <c r="A4" s="526" t="s">
        <v>964</v>
      </c>
      <c r="B4" s="711" t="s">
        <v>1121</v>
      </c>
      <c r="C4" s="712" t="s">
        <v>1122</v>
      </c>
      <c r="D4" s="713">
        <v>30.32</v>
      </c>
      <c r="E4" s="705">
        <v>0.15</v>
      </c>
      <c r="F4" s="706"/>
      <c r="G4" s="707">
        <f t="shared" si="1"/>
        <v>4.548</v>
      </c>
      <c r="H4" s="707">
        <f t="shared" si="2"/>
        <v>34.868</v>
      </c>
      <c r="I4" s="708">
        <f t="shared" si="3"/>
        <v>42.53896</v>
      </c>
      <c r="J4" s="709">
        <f t="shared" si="4"/>
        <v>46.792856</v>
      </c>
      <c r="L4" s="526">
        <f t="shared" si="5"/>
        <v>33.352</v>
      </c>
      <c r="O4" s="658">
        <f t="shared" si="6"/>
        <v>33.352</v>
      </c>
      <c r="R4" s="710" t="s">
        <v>1123</v>
      </c>
      <c r="S4" s="650" t="s">
        <v>1124</v>
      </c>
      <c r="V4" s="714" t="s">
        <v>1125</v>
      </c>
      <c r="W4" s="715" t="s">
        <v>1126</v>
      </c>
      <c r="Y4" s="676"/>
      <c r="AA4" s="707">
        <f t="shared" ref="AA4:AA5" si="7">27.54*1.05</f>
        <v>28.917</v>
      </c>
    </row>
    <row r="5">
      <c r="A5" s="526" t="s">
        <v>964</v>
      </c>
      <c r="B5" s="716" t="s">
        <v>1127</v>
      </c>
      <c r="C5" s="712" t="s">
        <v>1128</v>
      </c>
      <c r="D5" s="713">
        <v>30.32</v>
      </c>
      <c r="E5" s="717">
        <v>0.15</v>
      </c>
      <c r="F5" s="718"/>
      <c r="G5" s="719">
        <f t="shared" si="1"/>
        <v>4.548</v>
      </c>
      <c r="H5" s="719">
        <f t="shared" si="2"/>
        <v>34.868</v>
      </c>
      <c r="I5" s="720">
        <f t="shared" si="3"/>
        <v>42.53896</v>
      </c>
      <c r="J5" s="709">
        <f t="shared" si="4"/>
        <v>46.792856</v>
      </c>
      <c r="L5" s="526">
        <f t="shared" si="5"/>
        <v>33.352</v>
      </c>
      <c r="O5" s="658">
        <f t="shared" si="6"/>
        <v>33.352</v>
      </c>
      <c r="R5" s="710" t="s">
        <v>1119</v>
      </c>
      <c r="S5" s="650" t="s">
        <v>1120</v>
      </c>
      <c r="V5" s="721" t="s">
        <v>1129</v>
      </c>
      <c r="W5" s="722" t="s">
        <v>1130</v>
      </c>
      <c r="Y5" s="676"/>
      <c r="AA5" s="707">
        <f t="shared" si="7"/>
        <v>28.917</v>
      </c>
    </row>
    <row r="6">
      <c r="A6" s="526" t="s">
        <v>964</v>
      </c>
      <c r="B6" s="711" t="s">
        <v>1131</v>
      </c>
      <c r="C6" s="703" t="s">
        <v>1132</v>
      </c>
      <c r="D6" s="713">
        <f t="shared" ref="D6:D7" si="8">35.58*1.05*1.0485</f>
        <v>39.1709115</v>
      </c>
      <c r="E6" s="705">
        <v>0.15</v>
      </c>
      <c r="F6" s="706"/>
      <c r="G6" s="707">
        <f t="shared" si="1"/>
        <v>5.875636725</v>
      </c>
      <c r="H6" s="707">
        <f t="shared" si="2"/>
        <v>45.04654823</v>
      </c>
      <c r="I6" s="708">
        <f t="shared" si="3"/>
        <v>54.95678883</v>
      </c>
      <c r="J6" s="709">
        <f t="shared" si="4"/>
        <v>60.45246772</v>
      </c>
      <c r="L6" s="526">
        <f t="shared" si="5"/>
        <v>43.08800265</v>
      </c>
      <c r="O6" s="658">
        <f t="shared" si="6"/>
        <v>43.08800265</v>
      </c>
      <c r="R6" s="710" t="s">
        <v>1123</v>
      </c>
      <c r="S6" s="650" t="s">
        <v>1124</v>
      </c>
      <c r="V6" s="723" t="s">
        <v>1133</v>
      </c>
      <c r="W6" s="724" t="s">
        <v>1134</v>
      </c>
      <c r="Y6" s="676"/>
      <c r="AA6" s="707">
        <f t="shared" ref="AA6:AA7" si="9">31.06*1.05</f>
        <v>32.613</v>
      </c>
    </row>
    <row r="7">
      <c r="A7" s="526" t="s">
        <v>964</v>
      </c>
      <c r="B7" s="716" t="s">
        <v>1135</v>
      </c>
      <c r="C7" s="712" t="s">
        <v>1136</v>
      </c>
      <c r="D7" s="725">
        <f t="shared" si="8"/>
        <v>39.1709115</v>
      </c>
      <c r="E7" s="717">
        <v>0.15</v>
      </c>
      <c r="F7" s="718"/>
      <c r="G7" s="719">
        <f t="shared" si="1"/>
        <v>5.875636725</v>
      </c>
      <c r="H7" s="719">
        <f t="shared" si="2"/>
        <v>45.04654823</v>
      </c>
      <c r="I7" s="720">
        <f t="shared" si="3"/>
        <v>54.95678883</v>
      </c>
      <c r="J7" s="709">
        <f t="shared" si="4"/>
        <v>60.45246772</v>
      </c>
      <c r="L7" s="526">
        <f t="shared" si="5"/>
        <v>43.08800265</v>
      </c>
      <c r="O7" s="658">
        <f t="shared" si="6"/>
        <v>43.08800265</v>
      </c>
      <c r="R7" s="710" t="s">
        <v>1119</v>
      </c>
      <c r="S7" s="650" t="s">
        <v>1120</v>
      </c>
      <c r="V7" s="721" t="s">
        <v>1137</v>
      </c>
      <c r="W7" s="722" t="s">
        <v>1138</v>
      </c>
      <c r="Y7" s="676"/>
      <c r="AA7" s="707">
        <f t="shared" si="9"/>
        <v>32.613</v>
      </c>
    </row>
    <row r="8">
      <c r="A8" s="526" t="s">
        <v>964</v>
      </c>
      <c r="B8" s="711" t="s">
        <v>1139</v>
      </c>
      <c r="C8" s="726" t="s">
        <v>1140</v>
      </c>
      <c r="D8" s="727">
        <f t="shared" ref="D8:D9" si="10">34.58*1.05*1.0485</f>
        <v>38.0699865</v>
      </c>
      <c r="E8" s="312">
        <v>0.15</v>
      </c>
      <c r="F8" s="728"/>
      <c r="G8" s="729">
        <f t="shared" si="1"/>
        <v>5.710497975</v>
      </c>
      <c r="H8" s="729">
        <f t="shared" si="2"/>
        <v>43.78048448</v>
      </c>
      <c r="I8" s="730">
        <f t="shared" si="3"/>
        <v>53.41219106</v>
      </c>
      <c r="J8" s="709">
        <f t="shared" si="4"/>
        <v>58.75341017</v>
      </c>
      <c r="L8" s="526">
        <f t="shared" si="5"/>
        <v>41.87698515</v>
      </c>
      <c r="O8" s="658">
        <f t="shared" si="6"/>
        <v>41.87698515</v>
      </c>
      <c r="R8" s="710" t="s">
        <v>1123</v>
      </c>
      <c r="S8" s="650" t="s">
        <v>1124</v>
      </c>
      <c r="V8" s="723" t="s">
        <v>1141</v>
      </c>
      <c r="W8" s="724" t="s">
        <v>1142</v>
      </c>
      <c r="Y8" s="676"/>
      <c r="AA8" s="729">
        <f t="shared" ref="AA8:AA9" si="11">34.58*1.05</f>
        <v>36.309</v>
      </c>
    </row>
    <row r="9">
      <c r="A9" s="526" t="s">
        <v>964</v>
      </c>
      <c r="B9" s="716" t="s">
        <v>1143</v>
      </c>
      <c r="C9" s="712" t="s">
        <v>1144</v>
      </c>
      <c r="D9" s="727">
        <f t="shared" si="10"/>
        <v>38.0699865</v>
      </c>
      <c r="E9" s="731">
        <v>0.15</v>
      </c>
      <c r="F9" s="718"/>
      <c r="G9" s="719">
        <f t="shared" si="1"/>
        <v>5.710497975</v>
      </c>
      <c r="H9" s="719">
        <f t="shared" si="2"/>
        <v>43.78048448</v>
      </c>
      <c r="I9" s="720">
        <f t="shared" si="3"/>
        <v>53.41219106</v>
      </c>
      <c r="J9" s="709">
        <f t="shared" si="4"/>
        <v>58.75341017</v>
      </c>
      <c r="L9" s="526">
        <f t="shared" si="5"/>
        <v>41.87698515</v>
      </c>
      <c r="O9" s="658">
        <f t="shared" si="6"/>
        <v>41.87698515</v>
      </c>
      <c r="R9" s="710" t="s">
        <v>1119</v>
      </c>
      <c r="S9" s="650" t="s">
        <v>1120</v>
      </c>
      <c r="V9" s="723" t="s">
        <v>1145</v>
      </c>
      <c r="W9" s="724" t="s">
        <v>1146</v>
      </c>
      <c r="Y9" s="676"/>
      <c r="AA9" s="729">
        <f t="shared" si="11"/>
        <v>36.309</v>
      </c>
    </row>
    <row r="10">
      <c r="A10" s="526" t="s">
        <v>964</v>
      </c>
      <c r="B10" s="732" t="s">
        <v>1147</v>
      </c>
      <c r="C10" s="726" t="s">
        <v>1148</v>
      </c>
      <c r="D10" s="727">
        <v>41.94</v>
      </c>
      <c r="E10" s="312">
        <v>0.15</v>
      </c>
      <c r="F10" s="728"/>
      <c r="G10" s="729">
        <f t="shared" si="1"/>
        <v>6.291</v>
      </c>
      <c r="H10" s="729">
        <f t="shared" si="2"/>
        <v>48.231</v>
      </c>
      <c r="I10" s="730">
        <f t="shared" si="3"/>
        <v>58.84182</v>
      </c>
      <c r="J10" s="709">
        <f t="shared" si="4"/>
        <v>64.726002</v>
      </c>
      <c r="L10" s="526">
        <f t="shared" si="5"/>
        <v>46.134</v>
      </c>
      <c r="O10" s="658">
        <f t="shared" si="6"/>
        <v>46.134</v>
      </c>
      <c r="R10" s="710" t="s">
        <v>1123</v>
      </c>
      <c r="S10" s="650" t="s">
        <v>1124</v>
      </c>
      <c r="V10" s="733" t="s">
        <v>1149</v>
      </c>
      <c r="W10" s="722" t="s">
        <v>1150</v>
      </c>
      <c r="Y10" s="676"/>
      <c r="AA10" s="729">
        <f t="shared" ref="AA10:AA11" si="12">38.1*1.05</f>
        <v>40.005</v>
      </c>
    </row>
    <row r="11">
      <c r="A11" s="526" t="s">
        <v>964</v>
      </c>
      <c r="B11" s="678" t="s">
        <v>1151</v>
      </c>
      <c r="C11" s="686" t="s">
        <v>1152</v>
      </c>
      <c r="D11" s="727">
        <v>41.94</v>
      </c>
      <c r="E11" s="731">
        <v>0.15</v>
      </c>
      <c r="F11" s="734"/>
      <c r="G11" s="735">
        <f t="shared" si="1"/>
        <v>6.291</v>
      </c>
      <c r="H11" s="735">
        <f t="shared" si="2"/>
        <v>48.231</v>
      </c>
      <c r="I11" s="736">
        <f t="shared" si="3"/>
        <v>58.84182</v>
      </c>
      <c r="J11" s="709">
        <f t="shared" si="4"/>
        <v>64.726002</v>
      </c>
      <c r="L11" s="526">
        <f t="shared" si="5"/>
        <v>46.134</v>
      </c>
      <c r="O11" s="658">
        <f t="shared" si="6"/>
        <v>46.134</v>
      </c>
      <c r="R11" s="710" t="s">
        <v>1119</v>
      </c>
      <c r="S11" s="650" t="s">
        <v>1120</v>
      </c>
      <c r="V11" s="721" t="s">
        <v>1153</v>
      </c>
      <c r="W11" s="722" t="s">
        <v>1154</v>
      </c>
      <c r="Y11" s="676"/>
      <c r="AA11" s="729">
        <f t="shared" si="12"/>
        <v>40.005</v>
      </c>
    </row>
    <row r="12">
      <c r="A12" s="737"/>
      <c r="B12" s="738" t="s">
        <v>1125</v>
      </c>
      <c r="C12" s="739" t="s">
        <v>1126</v>
      </c>
      <c r="D12" s="740">
        <f>28.224*1.035</f>
        <v>29.21184</v>
      </c>
      <c r="E12" s="312">
        <v>0.15</v>
      </c>
      <c r="F12" s="741"/>
      <c r="G12" s="729">
        <f t="shared" si="1"/>
        <v>4.381776</v>
      </c>
      <c r="H12" s="742">
        <f t="shared" si="2"/>
        <v>33.593616</v>
      </c>
      <c r="I12" s="743">
        <f t="shared" si="3"/>
        <v>40.98421152</v>
      </c>
      <c r="J12" s="709">
        <f t="shared" si="4"/>
        <v>45.08263267</v>
      </c>
      <c r="K12" s="737"/>
      <c r="L12" s="526">
        <f t="shared" si="5"/>
        <v>32.133024</v>
      </c>
      <c r="M12" s="744" t="s">
        <v>1155</v>
      </c>
      <c r="N12" s="737"/>
      <c r="O12" s="658">
        <f t="shared" si="6"/>
        <v>32.133024</v>
      </c>
      <c r="P12" s="737"/>
      <c r="Q12" s="737"/>
      <c r="R12" s="745"/>
      <c r="S12" s="737"/>
      <c r="T12" s="737"/>
      <c r="U12" s="737"/>
      <c r="V12" s="737"/>
      <c r="W12" s="737"/>
      <c r="X12" s="737"/>
      <c r="Y12" s="746"/>
      <c r="Z12" s="737"/>
      <c r="AA12" s="740">
        <f>28.224*1.035</f>
        <v>29.21184</v>
      </c>
      <c r="AB12" s="737"/>
      <c r="AC12" s="737"/>
    </row>
    <row r="13" ht="9.75" customHeight="1">
      <c r="B13" s="325"/>
      <c r="C13" s="162"/>
      <c r="D13" s="325"/>
      <c r="E13" s="747"/>
      <c r="F13" s="325"/>
      <c r="G13" s="325"/>
      <c r="H13" s="332"/>
      <c r="I13" s="333"/>
      <c r="J13" s="748"/>
      <c r="M13" s="526"/>
      <c r="N13" s="526"/>
      <c r="O13" s="658"/>
      <c r="R13" s="630"/>
      <c r="Y13" s="676"/>
      <c r="AA13" s="325"/>
    </row>
    <row r="14">
      <c r="B14" s="749" t="s">
        <v>1156</v>
      </c>
      <c r="C14" s="750" t="s">
        <v>1157</v>
      </c>
      <c r="D14" s="751">
        <v>246.0</v>
      </c>
      <c r="E14" s="752">
        <f t="shared" ref="E14:E15" si="13">H14/D14</f>
        <v>1.15</v>
      </c>
      <c r="F14" s="753"/>
      <c r="G14" s="754">
        <f t="shared" ref="G14:G15" si="14">H14-D14</f>
        <v>36.9</v>
      </c>
      <c r="H14" s="755">
        <f>D14*1.15</f>
        <v>282.9</v>
      </c>
      <c r="I14" s="756">
        <f t="shared" ref="I14:I15" si="15">H14*1.22</f>
        <v>345.138</v>
      </c>
      <c r="J14" s="709">
        <f t="shared" ref="J14:J15" si="16">I14*1.1</f>
        <v>379.6518</v>
      </c>
      <c r="K14" s="757">
        <f t="shared" ref="K14:K15" si="17">I14*1.14</f>
        <v>393.45732</v>
      </c>
      <c r="M14" s="526"/>
      <c r="N14" s="526"/>
      <c r="O14" s="658"/>
      <c r="R14" s="630"/>
      <c r="Y14" s="676"/>
      <c r="AA14" s="753">
        <v>246.0</v>
      </c>
    </row>
    <row r="15" ht="14.25" customHeight="1">
      <c r="A15" s="526" t="s">
        <v>1158</v>
      </c>
      <c r="B15" s="749" t="s">
        <v>1159</v>
      </c>
      <c r="C15" s="750" t="s">
        <v>1160</v>
      </c>
      <c r="D15" s="753">
        <v>24.0</v>
      </c>
      <c r="E15" s="752">
        <f t="shared" si="13"/>
        <v>2.5</v>
      </c>
      <c r="F15" s="753"/>
      <c r="G15" s="754">
        <f t="shared" si="14"/>
        <v>36</v>
      </c>
      <c r="H15" s="755">
        <v>60.0</v>
      </c>
      <c r="I15" s="756">
        <f t="shared" si="15"/>
        <v>73.2</v>
      </c>
      <c r="J15" s="709">
        <f t="shared" si="16"/>
        <v>80.52</v>
      </c>
      <c r="K15" s="757">
        <f t="shared" si="17"/>
        <v>83.448</v>
      </c>
      <c r="M15" s="526"/>
      <c r="N15" s="526"/>
      <c r="O15" s="658"/>
      <c r="R15" s="630"/>
      <c r="Y15" s="676"/>
      <c r="AA15" s="753">
        <v>24.0</v>
      </c>
    </row>
    <row r="16" ht="11.25" customHeight="1">
      <c r="B16" s="325"/>
      <c r="C16" s="162"/>
      <c r="D16" s="325"/>
      <c r="E16" s="747"/>
      <c r="F16" s="325"/>
      <c r="G16" s="325"/>
      <c r="H16" s="332"/>
      <c r="I16" s="333"/>
      <c r="J16" s="748"/>
      <c r="M16" s="526"/>
      <c r="N16" s="526"/>
      <c r="O16" s="658"/>
      <c r="R16" s="630"/>
      <c r="Y16" s="676"/>
      <c r="AA16" s="325"/>
    </row>
    <row r="17">
      <c r="A17" s="526" t="s">
        <v>964</v>
      </c>
      <c r="B17" s="758" t="s">
        <v>1161</v>
      </c>
      <c r="C17" s="679" t="s">
        <v>1162</v>
      </c>
      <c r="D17" s="759">
        <v>32.47</v>
      </c>
      <c r="E17" s="681">
        <v>0.15</v>
      </c>
      <c r="F17" s="758"/>
      <c r="G17" s="680">
        <f t="shared" ref="G17:G20" si="18">H17-D17</f>
        <v>4.8705</v>
      </c>
      <c r="H17" s="680">
        <f t="shared" ref="H17:H20" si="19">D17*E17+D17</f>
        <v>37.3405</v>
      </c>
      <c r="I17" s="760">
        <f t="shared" ref="I17:I20" si="20">H17*1.22</f>
        <v>45.55541</v>
      </c>
      <c r="J17" s="709">
        <f t="shared" ref="J17:J20" si="21">I17*1.1</f>
        <v>50.110951</v>
      </c>
      <c r="O17" s="658"/>
      <c r="R17" s="710" t="s">
        <v>1123</v>
      </c>
      <c r="S17" s="650" t="s">
        <v>1124</v>
      </c>
      <c r="V17" s="714" t="s">
        <v>1125</v>
      </c>
      <c r="W17" s="715" t="s">
        <v>1126</v>
      </c>
      <c r="Y17" s="676"/>
      <c r="AA17" s="758">
        <v>32.47</v>
      </c>
    </row>
    <row r="18">
      <c r="A18" s="526" t="s">
        <v>964</v>
      </c>
      <c r="B18" s="758" t="s">
        <v>1163</v>
      </c>
      <c r="C18" s="679" t="s">
        <v>1164</v>
      </c>
      <c r="D18" s="759">
        <v>38.28</v>
      </c>
      <c r="E18" s="681">
        <v>0.15</v>
      </c>
      <c r="F18" s="758"/>
      <c r="G18" s="680">
        <f t="shared" si="18"/>
        <v>5.742</v>
      </c>
      <c r="H18" s="680">
        <f t="shared" si="19"/>
        <v>44.022</v>
      </c>
      <c r="I18" s="760">
        <f t="shared" si="20"/>
        <v>53.70684</v>
      </c>
      <c r="J18" s="709">
        <f t="shared" si="21"/>
        <v>59.077524</v>
      </c>
      <c r="M18" s="526" t="s">
        <v>578</v>
      </c>
      <c r="O18" s="658"/>
      <c r="R18" s="710" t="s">
        <v>1123</v>
      </c>
      <c r="S18" s="650" t="s">
        <v>1124</v>
      </c>
      <c r="V18" s="723" t="s">
        <v>1133</v>
      </c>
      <c r="W18" s="724" t="s">
        <v>1134</v>
      </c>
      <c r="Y18" s="676"/>
      <c r="AA18" s="758">
        <v>38.28</v>
      </c>
    </row>
    <row r="19">
      <c r="A19" s="526" t="s">
        <v>964</v>
      </c>
      <c r="B19" s="758" t="s">
        <v>1165</v>
      </c>
      <c r="C19" s="679" t="s">
        <v>1166</v>
      </c>
      <c r="D19" s="759">
        <v>42.21</v>
      </c>
      <c r="E19" s="681">
        <v>0.15</v>
      </c>
      <c r="F19" s="758"/>
      <c r="G19" s="680">
        <f t="shared" si="18"/>
        <v>6.3315</v>
      </c>
      <c r="H19" s="680">
        <f t="shared" si="19"/>
        <v>48.5415</v>
      </c>
      <c r="I19" s="760">
        <f t="shared" si="20"/>
        <v>59.22063</v>
      </c>
      <c r="J19" s="709">
        <f t="shared" si="21"/>
        <v>65.142693</v>
      </c>
      <c r="O19" s="658"/>
      <c r="R19" s="710" t="s">
        <v>1123</v>
      </c>
      <c r="S19" s="650" t="s">
        <v>1124</v>
      </c>
      <c r="V19" s="723" t="s">
        <v>1141</v>
      </c>
      <c r="W19" s="724" t="s">
        <v>1142</v>
      </c>
      <c r="Y19" s="676"/>
      <c r="AA19" s="758">
        <v>42.21</v>
      </c>
    </row>
    <row r="20">
      <c r="A20" s="526" t="s">
        <v>964</v>
      </c>
      <c r="B20" s="758" t="s">
        <v>1167</v>
      </c>
      <c r="C20" s="679" t="s">
        <v>1168</v>
      </c>
      <c r="D20" s="759">
        <v>46.15</v>
      </c>
      <c r="E20" s="681">
        <v>0.15</v>
      </c>
      <c r="F20" s="758"/>
      <c r="G20" s="680">
        <f t="shared" si="18"/>
        <v>6.9225</v>
      </c>
      <c r="H20" s="680">
        <f t="shared" si="19"/>
        <v>53.0725</v>
      </c>
      <c r="I20" s="760">
        <f t="shared" si="20"/>
        <v>64.74845</v>
      </c>
      <c r="J20" s="709">
        <f t="shared" si="21"/>
        <v>71.223295</v>
      </c>
      <c r="O20" s="658"/>
      <c r="R20" s="710" t="s">
        <v>1123</v>
      </c>
      <c r="S20" s="650" t="s">
        <v>1124</v>
      </c>
      <c r="V20" s="733" t="s">
        <v>1149</v>
      </c>
      <c r="W20" s="722" t="s">
        <v>1150</v>
      </c>
      <c r="Y20" s="676"/>
      <c r="AA20" s="758">
        <v>46.15</v>
      </c>
    </row>
    <row r="21" ht="15.0" customHeight="1">
      <c r="B21" s="325"/>
      <c r="C21" s="162"/>
      <c r="D21" s="325"/>
      <c r="E21" s="747"/>
      <c r="F21" s="325"/>
      <c r="G21" s="325"/>
      <c r="H21" s="332"/>
      <c r="I21" s="333"/>
      <c r="J21" s="748"/>
      <c r="M21" s="761" t="s">
        <v>1169</v>
      </c>
      <c r="N21" s="762"/>
      <c r="O21" s="658"/>
      <c r="R21" s="630"/>
      <c r="Y21" s="676"/>
      <c r="AA21" s="325"/>
    </row>
    <row r="22" ht="15.0" customHeight="1">
      <c r="A22" s="526" t="s">
        <v>964</v>
      </c>
      <c r="B22" s="758" t="s">
        <v>1161</v>
      </c>
      <c r="C22" s="679" t="s">
        <v>1170</v>
      </c>
      <c r="D22" s="759">
        <v>39.73</v>
      </c>
      <c r="E22" s="681">
        <v>0.15</v>
      </c>
      <c r="F22" s="758"/>
      <c r="G22" s="680">
        <f t="shared" ref="G22:G25" si="22">H22-D22</f>
        <v>5.9595</v>
      </c>
      <c r="H22" s="680">
        <f t="shared" ref="H22:H25" si="23">D22*E22+D22</f>
        <v>45.6895</v>
      </c>
      <c r="I22" s="760">
        <f t="shared" ref="I22:I25" si="24">H22*1.22</f>
        <v>55.74119</v>
      </c>
      <c r="J22" s="709">
        <f t="shared" ref="J22:J25" si="25">I22*1.1</f>
        <v>61.315309</v>
      </c>
      <c r="K22" s="526" t="s">
        <v>1171</v>
      </c>
      <c r="M22" s="630"/>
      <c r="N22" s="630"/>
      <c r="O22" s="658"/>
      <c r="R22" s="630"/>
      <c r="Y22" s="676"/>
      <c r="AA22" s="758">
        <v>39.73</v>
      </c>
    </row>
    <row r="23" ht="15.0" customHeight="1">
      <c r="A23" s="526" t="s">
        <v>964</v>
      </c>
      <c r="B23" s="758" t="s">
        <v>1163</v>
      </c>
      <c r="C23" s="679" t="s">
        <v>1172</v>
      </c>
      <c r="D23" s="759">
        <v>51.52</v>
      </c>
      <c r="E23" s="681">
        <v>0.15</v>
      </c>
      <c r="F23" s="758"/>
      <c r="G23" s="680">
        <f t="shared" si="22"/>
        <v>7.728</v>
      </c>
      <c r="H23" s="680">
        <f t="shared" si="23"/>
        <v>59.248</v>
      </c>
      <c r="I23" s="760">
        <f t="shared" si="24"/>
        <v>72.28256</v>
      </c>
      <c r="J23" s="709">
        <f t="shared" si="25"/>
        <v>79.510816</v>
      </c>
      <c r="K23" s="526" t="s">
        <v>1173</v>
      </c>
      <c r="M23" s="630"/>
      <c r="N23" s="630"/>
      <c r="O23" s="658"/>
      <c r="R23" s="630"/>
      <c r="Y23" s="676"/>
      <c r="AA23" s="758">
        <v>51.52</v>
      </c>
    </row>
    <row r="24" ht="15.0" customHeight="1">
      <c r="A24" s="526" t="s">
        <v>964</v>
      </c>
      <c r="B24" s="758" t="s">
        <v>1165</v>
      </c>
      <c r="C24" s="679" t="s">
        <v>1174</v>
      </c>
      <c r="D24" s="759">
        <v>63.33</v>
      </c>
      <c r="E24" s="681">
        <v>0.15</v>
      </c>
      <c r="F24" s="758"/>
      <c r="G24" s="680">
        <f t="shared" si="22"/>
        <v>9.4995</v>
      </c>
      <c r="H24" s="680">
        <f t="shared" si="23"/>
        <v>72.8295</v>
      </c>
      <c r="I24" s="760">
        <f t="shared" si="24"/>
        <v>88.85199</v>
      </c>
      <c r="J24" s="709">
        <f t="shared" si="25"/>
        <v>97.737189</v>
      </c>
      <c r="K24" s="526" t="s">
        <v>1175</v>
      </c>
      <c r="M24" s="630"/>
      <c r="N24" s="630"/>
      <c r="O24" s="658"/>
      <c r="R24" s="630"/>
      <c r="Y24" s="676"/>
      <c r="AA24" s="758">
        <v>63.33</v>
      </c>
    </row>
    <row r="25" ht="15.0" customHeight="1">
      <c r="B25" s="758" t="s">
        <v>1167</v>
      </c>
      <c r="C25" s="679" t="s">
        <v>1176</v>
      </c>
      <c r="D25" s="759">
        <v>75.131</v>
      </c>
      <c r="E25" s="681">
        <v>0.15</v>
      </c>
      <c r="F25" s="758"/>
      <c r="G25" s="680">
        <f t="shared" si="22"/>
        <v>11.26965</v>
      </c>
      <c r="H25" s="680">
        <f t="shared" si="23"/>
        <v>86.40065</v>
      </c>
      <c r="I25" s="760">
        <f t="shared" si="24"/>
        <v>105.408793</v>
      </c>
      <c r="J25" s="709">
        <f t="shared" si="25"/>
        <v>115.9496723</v>
      </c>
      <c r="K25" s="526" t="s">
        <v>1177</v>
      </c>
      <c r="M25" s="630"/>
      <c r="N25" s="630"/>
      <c r="O25" s="658"/>
      <c r="R25" s="630"/>
      <c r="Y25" s="676"/>
      <c r="AA25" s="758">
        <v>75.131</v>
      </c>
    </row>
    <row r="26" ht="15.0" customHeight="1">
      <c r="B26" s="325"/>
      <c r="C26" s="763"/>
      <c r="D26" s="764"/>
      <c r="E26" s="332"/>
      <c r="F26" s="325"/>
      <c r="G26" s="764"/>
      <c r="H26" s="765"/>
      <c r="I26" s="333"/>
      <c r="J26" s="748"/>
      <c r="M26" s="630"/>
      <c r="N26" s="630"/>
      <c r="O26" s="658"/>
      <c r="R26" s="630"/>
      <c r="Y26" s="676"/>
      <c r="AA26" s="764"/>
    </row>
    <row r="27">
      <c r="A27" s="766"/>
      <c r="B27" s="659" t="s">
        <v>435</v>
      </c>
      <c r="C27" s="767" t="s">
        <v>283</v>
      </c>
      <c r="D27" s="661" t="s">
        <v>1178</v>
      </c>
      <c r="E27" s="768" t="s">
        <v>1179</v>
      </c>
      <c r="F27" s="661" t="s">
        <v>1087</v>
      </c>
      <c r="G27" s="661" t="s">
        <v>1180</v>
      </c>
      <c r="H27" s="769" t="s">
        <v>287</v>
      </c>
      <c r="I27" s="770" t="s">
        <v>1088</v>
      </c>
      <c r="J27" s="771"/>
      <c r="K27" s="663" t="s">
        <v>473</v>
      </c>
      <c r="L27" s="766"/>
      <c r="M27" s="772" t="s">
        <v>1181</v>
      </c>
      <c r="N27" s="772" t="s">
        <v>1182</v>
      </c>
      <c r="O27" s="773" t="s">
        <v>1183</v>
      </c>
      <c r="P27" s="766"/>
      <c r="Q27" s="766"/>
      <c r="R27" s="774" t="s">
        <v>1184</v>
      </c>
      <c r="S27" s="775" t="s">
        <v>1185</v>
      </c>
      <c r="T27" s="766"/>
      <c r="U27" s="766"/>
      <c r="V27" s="766"/>
      <c r="W27" s="766"/>
      <c r="X27" s="766"/>
      <c r="Y27" s="776"/>
      <c r="Z27" s="766"/>
      <c r="AA27" s="661" t="s">
        <v>1178</v>
      </c>
      <c r="AB27" s="766"/>
      <c r="AC27" s="766"/>
    </row>
    <row r="28">
      <c r="A28" s="162"/>
      <c r="B28" s="777"/>
      <c r="C28" s="778" t="s">
        <v>1186</v>
      </c>
      <c r="D28" s="779"/>
      <c r="E28" s="780"/>
      <c r="F28" s="779"/>
      <c r="G28" s="779"/>
      <c r="H28" s="669"/>
      <c r="I28" s="781"/>
      <c r="J28" s="748"/>
      <c r="L28" s="162">
        <f>I29/3</f>
        <v>7.74456</v>
      </c>
      <c r="M28" s="679"/>
      <c r="N28" s="679"/>
      <c r="O28" s="782"/>
      <c r="P28" s="162"/>
      <c r="Q28" s="162"/>
      <c r="R28" s="783" t="s">
        <v>1187</v>
      </c>
      <c r="S28" s="162"/>
      <c r="T28" s="162"/>
      <c r="U28" s="162"/>
      <c r="V28" s="162"/>
      <c r="W28" s="162"/>
      <c r="X28" s="162"/>
      <c r="Y28" s="784"/>
      <c r="Z28" s="162"/>
      <c r="AA28" s="779"/>
      <c r="AB28" s="162"/>
      <c r="AC28" s="162"/>
    </row>
    <row r="29">
      <c r="A29" s="526" t="s">
        <v>964</v>
      </c>
      <c r="B29" s="711" t="s">
        <v>1188</v>
      </c>
      <c r="C29" s="785" t="s">
        <v>1189</v>
      </c>
      <c r="D29" s="713">
        <v>15.87</v>
      </c>
      <c r="E29" s="713">
        <f t="shared" ref="E29:E30" si="26">D29/3</f>
        <v>5.29</v>
      </c>
      <c r="F29" s="713">
        <f t="shared" ref="F29:F33" si="27">H29-D29</f>
        <v>3.174</v>
      </c>
      <c r="G29" s="786">
        <v>0.2</v>
      </c>
      <c r="H29" s="787">
        <f t="shared" ref="H29:H33" si="28">D29*1.2</f>
        <v>19.044</v>
      </c>
      <c r="I29" s="788">
        <f t="shared" ref="I29:I33" si="29">H29*1.22</f>
        <v>23.23368</v>
      </c>
      <c r="J29" s="709">
        <f t="shared" ref="J29:J42" si="30">I29*1.1</f>
        <v>25.557048</v>
      </c>
      <c r="K29" s="789">
        <f t="shared" ref="K29:K32" si="31">I29*1.14</f>
        <v>26.4863952</v>
      </c>
      <c r="M29" s="706">
        <v>13.83</v>
      </c>
      <c r="N29" s="673">
        <f t="shared" ref="N29:N32" si="32">M29*1.068</f>
        <v>14.77044</v>
      </c>
      <c r="O29" s="790">
        <f t="shared" ref="O29:O32" si="33">H29/3</f>
        <v>6.348</v>
      </c>
      <c r="Q29" s="526" t="s">
        <v>1190</v>
      </c>
      <c r="R29" s="710" t="s">
        <v>1191</v>
      </c>
      <c r="S29" s="791" t="s">
        <v>1192</v>
      </c>
      <c r="Y29" s="676">
        <v>5.92</v>
      </c>
      <c r="AA29" s="792">
        <v>15.0</v>
      </c>
    </row>
    <row r="30">
      <c r="A30" s="526" t="s">
        <v>964</v>
      </c>
      <c r="B30" s="678" t="s">
        <v>1193</v>
      </c>
      <c r="C30" s="793" t="s">
        <v>1194</v>
      </c>
      <c r="D30" s="713">
        <v>17.82</v>
      </c>
      <c r="E30" s="725">
        <f t="shared" si="26"/>
        <v>5.94</v>
      </c>
      <c r="F30" s="725">
        <f t="shared" si="27"/>
        <v>3.564</v>
      </c>
      <c r="G30" s="794">
        <v>0.2</v>
      </c>
      <c r="H30" s="795">
        <f t="shared" si="28"/>
        <v>21.384</v>
      </c>
      <c r="I30" s="796">
        <f t="shared" si="29"/>
        <v>26.08848</v>
      </c>
      <c r="J30" s="709">
        <f t="shared" si="30"/>
        <v>28.697328</v>
      </c>
      <c r="K30" s="789">
        <f t="shared" si="31"/>
        <v>29.7408672</v>
      </c>
      <c r="M30" s="758">
        <v>15.21</v>
      </c>
      <c r="N30" s="673">
        <f t="shared" si="32"/>
        <v>16.24428</v>
      </c>
      <c r="O30" s="790">
        <f t="shared" si="33"/>
        <v>7.128</v>
      </c>
      <c r="R30" s="710" t="s">
        <v>1195</v>
      </c>
      <c r="Y30" s="676"/>
      <c r="AA30" s="797">
        <v>15.72</v>
      </c>
    </row>
    <row r="31">
      <c r="A31" s="526" t="s">
        <v>964</v>
      </c>
      <c r="B31" s="678" t="s">
        <v>1129</v>
      </c>
      <c r="C31" s="798" t="s">
        <v>1130</v>
      </c>
      <c r="D31" s="792">
        <f>AA31*1.05</f>
        <v>18.3645</v>
      </c>
      <c r="E31" s="799">
        <v>6.19</v>
      </c>
      <c r="F31" s="799">
        <f t="shared" si="27"/>
        <v>3.6729</v>
      </c>
      <c r="G31" s="800">
        <v>0.2</v>
      </c>
      <c r="H31" s="801">
        <f t="shared" si="28"/>
        <v>22.0374</v>
      </c>
      <c r="I31" s="802">
        <f t="shared" si="29"/>
        <v>26.885628</v>
      </c>
      <c r="J31" s="709">
        <f t="shared" si="30"/>
        <v>29.5741908</v>
      </c>
      <c r="K31" s="803">
        <f t="shared" si="31"/>
        <v>30.64961592</v>
      </c>
      <c r="L31" s="804" t="s">
        <v>1196</v>
      </c>
      <c r="M31" s="805">
        <v>18.3</v>
      </c>
      <c r="N31" s="806">
        <f t="shared" si="32"/>
        <v>19.5444</v>
      </c>
      <c r="O31" s="807">
        <f t="shared" si="33"/>
        <v>7.3458</v>
      </c>
      <c r="P31" s="808"/>
      <c r="Q31" s="808"/>
      <c r="R31" s="809" t="s">
        <v>1197</v>
      </c>
      <c r="S31" s="808"/>
      <c r="T31" s="808"/>
      <c r="U31" s="808"/>
      <c r="V31" s="808"/>
      <c r="W31" s="808"/>
      <c r="X31" s="808"/>
      <c r="Y31" s="676"/>
      <c r="Z31" s="808"/>
      <c r="AA31" s="797">
        <v>17.49</v>
      </c>
      <c r="AB31" s="808"/>
      <c r="AC31" s="808"/>
    </row>
    <row r="32">
      <c r="A32" s="526" t="s">
        <v>964</v>
      </c>
      <c r="B32" s="810" t="s">
        <v>1133</v>
      </c>
      <c r="C32" s="811" t="s">
        <v>1134</v>
      </c>
      <c r="D32" s="713">
        <v>21.72</v>
      </c>
      <c r="E32" s="812">
        <v>6.86</v>
      </c>
      <c r="F32" s="812">
        <f t="shared" si="27"/>
        <v>4.344</v>
      </c>
      <c r="G32" s="813">
        <v>0.2</v>
      </c>
      <c r="H32" s="814">
        <f t="shared" si="28"/>
        <v>26.064</v>
      </c>
      <c r="I32" s="815">
        <f t="shared" si="29"/>
        <v>31.79808</v>
      </c>
      <c r="J32" s="709">
        <f t="shared" si="30"/>
        <v>34.977888</v>
      </c>
      <c r="K32" s="803">
        <f t="shared" si="31"/>
        <v>36.2498112</v>
      </c>
      <c r="L32" s="804" t="s">
        <v>1196</v>
      </c>
      <c r="M32" s="816">
        <v>17.97</v>
      </c>
      <c r="N32" s="806">
        <f t="shared" si="32"/>
        <v>19.19196</v>
      </c>
      <c r="O32" s="807">
        <f t="shared" si="33"/>
        <v>8.688</v>
      </c>
      <c r="P32" s="808"/>
      <c r="Q32" s="817"/>
      <c r="R32" s="809" t="s">
        <v>1198</v>
      </c>
      <c r="S32" s="808"/>
      <c r="T32" s="808"/>
      <c r="U32" s="808"/>
      <c r="V32" s="808"/>
      <c r="W32" s="808"/>
      <c r="X32" s="808"/>
      <c r="Y32" s="676"/>
      <c r="Z32" s="808"/>
      <c r="AA32" s="818">
        <v>20.58</v>
      </c>
      <c r="AB32" s="808"/>
      <c r="AC32" s="808"/>
    </row>
    <row r="33">
      <c r="A33" s="819"/>
      <c r="B33" s="711" t="s">
        <v>1199</v>
      </c>
      <c r="C33" s="820" t="s">
        <v>1200</v>
      </c>
      <c r="D33" s="792">
        <f t="shared" ref="D33:D35" si="34">AA33*1.05</f>
        <v>12.957</v>
      </c>
      <c r="E33" s="792">
        <f>D33/3</f>
        <v>4.319</v>
      </c>
      <c r="F33" s="792">
        <f t="shared" si="27"/>
        <v>2.5914</v>
      </c>
      <c r="G33" s="821">
        <v>0.2</v>
      </c>
      <c r="H33" s="822">
        <f t="shared" si="28"/>
        <v>15.5484</v>
      </c>
      <c r="I33" s="823">
        <f t="shared" si="29"/>
        <v>18.969048</v>
      </c>
      <c r="J33" s="709">
        <f t="shared" si="30"/>
        <v>20.8659528</v>
      </c>
      <c r="K33" s="803"/>
      <c r="L33" s="804"/>
      <c r="M33" s="824"/>
      <c r="N33" s="806"/>
      <c r="O33" s="807"/>
      <c r="P33" s="808"/>
      <c r="Q33" s="808"/>
      <c r="R33" s="825"/>
      <c r="S33" s="808"/>
      <c r="T33" s="808"/>
      <c r="U33" s="808"/>
      <c r="V33" s="808"/>
      <c r="W33" s="808"/>
      <c r="X33" s="808"/>
      <c r="Y33" s="676"/>
      <c r="Z33" s="808"/>
      <c r="AA33" s="826">
        <v>12.34</v>
      </c>
      <c r="AB33" s="808"/>
      <c r="AC33" s="808"/>
    </row>
    <row r="34">
      <c r="A34" s="819"/>
      <c r="B34" s="678" t="s">
        <v>1201</v>
      </c>
      <c r="C34" s="679" t="s">
        <v>1202</v>
      </c>
      <c r="D34" s="792">
        <f t="shared" si="34"/>
        <v>0</v>
      </c>
      <c r="E34" s="827"/>
      <c r="F34" s="805"/>
      <c r="G34" s="828"/>
      <c r="H34" s="807"/>
      <c r="I34" s="829"/>
      <c r="J34" s="709">
        <f t="shared" si="30"/>
        <v>0</v>
      </c>
      <c r="K34" s="803"/>
      <c r="L34" s="804"/>
      <c r="M34" s="824"/>
      <c r="N34" s="806"/>
      <c r="O34" s="807"/>
      <c r="P34" s="808"/>
      <c r="Q34" s="808"/>
      <c r="R34" s="825"/>
      <c r="S34" s="808"/>
      <c r="T34" s="808"/>
      <c r="U34" s="808"/>
      <c r="V34" s="808"/>
      <c r="W34" s="808"/>
      <c r="X34" s="808"/>
      <c r="Y34" s="676"/>
      <c r="Z34" s="808"/>
      <c r="AA34" s="827"/>
      <c r="AB34" s="808"/>
      <c r="AC34" s="808"/>
    </row>
    <row r="35">
      <c r="A35" s="819"/>
      <c r="B35" s="716" t="s">
        <v>1203</v>
      </c>
      <c r="C35" s="712" t="s">
        <v>1204</v>
      </c>
      <c r="D35" s="792">
        <f t="shared" si="34"/>
        <v>0</v>
      </c>
      <c r="E35" s="830"/>
      <c r="F35" s="816"/>
      <c r="G35" s="831"/>
      <c r="H35" s="832"/>
      <c r="I35" s="833"/>
      <c r="J35" s="709">
        <f t="shared" si="30"/>
        <v>0</v>
      </c>
      <c r="K35" s="803"/>
      <c r="L35" s="804"/>
      <c r="M35" s="824"/>
      <c r="N35" s="806"/>
      <c r="O35" s="807"/>
      <c r="P35" s="808"/>
      <c r="Q35" s="808"/>
      <c r="R35" s="825"/>
      <c r="S35" s="808"/>
      <c r="T35" s="808"/>
      <c r="U35" s="808"/>
      <c r="V35" s="808"/>
      <c r="W35" s="808"/>
      <c r="X35" s="808"/>
      <c r="Y35" s="676"/>
      <c r="Z35" s="808"/>
      <c r="AA35" s="830"/>
      <c r="AB35" s="808"/>
      <c r="AC35" s="808"/>
    </row>
    <row r="36">
      <c r="A36" s="526" t="s">
        <v>964</v>
      </c>
      <c r="B36" s="732" t="s">
        <v>1205</v>
      </c>
      <c r="C36" s="834" t="s">
        <v>1206</v>
      </c>
      <c r="D36" s="713">
        <v>19.32</v>
      </c>
      <c r="E36" s="727">
        <f t="shared" ref="E36:E37" si="35">D36/3</f>
        <v>6.44</v>
      </c>
      <c r="F36" s="727">
        <f t="shared" ref="F36:F39" si="36">H36-D36</f>
        <v>3.864</v>
      </c>
      <c r="G36" s="835">
        <v>0.2</v>
      </c>
      <c r="H36" s="836">
        <f t="shared" ref="H36:H40" si="37">D36*1.2</f>
        <v>23.184</v>
      </c>
      <c r="I36" s="837">
        <f t="shared" ref="I36:I39" si="38">H36*1.22</f>
        <v>28.28448</v>
      </c>
      <c r="J36" s="709">
        <f t="shared" si="30"/>
        <v>31.112928</v>
      </c>
      <c r="K36" s="789">
        <f t="shared" ref="K36:K41" si="39">I36*1.14</f>
        <v>32.2443072</v>
      </c>
      <c r="M36" s="706">
        <v>16.2</v>
      </c>
      <c r="N36" s="673">
        <f t="shared" ref="N36:N39" si="40">M36*1.068</f>
        <v>17.3016</v>
      </c>
      <c r="O36" s="790">
        <f t="shared" ref="O36:O39" si="41">H36/3</f>
        <v>7.728</v>
      </c>
      <c r="Q36" s="526" t="s">
        <v>1207</v>
      </c>
      <c r="R36" s="710" t="s">
        <v>1208</v>
      </c>
      <c r="S36" s="791" t="s">
        <v>1209</v>
      </c>
      <c r="Y36" s="676">
        <v>7.33</v>
      </c>
      <c r="AA36" s="838">
        <v>17.04</v>
      </c>
    </row>
    <row r="37">
      <c r="A37" s="526" t="s">
        <v>964</v>
      </c>
      <c r="B37" s="678" t="s">
        <v>1210</v>
      </c>
      <c r="C37" s="793" t="s">
        <v>1211</v>
      </c>
      <c r="D37" s="713">
        <v>21.3</v>
      </c>
      <c r="E37" s="725">
        <f t="shared" si="35"/>
        <v>7.1</v>
      </c>
      <c r="F37" s="725">
        <f t="shared" si="36"/>
        <v>4.26</v>
      </c>
      <c r="G37" s="794">
        <v>0.2</v>
      </c>
      <c r="H37" s="795">
        <f t="shared" si="37"/>
        <v>25.56</v>
      </c>
      <c r="I37" s="796">
        <f t="shared" si="38"/>
        <v>31.1832</v>
      </c>
      <c r="J37" s="709">
        <f t="shared" si="30"/>
        <v>34.30152</v>
      </c>
      <c r="K37" s="789">
        <f t="shared" si="39"/>
        <v>35.548848</v>
      </c>
      <c r="M37" s="758">
        <v>17.61</v>
      </c>
      <c r="N37" s="673">
        <f t="shared" si="40"/>
        <v>18.80748</v>
      </c>
      <c r="O37" s="790">
        <f t="shared" si="41"/>
        <v>8.52</v>
      </c>
      <c r="R37" s="710" t="s">
        <v>1212</v>
      </c>
      <c r="Y37" s="676"/>
      <c r="AA37" s="797">
        <v>20.25</v>
      </c>
    </row>
    <row r="38">
      <c r="A38" s="526" t="s">
        <v>964</v>
      </c>
      <c r="B38" s="839" t="s">
        <v>1137</v>
      </c>
      <c r="C38" s="798" t="s">
        <v>1138</v>
      </c>
      <c r="D38" s="792">
        <v>25.0</v>
      </c>
      <c r="E38" s="799">
        <v>7.34</v>
      </c>
      <c r="F38" s="799">
        <f t="shared" si="36"/>
        <v>5</v>
      </c>
      <c r="G38" s="800">
        <v>0.2</v>
      </c>
      <c r="H38" s="801">
        <f t="shared" si="37"/>
        <v>30</v>
      </c>
      <c r="I38" s="802">
        <f t="shared" si="38"/>
        <v>36.6</v>
      </c>
      <c r="J38" s="709">
        <f t="shared" si="30"/>
        <v>40.26</v>
      </c>
      <c r="K38" s="803">
        <f t="shared" si="39"/>
        <v>41.724</v>
      </c>
      <c r="L38" s="804" t="s">
        <v>1196</v>
      </c>
      <c r="M38" s="805">
        <v>18.96</v>
      </c>
      <c r="N38" s="806">
        <f t="shared" si="40"/>
        <v>20.24928</v>
      </c>
      <c r="O38" s="807">
        <f t="shared" si="41"/>
        <v>10</v>
      </c>
      <c r="P38" s="808"/>
      <c r="Q38" s="808"/>
      <c r="R38" s="809" t="s">
        <v>1213</v>
      </c>
      <c r="S38" s="808"/>
      <c r="T38" s="808"/>
      <c r="U38" s="808"/>
      <c r="V38" s="808"/>
      <c r="W38" s="808"/>
      <c r="X38" s="808"/>
      <c r="Y38" s="676"/>
      <c r="Z38" s="808"/>
      <c r="AA38" s="797">
        <v>20.52</v>
      </c>
      <c r="AB38" s="808"/>
      <c r="AC38" s="808"/>
    </row>
    <row r="39">
      <c r="A39" s="526" t="s">
        <v>964</v>
      </c>
      <c r="B39" s="840" t="s">
        <v>1141</v>
      </c>
      <c r="C39" s="841" t="s">
        <v>1142</v>
      </c>
      <c r="D39" s="792">
        <f>AA39*1.05</f>
        <v>25.305</v>
      </c>
      <c r="E39" s="830">
        <v>8.02</v>
      </c>
      <c r="F39" s="830">
        <f t="shared" si="36"/>
        <v>5.061</v>
      </c>
      <c r="G39" s="831">
        <v>0.2</v>
      </c>
      <c r="H39" s="832">
        <f t="shared" si="37"/>
        <v>30.366</v>
      </c>
      <c r="I39" s="842">
        <f t="shared" si="38"/>
        <v>37.04652</v>
      </c>
      <c r="J39" s="709">
        <f t="shared" si="30"/>
        <v>40.751172</v>
      </c>
      <c r="K39" s="803">
        <f t="shared" si="39"/>
        <v>42.2330328</v>
      </c>
      <c r="L39" s="804" t="s">
        <v>1196</v>
      </c>
      <c r="M39" s="816">
        <v>20.37</v>
      </c>
      <c r="N39" s="806">
        <f t="shared" si="40"/>
        <v>21.75516</v>
      </c>
      <c r="O39" s="807">
        <f t="shared" si="41"/>
        <v>10.122</v>
      </c>
      <c r="P39" s="808"/>
      <c r="Q39" s="817"/>
      <c r="R39" s="809" t="s">
        <v>1214</v>
      </c>
      <c r="S39" s="808"/>
      <c r="T39" s="808"/>
      <c r="U39" s="808"/>
      <c r="V39" s="808"/>
      <c r="W39" s="808"/>
      <c r="X39" s="808"/>
      <c r="Y39" s="676"/>
      <c r="Z39" s="808"/>
      <c r="AA39" s="816">
        <v>24.1</v>
      </c>
      <c r="AB39" s="808"/>
      <c r="AC39" s="808"/>
    </row>
    <row r="40" ht="15.75" customHeight="1">
      <c r="A40" s="565" t="s">
        <v>964</v>
      </c>
      <c r="B40" s="678" t="s">
        <v>1215</v>
      </c>
      <c r="C40" s="793" t="s">
        <v>1216</v>
      </c>
      <c r="D40" s="713">
        <v>16.26</v>
      </c>
      <c r="E40" s="725">
        <f t="shared" ref="E40:E42" si="42">D40/3</f>
        <v>5.42</v>
      </c>
      <c r="F40" s="725">
        <f t="shared" ref="F40:F41" si="43">H39-D40</f>
        <v>14.106</v>
      </c>
      <c r="G40" s="794">
        <v>0.2</v>
      </c>
      <c r="H40" s="795">
        <f t="shared" si="37"/>
        <v>19.512</v>
      </c>
      <c r="I40" s="796">
        <f>H39*1.22</f>
        <v>37.04652</v>
      </c>
      <c r="J40" s="709">
        <f t="shared" si="30"/>
        <v>40.751172</v>
      </c>
      <c r="K40" s="789">
        <f t="shared" si="39"/>
        <v>42.2330328</v>
      </c>
      <c r="M40" s="777"/>
      <c r="N40" s="673"/>
      <c r="O40" s="790"/>
      <c r="Q40" s="526" t="s">
        <v>1217</v>
      </c>
      <c r="R40" s="710" t="s">
        <v>1218</v>
      </c>
      <c r="Y40" s="676"/>
      <c r="AA40" s="728">
        <v>15.9</v>
      </c>
    </row>
    <row r="41" ht="15.75" customHeight="1">
      <c r="A41" s="565" t="s">
        <v>964</v>
      </c>
      <c r="B41" s="678" t="s">
        <v>1219</v>
      </c>
      <c r="C41" s="793" t="s">
        <v>1220</v>
      </c>
      <c r="D41" s="713">
        <v>18.24</v>
      </c>
      <c r="E41" s="725">
        <f t="shared" si="42"/>
        <v>6.08</v>
      </c>
      <c r="F41" s="725">
        <f t="shared" si="43"/>
        <v>1.272</v>
      </c>
      <c r="G41" s="794">
        <v>0.2</v>
      </c>
      <c r="H41" s="795">
        <f>D42*1.2</f>
        <v>25.389</v>
      </c>
      <c r="I41" s="796">
        <f t="shared" ref="I41:I42" si="44">H41*1.22</f>
        <v>30.97458</v>
      </c>
      <c r="J41" s="709">
        <f t="shared" si="30"/>
        <v>34.072038</v>
      </c>
      <c r="K41" s="789">
        <f t="shared" si="39"/>
        <v>35.3110212</v>
      </c>
      <c r="M41" s="777"/>
      <c r="N41" s="673"/>
      <c r="O41" s="790"/>
      <c r="R41" s="710" t="s">
        <v>1221</v>
      </c>
      <c r="Y41" s="676"/>
      <c r="AA41" s="758">
        <v>18.1</v>
      </c>
    </row>
    <row r="42" ht="15.75" customHeight="1">
      <c r="A42" s="565" t="s">
        <v>964</v>
      </c>
      <c r="B42" s="716" t="s">
        <v>1222</v>
      </c>
      <c r="C42" s="843" t="s">
        <v>1223</v>
      </c>
      <c r="D42" s="792">
        <f>AA42*1.05</f>
        <v>21.1575</v>
      </c>
      <c r="E42" s="719">
        <f t="shared" si="42"/>
        <v>7.0525</v>
      </c>
      <c r="F42" s="719">
        <f>H42-D42</f>
        <v>4.2315</v>
      </c>
      <c r="G42" s="717">
        <v>0.2</v>
      </c>
      <c r="H42" s="844">
        <f>D42*1.2</f>
        <v>25.389</v>
      </c>
      <c r="I42" s="845">
        <f t="shared" si="44"/>
        <v>30.97458</v>
      </c>
      <c r="J42" s="709">
        <f t="shared" si="30"/>
        <v>34.072038</v>
      </c>
      <c r="K42" s="789"/>
      <c r="M42" s="758">
        <v>18.96</v>
      </c>
      <c r="N42" s="673">
        <f>M42*1.068</f>
        <v>20.24928</v>
      </c>
      <c r="O42" s="790">
        <f>H42/3</f>
        <v>8.463</v>
      </c>
      <c r="Q42" s="611"/>
      <c r="R42" s="710" t="s">
        <v>1224</v>
      </c>
      <c r="Y42" s="676"/>
      <c r="AA42" s="718">
        <v>20.15</v>
      </c>
    </row>
    <row r="43" ht="15.75" customHeight="1">
      <c r="A43" s="565" t="s">
        <v>964</v>
      </c>
      <c r="B43" s="846" t="s">
        <v>1225</v>
      </c>
      <c r="C43" s="847" t="s">
        <v>1226</v>
      </c>
      <c r="F43" s="565"/>
      <c r="G43" s="565"/>
      <c r="H43" s="565"/>
      <c r="I43" s="565"/>
      <c r="J43" s="565"/>
      <c r="K43" s="565"/>
      <c r="L43" s="565"/>
      <c r="M43" s="848"/>
      <c r="N43" s="849"/>
      <c r="O43" s="690"/>
      <c r="P43" s="565"/>
      <c r="Q43" s="565"/>
      <c r="R43" s="850"/>
      <c r="S43" s="565"/>
      <c r="T43" s="565"/>
      <c r="U43" s="565"/>
      <c r="V43" s="565"/>
      <c r="W43" s="565"/>
      <c r="X43" s="565"/>
      <c r="Y43" s="565"/>
      <c r="Z43" s="565"/>
      <c r="AA43" s="565"/>
      <c r="AB43" s="565"/>
      <c r="AC43" s="565"/>
    </row>
    <row r="44" ht="15.75" customHeight="1">
      <c r="B44" s="779"/>
      <c r="C44" s="778" t="s">
        <v>571</v>
      </c>
      <c r="M44" s="668"/>
      <c r="N44" s="673"/>
      <c r="O44" s="674"/>
      <c r="R44" s="675" t="s">
        <v>1227</v>
      </c>
      <c r="Y44" s="676"/>
    </row>
    <row r="45" ht="15.75" customHeight="1">
      <c r="A45" s="526" t="s">
        <v>964</v>
      </c>
      <c r="B45" s="711" t="s">
        <v>1228</v>
      </c>
      <c r="C45" s="785" t="s">
        <v>1229</v>
      </c>
      <c r="D45" s="713">
        <v>15.87</v>
      </c>
      <c r="E45" s="713">
        <f t="shared" ref="E45:E46" si="45">D45/3</f>
        <v>5.29</v>
      </c>
      <c r="F45" s="713">
        <f t="shared" ref="F45:F46" si="46">H45-D45</f>
        <v>3.174</v>
      </c>
      <c r="G45" s="786">
        <v>0.2</v>
      </c>
      <c r="H45" s="787">
        <f t="shared" ref="H45:H46" si="47">D45*1.2</f>
        <v>19.044</v>
      </c>
      <c r="I45" s="788">
        <f t="shared" ref="I45:I46" si="48">H45*1.22</f>
        <v>23.23368</v>
      </c>
      <c r="J45" s="709">
        <f t="shared" ref="J45:J46" si="49">I45*1.1</f>
        <v>25.557048</v>
      </c>
      <c r="K45" s="789">
        <f t="shared" ref="K45:K46" si="50">I45*1.14</f>
        <v>26.4863952</v>
      </c>
      <c r="M45" s="706">
        <v>14.22</v>
      </c>
      <c r="N45" s="673">
        <f t="shared" ref="N45:N46" si="51">M45*1.068</f>
        <v>15.18696</v>
      </c>
      <c r="O45" s="790">
        <f t="shared" ref="O45:O46" si="52">H45/3</f>
        <v>6.348</v>
      </c>
      <c r="Q45" s="526" t="s">
        <v>1230</v>
      </c>
      <c r="R45" s="710" t="s">
        <v>1231</v>
      </c>
      <c r="S45" s="650" t="s">
        <v>1232</v>
      </c>
      <c r="Y45" s="676">
        <v>5.93</v>
      </c>
      <c r="AA45" s="706">
        <v>15.45</v>
      </c>
    </row>
    <row r="46" ht="15.75" customHeight="1">
      <c r="A46" s="526" t="s">
        <v>964</v>
      </c>
      <c r="B46" s="716" t="s">
        <v>1233</v>
      </c>
      <c r="C46" s="851" t="s">
        <v>1234</v>
      </c>
      <c r="D46" s="713">
        <v>15.3</v>
      </c>
      <c r="E46" s="852">
        <f t="shared" si="45"/>
        <v>5.1</v>
      </c>
      <c r="F46" s="852">
        <f t="shared" si="46"/>
        <v>3.06</v>
      </c>
      <c r="G46" s="853">
        <v>0.2</v>
      </c>
      <c r="H46" s="854">
        <f t="shared" si="47"/>
        <v>18.36</v>
      </c>
      <c r="I46" s="855">
        <f t="shared" si="48"/>
        <v>22.3992</v>
      </c>
      <c r="J46" s="709">
        <f t="shared" si="49"/>
        <v>24.63912</v>
      </c>
      <c r="K46" s="789">
        <f t="shared" si="50"/>
        <v>25.535088</v>
      </c>
      <c r="M46" s="718">
        <v>13.83</v>
      </c>
      <c r="N46" s="673">
        <f t="shared" si="51"/>
        <v>14.77044</v>
      </c>
      <c r="O46" s="790">
        <f t="shared" si="52"/>
        <v>6.12</v>
      </c>
      <c r="Q46" s="526" t="s">
        <v>1235</v>
      </c>
      <c r="R46" s="710" t="s">
        <v>1236</v>
      </c>
      <c r="Y46" s="676"/>
      <c r="AA46" s="718">
        <v>15.1</v>
      </c>
    </row>
    <row r="47" ht="15.75" customHeight="1">
      <c r="B47" s="779"/>
      <c r="C47" s="856" t="s">
        <v>1237</v>
      </c>
      <c r="D47" s="669"/>
      <c r="E47" s="669"/>
      <c r="F47" s="668"/>
      <c r="G47" s="857"/>
      <c r="H47" s="858"/>
      <c r="I47" s="781"/>
      <c r="J47" s="709"/>
      <c r="K47" s="674"/>
      <c r="M47" s="668"/>
      <c r="N47" s="673"/>
      <c r="O47" s="674"/>
      <c r="R47" s="675" t="s">
        <v>1238</v>
      </c>
      <c r="Y47" s="676"/>
      <c r="AA47" s="668"/>
    </row>
    <row r="48" ht="15.75" customHeight="1">
      <c r="A48" s="808" t="s">
        <v>1158</v>
      </c>
      <c r="B48" s="859" t="s">
        <v>1239</v>
      </c>
      <c r="C48" s="785" t="s">
        <v>1240</v>
      </c>
      <c r="D48" s="713">
        <v>11.01</v>
      </c>
      <c r="E48" s="713">
        <f t="shared" ref="E48:E50" si="53">D48/3</f>
        <v>3.67</v>
      </c>
      <c r="F48" s="713">
        <f t="shared" ref="F48:F51" si="54">H48-D48</f>
        <v>2.202</v>
      </c>
      <c r="G48" s="786">
        <v>0.2</v>
      </c>
      <c r="H48" s="787">
        <f t="shared" ref="H48:H51" si="55">D48*1.2</f>
        <v>13.212</v>
      </c>
      <c r="I48" s="788">
        <f t="shared" ref="I48:I51" si="56">H48*1.22</f>
        <v>16.11864</v>
      </c>
      <c r="J48" s="709">
        <f>I48*1.1</f>
        <v>17.730504</v>
      </c>
      <c r="K48" s="803">
        <f t="shared" ref="K48:K51" si="57">I48*1.14</f>
        <v>18.3752496</v>
      </c>
      <c r="L48" s="860" t="s">
        <v>1196</v>
      </c>
      <c r="M48" s="861">
        <v>10.41</v>
      </c>
      <c r="N48" s="806">
        <f t="shared" ref="N48:N51" si="58">M48*1.068</f>
        <v>11.11788</v>
      </c>
      <c r="O48" s="807">
        <f t="shared" ref="O48:O51" si="59">H48/3</f>
        <v>4.404</v>
      </c>
      <c r="P48" s="808"/>
      <c r="Q48" s="808"/>
      <c r="R48" s="862" t="s">
        <v>1241</v>
      </c>
      <c r="S48" s="863" t="s">
        <v>1242</v>
      </c>
      <c r="T48" s="808"/>
      <c r="U48" s="808"/>
      <c r="V48" s="808"/>
      <c r="W48" s="808"/>
      <c r="X48" s="808"/>
      <c r="Y48" s="676"/>
      <c r="Z48" s="808"/>
      <c r="AA48" s="861">
        <v>10.15</v>
      </c>
      <c r="AB48" s="808"/>
      <c r="AC48" s="808"/>
    </row>
    <row r="49" ht="15.75" customHeight="1">
      <c r="A49" s="808" t="s">
        <v>1158</v>
      </c>
      <c r="B49" s="839" t="s">
        <v>1243</v>
      </c>
      <c r="C49" s="793" t="s">
        <v>1244</v>
      </c>
      <c r="D49" s="713">
        <v>12.96</v>
      </c>
      <c r="E49" s="725">
        <f t="shared" si="53"/>
        <v>4.32</v>
      </c>
      <c r="F49" s="725">
        <f t="shared" si="54"/>
        <v>2.592</v>
      </c>
      <c r="G49" s="794">
        <v>0.2</v>
      </c>
      <c r="H49" s="795">
        <f t="shared" si="55"/>
        <v>15.552</v>
      </c>
      <c r="I49" s="796">
        <f t="shared" si="56"/>
        <v>18.97344</v>
      </c>
      <c r="J49" s="709">
        <f>I49*1.15</f>
        <v>21.819456</v>
      </c>
      <c r="K49" s="803">
        <f t="shared" si="57"/>
        <v>21.6297216</v>
      </c>
      <c r="L49" s="860" t="s">
        <v>1196</v>
      </c>
      <c r="M49" s="805">
        <v>11.82</v>
      </c>
      <c r="N49" s="806">
        <f t="shared" si="58"/>
        <v>12.62376</v>
      </c>
      <c r="O49" s="807">
        <f t="shared" si="59"/>
        <v>5.184</v>
      </c>
      <c r="P49" s="808"/>
      <c r="Q49" s="808"/>
      <c r="R49" s="862" t="s">
        <v>1245</v>
      </c>
      <c r="S49" s="808"/>
      <c r="T49" s="808"/>
      <c r="U49" s="808"/>
      <c r="V49" s="808"/>
      <c r="W49" s="808"/>
      <c r="X49" s="808"/>
      <c r="Y49" s="676"/>
      <c r="Z49" s="808"/>
      <c r="AA49" s="797">
        <v>12.3</v>
      </c>
      <c r="AB49" s="808"/>
      <c r="AC49" s="808"/>
    </row>
    <row r="50" ht="15.75" customHeight="1">
      <c r="A50" s="808" t="s">
        <v>1158</v>
      </c>
      <c r="B50" s="839" t="s">
        <v>1246</v>
      </c>
      <c r="C50" s="793" t="s">
        <v>1247</v>
      </c>
      <c r="D50" s="713">
        <v>14.94</v>
      </c>
      <c r="E50" s="725">
        <f t="shared" si="53"/>
        <v>4.98</v>
      </c>
      <c r="F50" s="725">
        <f t="shared" si="54"/>
        <v>2.988</v>
      </c>
      <c r="G50" s="794">
        <v>0.2</v>
      </c>
      <c r="H50" s="795">
        <f t="shared" si="55"/>
        <v>17.928</v>
      </c>
      <c r="I50" s="796">
        <f t="shared" si="56"/>
        <v>21.87216</v>
      </c>
      <c r="J50" s="709">
        <f t="shared" ref="J50:J51" si="60">I50*1.1</f>
        <v>24.059376</v>
      </c>
      <c r="K50" s="803">
        <f t="shared" si="57"/>
        <v>24.9342624</v>
      </c>
      <c r="L50" s="860" t="s">
        <v>1196</v>
      </c>
      <c r="M50" s="805">
        <v>13.2</v>
      </c>
      <c r="N50" s="806">
        <f t="shared" si="58"/>
        <v>14.0976</v>
      </c>
      <c r="O50" s="807">
        <f t="shared" si="59"/>
        <v>5.976</v>
      </c>
      <c r="P50" s="808"/>
      <c r="Q50" s="808"/>
      <c r="R50" s="862" t="s">
        <v>1248</v>
      </c>
      <c r="S50" s="808"/>
      <c r="T50" s="808"/>
      <c r="U50" s="808"/>
      <c r="V50" s="808"/>
      <c r="W50" s="808"/>
      <c r="X50" s="808"/>
      <c r="Y50" s="676"/>
      <c r="Z50" s="808"/>
      <c r="AA50" s="797">
        <v>13.2</v>
      </c>
      <c r="AB50" s="808"/>
      <c r="AC50" s="808"/>
    </row>
    <row r="51" ht="15.75" customHeight="1">
      <c r="A51" s="808" t="s">
        <v>1158</v>
      </c>
      <c r="B51" s="840" t="s">
        <v>1145</v>
      </c>
      <c r="C51" s="864" t="s">
        <v>1146</v>
      </c>
      <c r="D51" s="792">
        <f>AA51*1.05</f>
        <v>15.2145</v>
      </c>
      <c r="E51" s="865">
        <v>5.21</v>
      </c>
      <c r="F51" s="865">
        <f t="shared" si="54"/>
        <v>3.0429</v>
      </c>
      <c r="G51" s="866">
        <v>0.2</v>
      </c>
      <c r="H51" s="867">
        <f t="shared" si="55"/>
        <v>18.2574</v>
      </c>
      <c r="I51" s="868">
        <f t="shared" si="56"/>
        <v>22.274028</v>
      </c>
      <c r="J51" s="709">
        <f t="shared" si="60"/>
        <v>24.5014308</v>
      </c>
      <c r="K51" s="803">
        <f t="shared" si="57"/>
        <v>25.39239192</v>
      </c>
      <c r="L51" s="804" t="s">
        <v>1196</v>
      </c>
      <c r="M51" s="816">
        <v>14.58</v>
      </c>
      <c r="N51" s="806">
        <f t="shared" si="58"/>
        <v>15.57144</v>
      </c>
      <c r="O51" s="807">
        <f t="shared" si="59"/>
        <v>6.0858</v>
      </c>
      <c r="P51" s="808"/>
      <c r="Q51" s="808"/>
      <c r="R51" s="809" t="s">
        <v>1249</v>
      </c>
      <c r="S51" s="808"/>
      <c r="T51" s="808"/>
      <c r="U51" s="808"/>
      <c r="V51" s="808"/>
      <c r="W51" s="808"/>
      <c r="X51" s="808"/>
      <c r="Y51" s="676"/>
      <c r="Z51" s="808"/>
      <c r="AA51" s="797">
        <v>14.49</v>
      </c>
      <c r="AB51" s="808"/>
      <c r="AC51" s="808"/>
    </row>
    <row r="52" ht="15.75" customHeight="1">
      <c r="B52" s="779"/>
      <c r="C52" s="856" t="s">
        <v>1250</v>
      </c>
      <c r="D52" s="669"/>
      <c r="E52" s="669"/>
      <c r="F52" s="668"/>
      <c r="G52" s="670"/>
      <c r="H52" s="858"/>
      <c r="I52" s="869"/>
      <c r="J52" s="709"/>
      <c r="K52" s="674"/>
      <c r="M52" s="668"/>
      <c r="N52" s="673"/>
      <c r="O52" s="674"/>
      <c r="R52" s="675" t="s">
        <v>1251</v>
      </c>
      <c r="Y52" s="676"/>
      <c r="AA52" s="668"/>
    </row>
    <row r="53" ht="15.75" customHeight="1">
      <c r="A53" s="808" t="s">
        <v>964</v>
      </c>
      <c r="B53" s="870" t="s">
        <v>1252</v>
      </c>
      <c r="C53" s="871" t="s">
        <v>1253</v>
      </c>
      <c r="D53" s="713">
        <v>18.69</v>
      </c>
      <c r="E53" s="872">
        <f t="shared" ref="E53:E55" si="61">D53/3</f>
        <v>6.23</v>
      </c>
      <c r="F53" s="872">
        <f t="shared" ref="F53:F55" si="62">H53-D53</f>
        <v>3.738</v>
      </c>
      <c r="G53" s="873">
        <v>0.2</v>
      </c>
      <c r="H53" s="874">
        <f>D53*1.2</f>
        <v>22.428</v>
      </c>
      <c r="I53" s="875">
        <f t="shared" ref="I53:I55" si="63">H53*1.22</f>
        <v>27.36216</v>
      </c>
      <c r="J53" s="709">
        <f t="shared" ref="J53:J54" si="64">I53*1.1</f>
        <v>30.098376</v>
      </c>
      <c r="K53" s="803">
        <f t="shared" ref="K53:K55" si="65">I53*1.14</f>
        <v>31.1928624</v>
      </c>
      <c r="L53" s="860" t="s">
        <v>1196</v>
      </c>
      <c r="M53" s="876">
        <v>16.34</v>
      </c>
      <c r="N53" s="806">
        <f t="shared" ref="N53:N55" si="66">M53*1.068</f>
        <v>17.45112</v>
      </c>
      <c r="O53" s="807">
        <f t="shared" ref="O53:O55" si="67">H53/3</f>
        <v>7.476</v>
      </c>
      <c r="P53" s="808"/>
      <c r="Q53" s="808" t="s">
        <v>1254</v>
      </c>
      <c r="R53" s="862" t="s">
        <v>1255</v>
      </c>
      <c r="S53" s="808"/>
      <c r="T53" s="808"/>
      <c r="U53" s="808"/>
      <c r="V53" s="808"/>
      <c r="W53" s="808"/>
      <c r="X53" s="808"/>
      <c r="Y53" s="676"/>
      <c r="Z53" s="808"/>
      <c r="AA53" s="876">
        <v>19.9</v>
      </c>
      <c r="AB53" s="808"/>
      <c r="AC53" s="808"/>
    </row>
    <row r="54" ht="15.75" customHeight="1">
      <c r="A54" s="808" t="s">
        <v>964</v>
      </c>
      <c r="B54" s="870" t="s">
        <v>1252</v>
      </c>
      <c r="C54" s="877" t="s">
        <v>1256</v>
      </c>
      <c r="D54" s="792">
        <f t="shared" ref="D54:D55" si="68">AA54*1.05</f>
        <v>8.946</v>
      </c>
      <c r="E54" s="878">
        <f t="shared" si="61"/>
        <v>2.982</v>
      </c>
      <c r="F54" s="878">
        <f t="shared" si="62"/>
        <v>3.454</v>
      </c>
      <c r="G54" s="879">
        <v>0.2</v>
      </c>
      <c r="H54" s="880">
        <v>12.4</v>
      </c>
      <c r="I54" s="881">
        <f t="shared" si="63"/>
        <v>15.128</v>
      </c>
      <c r="J54" s="709">
        <f t="shared" si="64"/>
        <v>16.6408</v>
      </c>
      <c r="K54" s="803">
        <f t="shared" si="65"/>
        <v>17.24592</v>
      </c>
      <c r="L54" s="860" t="s">
        <v>1196</v>
      </c>
      <c r="M54" s="876">
        <v>17.34</v>
      </c>
      <c r="N54" s="806">
        <f t="shared" si="66"/>
        <v>18.51912</v>
      </c>
      <c r="O54" s="807">
        <f t="shared" si="67"/>
        <v>4.133333333</v>
      </c>
      <c r="P54" s="808"/>
      <c r="Q54" s="808" t="s">
        <v>1257</v>
      </c>
      <c r="R54" s="862" t="s">
        <v>1258</v>
      </c>
      <c r="S54" s="808"/>
      <c r="T54" s="808"/>
      <c r="U54" s="808"/>
      <c r="V54" s="808"/>
      <c r="W54" s="808"/>
      <c r="X54" s="808"/>
      <c r="Y54" s="676"/>
      <c r="Z54" s="808"/>
      <c r="AA54" s="876">
        <v>8.52</v>
      </c>
      <c r="AB54" s="808"/>
      <c r="AC54" s="808"/>
    </row>
    <row r="55" ht="15.75" customHeight="1">
      <c r="A55" s="882"/>
      <c r="B55" s="883" t="s">
        <v>1252</v>
      </c>
      <c r="C55" s="884" t="s">
        <v>1259</v>
      </c>
      <c r="D55" s="792">
        <f t="shared" si="68"/>
        <v>0</v>
      </c>
      <c r="E55" s="885">
        <f t="shared" si="61"/>
        <v>0</v>
      </c>
      <c r="F55" s="886" t="str">
        <f t="shared" si="62"/>
        <v>#VALUE!</v>
      </c>
      <c r="G55" s="887">
        <v>0.2</v>
      </c>
      <c r="H55" s="888" t="s">
        <v>291</v>
      </c>
      <c r="I55" s="756" t="str">
        <f t="shared" si="63"/>
        <v>#VALUE!</v>
      </c>
      <c r="J55" s="709"/>
      <c r="K55" s="889" t="str">
        <f t="shared" si="65"/>
        <v>#VALUE!</v>
      </c>
      <c r="L55" s="890" t="s">
        <v>1196</v>
      </c>
      <c r="M55" s="886">
        <v>17.34</v>
      </c>
      <c r="N55" s="891">
        <f t="shared" si="66"/>
        <v>18.51912</v>
      </c>
      <c r="O55" s="892" t="str">
        <f t="shared" si="67"/>
        <v>#VALUE!</v>
      </c>
      <c r="P55" s="882"/>
      <c r="Q55" s="882" t="s">
        <v>1257</v>
      </c>
      <c r="R55" s="893" t="s">
        <v>1258</v>
      </c>
      <c r="S55" s="882"/>
      <c r="T55" s="882"/>
      <c r="U55" s="882"/>
      <c r="V55" s="882"/>
      <c r="W55" s="882"/>
      <c r="X55" s="882"/>
      <c r="Y55" s="882"/>
      <c r="Z55" s="882"/>
      <c r="AA55" s="886">
        <v>0.0</v>
      </c>
      <c r="AB55" s="882"/>
      <c r="AC55" s="882"/>
    </row>
    <row r="56" ht="15.75" customHeight="1">
      <c r="B56" s="779"/>
      <c r="C56" s="778" t="s">
        <v>1260</v>
      </c>
      <c r="D56" s="780"/>
      <c r="E56" s="780"/>
      <c r="F56" s="857"/>
      <c r="G56" s="857"/>
      <c r="H56" s="894"/>
      <c r="I56" s="781"/>
      <c r="J56" s="709"/>
      <c r="K56" s="674"/>
      <c r="M56" s="779"/>
      <c r="N56" s="673"/>
      <c r="O56" s="674"/>
      <c r="R56" s="675" t="s">
        <v>1261</v>
      </c>
      <c r="Y56" s="676"/>
      <c r="AA56" s="779"/>
    </row>
    <row r="57" ht="15.75" customHeight="1">
      <c r="A57" s="808" t="s">
        <v>964</v>
      </c>
      <c r="B57" s="859" t="s">
        <v>1262</v>
      </c>
      <c r="C57" s="785" t="s">
        <v>1263</v>
      </c>
      <c r="D57" s="713">
        <v>44.13</v>
      </c>
      <c r="E57" s="713">
        <f t="shared" ref="E57:E63" si="69">D57/3</f>
        <v>14.71</v>
      </c>
      <c r="F57" s="725">
        <f t="shared" ref="F57:F63" si="70">H57-D57</f>
        <v>8.826</v>
      </c>
      <c r="G57" s="786">
        <v>0.2</v>
      </c>
      <c r="H57" s="787">
        <f t="shared" ref="H57:H61" si="71">D57*1.2</f>
        <v>52.956</v>
      </c>
      <c r="I57" s="788">
        <f t="shared" ref="I57:I63" si="72">H57*1.22</f>
        <v>64.60632</v>
      </c>
      <c r="J57" s="709">
        <f t="shared" ref="J57:J63" si="73">I57*1.1</f>
        <v>71.066952</v>
      </c>
      <c r="K57" s="803">
        <f t="shared" ref="K57:K63" si="74">I57*1.14</f>
        <v>73.6512048</v>
      </c>
      <c r="L57" s="860" t="s">
        <v>1196</v>
      </c>
      <c r="M57" s="861">
        <v>34.89</v>
      </c>
      <c r="N57" s="806">
        <f t="shared" ref="N57:N63" si="75">M57*1.068</f>
        <v>37.26252</v>
      </c>
      <c r="O57" s="807">
        <f t="shared" ref="O57:O63" si="76">H57/3</f>
        <v>17.652</v>
      </c>
      <c r="P57" s="808"/>
      <c r="Q57" s="808"/>
      <c r="R57" s="862" t="s">
        <v>1264</v>
      </c>
      <c r="S57" s="895" t="s">
        <v>1265</v>
      </c>
      <c r="T57" s="808"/>
      <c r="U57" s="808"/>
      <c r="V57" s="808"/>
      <c r="W57" s="808"/>
      <c r="X57" s="808"/>
      <c r="Y57" s="676"/>
      <c r="Z57" s="808"/>
      <c r="AA57" s="826">
        <v>38.91</v>
      </c>
      <c r="AB57" s="808"/>
      <c r="AC57" s="808"/>
    </row>
    <row r="58" ht="15.75" customHeight="1">
      <c r="A58" s="808" t="s">
        <v>964</v>
      </c>
      <c r="B58" s="839" t="s">
        <v>1266</v>
      </c>
      <c r="C58" s="793" t="s">
        <v>1267</v>
      </c>
      <c r="D58" s="713">
        <v>48.33</v>
      </c>
      <c r="E58" s="725">
        <f t="shared" si="69"/>
        <v>16.11</v>
      </c>
      <c r="F58" s="725">
        <f t="shared" si="70"/>
        <v>9.666</v>
      </c>
      <c r="G58" s="794">
        <v>0.2</v>
      </c>
      <c r="H58" s="795">
        <f t="shared" si="71"/>
        <v>57.996</v>
      </c>
      <c r="I58" s="796">
        <f t="shared" si="72"/>
        <v>70.75512</v>
      </c>
      <c r="J58" s="709">
        <f t="shared" si="73"/>
        <v>77.830632</v>
      </c>
      <c r="K58" s="803">
        <f t="shared" si="74"/>
        <v>80.6608368</v>
      </c>
      <c r="L58" s="860" t="s">
        <v>1196</v>
      </c>
      <c r="M58" s="805">
        <v>38.16</v>
      </c>
      <c r="N58" s="806">
        <f t="shared" si="75"/>
        <v>40.75488</v>
      </c>
      <c r="O58" s="807">
        <f t="shared" si="76"/>
        <v>19.332</v>
      </c>
      <c r="P58" s="808"/>
      <c r="Q58" s="808"/>
      <c r="R58" s="862" t="s">
        <v>1268</v>
      </c>
      <c r="S58" s="808"/>
      <c r="T58" s="808"/>
      <c r="U58" s="808"/>
      <c r="V58" s="808"/>
      <c r="W58" s="808"/>
      <c r="X58" s="808"/>
      <c r="Y58" s="676"/>
      <c r="Z58" s="808"/>
      <c r="AA58" s="797">
        <v>42.63</v>
      </c>
      <c r="AB58" s="808"/>
      <c r="AC58" s="808"/>
    </row>
    <row r="59" ht="15.75" customHeight="1">
      <c r="A59" s="808" t="s">
        <v>964</v>
      </c>
      <c r="B59" s="896" t="s">
        <v>1269</v>
      </c>
      <c r="C59" s="798" t="s">
        <v>1270</v>
      </c>
      <c r="D59" s="792">
        <f t="shared" ref="D59:D60" si="77">AA59*1.05</f>
        <v>48.636</v>
      </c>
      <c r="E59" s="799">
        <f t="shared" si="69"/>
        <v>16.212</v>
      </c>
      <c r="F59" s="799">
        <f t="shared" si="70"/>
        <v>9.7272</v>
      </c>
      <c r="G59" s="800">
        <v>0.2</v>
      </c>
      <c r="H59" s="801">
        <f t="shared" si="71"/>
        <v>58.3632</v>
      </c>
      <c r="I59" s="802">
        <f t="shared" si="72"/>
        <v>71.203104</v>
      </c>
      <c r="J59" s="709">
        <f t="shared" si="73"/>
        <v>78.3234144</v>
      </c>
      <c r="K59" s="897">
        <f t="shared" si="74"/>
        <v>81.17153856</v>
      </c>
      <c r="L59" s="898" t="s">
        <v>1196</v>
      </c>
      <c r="M59" s="899">
        <v>41.37</v>
      </c>
      <c r="N59" s="900">
        <f t="shared" si="75"/>
        <v>44.18316</v>
      </c>
      <c r="O59" s="901">
        <f t="shared" si="76"/>
        <v>19.4544</v>
      </c>
      <c r="P59" s="902"/>
      <c r="Q59" s="902"/>
      <c r="R59" s="903" t="s">
        <v>1271</v>
      </c>
      <c r="S59" s="902"/>
      <c r="T59" s="902"/>
      <c r="U59" s="902"/>
      <c r="V59" s="902"/>
      <c r="W59" s="902"/>
      <c r="X59" s="902"/>
      <c r="Y59" s="902"/>
      <c r="Z59" s="902"/>
      <c r="AA59" s="797">
        <v>46.32</v>
      </c>
      <c r="AB59" s="902"/>
      <c r="AC59" s="902"/>
    </row>
    <row r="60" ht="15.75" customHeight="1">
      <c r="A60" s="808" t="s">
        <v>964</v>
      </c>
      <c r="B60" s="896" t="s">
        <v>1272</v>
      </c>
      <c r="C60" s="904" t="s">
        <v>1273</v>
      </c>
      <c r="D60" s="792">
        <f t="shared" si="77"/>
        <v>63.7245</v>
      </c>
      <c r="E60" s="905">
        <f t="shared" si="69"/>
        <v>21.2415</v>
      </c>
      <c r="F60" s="905">
        <f t="shared" si="70"/>
        <v>12.7449</v>
      </c>
      <c r="G60" s="906">
        <v>0.2</v>
      </c>
      <c r="H60" s="907">
        <f t="shared" si="71"/>
        <v>76.4694</v>
      </c>
      <c r="I60" s="908">
        <f t="shared" si="72"/>
        <v>93.292668</v>
      </c>
      <c r="J60" s="709">
        <f t="shared" si="73"/>
        <v>102.6219348</v>
      </c>
      <c r="K60" s="897">
        <f t="shared" si="74"/>
        <v>106.3536415</v>
      </c>
      <c r="L60" s="898" t="s">
        <v>1196</v>
      </c>
      <c r="M60" s="899">
        <v>44.64</v>
      </c>
      <c r="N60" s="900">
        <f t="shared" si="75"/>
        <v>47.67552</v>
      </c>
      <c r="O60" s="901">
        <f t="shared" si="76"/>
        <v>25.4898</v>
      </c>
      <c r="P60" s="902"/>
      <c r="Q60" s="909"/>
      <c r="R60" s="903" t="s">
        <v>1274</v>
      </c>
      <c r="S60" s="902"/>
      <c r="T60" s="902"/>
      <c r="U60" s="902"/>
      <c r="V60" s="902"/>
      <c r="W60" s="902"/>
      <c r="X60" s="902"/>
      <c r="Y60" s="902"/>
      <c r="Z60" s="902"/>
      <c r="AA60" s="910">
        <v>60.69</v>
      </c>
      <c r="AB60" s="902"/>
      <c r="AC60" s="902"/>
    </row>
    <row r="61" ht="15.75" customHeight="1">
      <c r="A61" s="808" t="s">
        <v>964</v>
      </c>
      <c r="B61" s="839" t="s">
        <v>1275</v>
      </c>
      <c r="C61" s="793" t="s">
        <v>1276</v>
      </c>
      <c r="D61" s="713">
        <v>9.96</v>
      </c>
      <c r="E61" s="725">
        <f t="shared" si="69"/>
        <v>3.32</v>
      </c>
      <c r="F61" s="725">
        <f t="shared" si="70"/>
        <v>1.992</v>
      </c>
      <c r="G61" s="794">
        <v>0.2</v>
      </c>
      <c r="H61" s="795">
        <f t="shared" si="71"/>
        <v>11.952</v>
      </c>
      <c r="I61" s="796">
        <f t="shared" si="72"/>
        <v>14.58144</v>
      </c>
      <c r="J61" s="709">
        <f t="shared" si="73"/>
        <v>16.039584</v>
      </c>
      <c r="K61" s="803">
        <f t="shared" si="74"/>
        <v>16.6228416</v>
      </c>
      <c r="L61" s="860" t="s">
        <v>1196</v>
      </c>
      <c r="M61" s="805">
        <v>12.93</v>
      </c>
      <c r="N61" s="806">
        <f t="shared" si="75"/>
        <v>13.80924</v>
      </c>
      <c r="O61" s="807">
        <f t="shared" si="76"/>
        <v>3.984</v>
      </c>
      <c r="P61" s="808"/>
      <c r="Q61" s="817" t="s">
        <v>1277</v>
      </c>
      <c r="R61" s="862" t="s">
        <v>1278</v>
      </c>
      <c r="S61" s="808"/>
      <c r="T61" s="808"/>
      <c r="U61" s="808"/>
      <c r="V61" s="808"/>
      <c r="W61" s="808"/>
      <c r="X61" s="808"/>
      <c r="Y61" s="676"/>
      <c r="Z61" s="808"/>
      <c r="AA61" s="805">
        <v>9.03</v>
      </c>
      <c r="AB61" s="808"/>
      <c r="AC61" s="808"/>
    </row>
    <row r="62" ht="15.75" customHeight="1">
      <c r="A62" s="808" t="s">
        <v>964</v>
      </c>
      <c r="B62" s="840" t="s">
        <v>1279</v>
      </c>
      <c r="C62" s="851" t="s">
        <v>1280</v>
      </c>
      <c r="D62" s="713">
        <v>20.85</v>
      </c>
      <c r="E62" s="852">
        <f t="shared" si="69"/>
        <v>6.95</v>
      </c>
      <c r="F62" s="852">
        <f t="shared" si="70"/>
        <v>7.95</v>
      </c>
      <c r="G62" s="853">
        <f>H62/D62</f>
        <v>1.381294964</v>
      </c>
      <c r="H62" s="854">
        <v>28.8</v>
      </c>
      <c r="I62" s="855">
        <f t="shared" si="72"/>
        <v>35.136</v>
      </c>
      <c r="J62" s="709">
        <f t="shared" si="73"/>
        <v>38.6496</v>
      </c>
      <c r="K62" s="803">
        <f t="shared" si="74"/>
        <v>40.05504</v>
      </c>
      <c r="L62" s="860" t="s">
        <v>1196</v>
      </c>
      <c r="M62" s="816">
        <v>23.0</v>
      </c>
      <c r="N62" s="806">
        <f t="shared" si="75"/>
        <v>24.564</v>
      </c>
      <c r="O62" s="807">
        <f t="shared" si="76"/>
        <v>9.6</v>
      </c>
      <c r="P62" s="808"/>
      <c r="Q62" s="808" t="s">
        <v>1280</v>
      </c>
      <c r="R62" s="911"/>
      <c r="S62" s="808"/>
      <c r="T62" s="808"/>
      <c r="U62" s="808"/>
      <c r="V62" s="808"/>
      <c r="W62" s="808"/>
      <c r="X62" s="808"/>
      <c r="Y62" s="676"/>
      <c r="Z62" s="808"/>
      <c r="AA62" s="816">
        <v>18.69</v>
      </c>
      <c r="AB62" s="808"/>
      <c r="AC62" s="808"/>
    </row>
    <row r="63" ht="15.75" customHeight="1">
      <c r="A63" s="808" t="s">
        <v>964</v>
      </c>
      <c r="B63" s="839" t="s">
        <v>1281</v>
      </c>
      <c r="C63" s="798" t="s">
        <v>1282</v>
      </c>
      <c r="D63" s="792">
        <f>AA63*1.05</f>
        <v>14.7</v>
      </c>
      <c r="E63" s="799">
        <f t="shared" si="69"/>
        <v>4.9</v>
      </c>
      <c r="F63" s="799">
        <f t="shared" si="70"/>
        <v>3.234</v>
      </c>
      <c r="G63" s="800">
        <v>0.2</v>
      </c>
      <c r="H63" s="801">
        <f>D63*1.22</f>
        <v>17.934</v>
      </c>
      <c r="I63" s="802">
        <f t="shared" si="72"/>
        <v>21.87948</v>
      </c>
      <c r="J63" s="709">
        <f t="shared" si="73"/>
        <v>24.067428</v>
      </c>
      <c r="K63" s="803">
        <f t="shared" si="74"/>
        <v>24.9426072</v>
      </c>
      <c r="L63" s="860" t="s">
        <v>1196</v>
      </c>
      <c r="M63" s="805">
        <v>38.16</v>
      </c>
      <c r="N63" s="806">
        <f t="shared" si="75"/>
        <v>40.75488</v>
      </c>
      <c r="O63" s="807">
        <f t="shared" si="76"/>
        <v>5.978</v>
      </c>
      <c r="P63" s="808"/>
      <c r="Q63" s="808"/>
      <c r="R63" s="862" t="s">
        <v>1268</v>
      </c>
      <c r="S63" s="808"/>
      <c r="T63" s="808"/>
      <c r="U63" s="808"/>
      <c r="V63" s="808"/>
      <c r="W63" s="808"/>
      <c r="X63" s="808"/>
      <c r="Y63" s="676"/>
      <c r="Z63" s="808"/>
      <c r="AA63" s="797">
        <v>14.0</v>
      </c>
      <c r="AB63" s="808"/>
      <c r="AC63" s="808"/>
    </row>
    <row r="64" ht="15.75" customHeight="1">
      <c r="B64" s="779"/>
      <c r="C64" s="778" t="s">
        <v>1283</v>
      </c>
      <c r="D64" s="669"/>
      <c r="E64" s="781"/>
      <c r="F64" s="781"/>
      <c r="G64" s="781"/>
      <c r="H64" s="781"/>
      <c r="I64" s="781"/>
      <c r="J64" s="709"/>
      <c r="K64" s="674"/>
      <c r="M64" s="779"/>
      <c r="N64" s="673"/>
      <c r="O64" s="674"/>
      <c r="R64" s="675" t="s">
        <v>1284</v>
      </c>
      <c r="Y64" s="676"/>
      <c r="AA64" s="779"/>
    </row>
    <row r="65" ht="15.75" customHeight="1">
      <c r="A65" s="808" t="s">
        <v>964</v>
      </c>
      <c r="B65" s="859" t="s">
        <v>1285</v>
      </c>
      <c r="C65" s="912" t="s">
        <v>1286</v>
      </c>
      <c r="D65" s="792">
        <f t="shared" ref="D65:D67" si="78">AA65*1.05</f>
        <v>12.348</v>
      </c>
      <c r="E65" s="792">
        <f t="shared" ref="E65:E66" si="79">D65/3</f>
        <v>4.116</v>
      </c>
      <c r="F65" s="792">
        <f t="shared" ref="F65:F72" si="80">H65-D65</f>
        <v>2.4696</v>
      </c>
      <c r="G65" s="821">
        <v>0.2</v>
      </c>
      <c r="H65" s="822">
        <f t="shared" ref="H65:H72" si="81">D65*1.2</f>
        <v>14.8176</v>
      </c>
      <c r="I65" s="823">
        <f t="shared" ref="I65:I72" si="82">H65*1.22</f>
        <v>18.077472</v>
      </c>
      <c r="J65" s="709">
        <f t="shared" ref="J65:J72" si="83">I65*1.1</f>
        <v>19.8852192</v>
      </c>
      <c r="K65" s="803">
        <f t="shared" ref="K65:K72" si="84">I65*1.14</f>
        <v>20.60831808</v>
      </c>
      <c r="L65" s="860" t="s">
        <v>1196</v>
      </c>
      <c r="M65" s="861">
        <v>12.06</v>
      </c>
      <c r="N65" s="806">
        <f t="shared" ref="N65:N72" si="85">M65*1.068</f>
        <v>12.88008</v>
      </c>
      <c r="O65" s="807">
        <f t="shared" ref="O65:O70" si="86">H65/3</f>
        <v>4.9392</v>
      </c>
      <c r="P65" s="808"/>
      <c r="Q65" s="808"/>
      <c r="R65" s="862" t="s">
        <v>1287</v>
      </c>
      <c r="S65" s="913" t="s">
        <v>1288</v>
      </c>
      <c r="T65" s="808"/>
      <c r="U65" s="808"/>
      <c r="V65" s="808"/>
      <c r="W65" s="808"/>
      <c r="X65" s="808"/>
      <c r="Y65" s="676"/>
      <c r="Z65" s="808"/>
      <c r="AA65" s="826">
        <v>11.76</v>
      </c>
      <c r="AB65" s="808"/>
      <c r="AC65" s="808"/>
    </row>
    <row r="66" ht="15.75" customHeight="1">
      <c r="A66" s="808" t="s">
        <v>964</v>
      </c>
      <c r="B66" s="859" t="s">
        <v>1289</v>
      </c>
      <c r="C66" s="798" t="s">
        <v>1290</v>
      </c>
      <c r="D66" s="792">
        <f t="shared" si="78"/>
        <v>14.175</v>
      </c>
      <c r="E66" s="792">
        <f t="shared" si="79"/>
        <v>4.725</v>
      </c>
      <c r="F66" s="799">
        <f t="shared" si="80"/>
        <v>2.835</v>
      </c>
      <c r="G66" s="800">
        <v>0.2</v>
      </c>
      <c r="H66" s="801">
        <f t="shared" si="81"/>
        <v>17.01</v>
      </c>
      <c r="I66" s="802">
        <f t="shared" si="82"/>
        <v>20.7522</v>
      </c>
      <c r="J66" s="709">
        <f t="shared" si="83"/>
        <v>22.82742</v>
      </c>
      <c r="K66" s="803">
        <f t="shared" si="84"/>
        <v>23.657508</v>
      </c>
      <c r="L66" s="860" t="s">
        <v>1196</v>
      </c>
      <c r="M66" s="805">
        <v>14.01</v>
      </c>
      <c r="N66" s="806">
        <f t="shared" si="85"/>
        <v>14.96268</v>
      </c>
      <c r="O66" s="807">
        <f t="shared" si="86"/>
        <v>5.67</v>
      </c>
      <c r="P66" s="808"/>
      <c r="Q66" s="808"/>
      <c r="R66" s="862" t="s">
        <v>1291</v>
      </c>
      <c r="S66" s="808"/>
      <c r="T66" s="808"/>
      <c r="U66" s="808"/>
      <c r="V66" s="808"/>
      <c r="W66" s="808"/>
      <c r="X66" s="808"/>
      <c r="Y66" s="676"/>
      <c r="Z66" s="808"/>
      <c r="AA66" s="797">
        <v>13.5</v>
      </c>
      <c r="AB66" s="808"/>
      <c r="AC66" s="808"/>
    </row>
    <row r="67" ht="15.75" customHeight="1">
      <c r="A67" s="808" t="s">
        <v>964</v>
      </c>
      <c r="B67" s="859" t="s">
        <v>1292</v>
      </c>
      <c r="C67" s="798" t="s">
        <v>1150</v>
      </c>
      <c r="D67" s="792">
        <f t="shared" si="78"/>
        <v>16.0335</v>
      </c>
      <c r="E67" s="914">
        <v>5.33</v>
      </c>
      <c r="F67" s="914">
        <f t="shared" si="80"/>
        <v>3.2067</v>
      </c>
      <c r="G67" s="915">
        <v>0.2</v>
      </c>
      <c r="H67" s="801">
        <f t="shared" si="81"/>
        <v>19.2402</v>
      </c>
      <c r="I67" s="916">
        <f t="shared" si="82"/>
        <v>23.473044</v>
      </c>
      <c r="J67" s="709">
        <f t="shared" si="83"/>
        <v>25.8203484</v>
      </c>
      <c r="K67" s="803">
        <f t="shared" si="84"/>
        <v>26.75927016</v>
      </c>
      <c r="L67" s="804" t="s">
        <v>1196</v>
      </c>
      <c r="M67" s="818">
        <v>14.82</v>
      </c>
      <c r="N67" s="806">
        <f t="shared" si="85"/>
        <v>15.82776</v>
      </c>
      <c r="O67" s="807">
        <f t="shared" si="86"/>
        <v>6.4134</v>
      </c>
      <c r="P67" s="808"/>
      <c r="Q67" s="808"/>
      <c r="R67" s="809" t="s">
        <v>1293</v>
      </c>
      <c r="S67" s="808"/>
      <c r="T67" s="808"/>
      <c r="U67" s="808"/>
      <c r="V67" s="808"/>
      <c r="W67" s="808"/>
      <c r="X67" s="808"/>
      <c r="Y67" s="676"/>
      <c r="Z67" s="808"/>
      <c r="AA67" s="917">
        <v>15.27</v>
      </c>
      <c r="AB67" s="808"/>
      <c r="AC67" s="808"/>
    </row>
    <row r="68" ht="15.75" customHeight="1">
      <c r="A68" s="808" t="s">
        <v>964</v>
      </c>
      <c r="B68" s="839" t="s">
        <v>1294</v>
      </c>
      <c r="C68" s="834" t="s">
        <v>1295</v>
      </c>
      <c r="D68" s="713">
        <v>8.97</v>
      </c>
      <c r="E68" s="725">
        <f t="shared" ref="E68:E72" si="87">D68/3</f>
        <v>2.99</v>
      </c>
      <c r="F68" s="725">
        <f t="shared" si="80"/>
        <v>1.794</v>
      </c>
      <c r="G68" s="794">
        <v>0.2</v>
      </c>
      <c r="H68" s="836">
        <f t="shared" si="81"/>
        <v>10.764</v>
      </c>
      <c r="I68" s="918">
        <f t="shared" si="82"/>
        <v>13.13208</v>
      </c>
      <c r="J68" s="709">
        <f t="shared" si="83"/>
        <v>14.445288</v>
      </c>
      <c r="K68" s="803">
        <f t="shared" si="84"/>
        <v>14.9705712</v>
      </c>
      <c r="L68" s="860" t="s">
        <v>1196</v>
      </c>
      <c r="M68" s="805">
        <v>9.0</v>
      </c>
      <c r="N68" s="806">
        <f t="shared" si="85"/>
        <v>9.612</v>
      </c>
      <c r="O68" s="807">
        <f t="shared" si="86"/>
        <v>3.588</v>
      </c>
      <c r="P68" s="808"/>
      <c r="Q68" s="919" t="s">
        <v>1296</v>
      </c>
      <c r="R68" s="862" t="s">
        <v>1297</v>
      </c>
      <c r="S68" s="913" t="s">
        <v>1298</v>
      </c>
      <c r="T68" s="808"/>
      <c r="U68" s="808"/>
      <c r="V68" s="808"/>
      <c r="W68" s="808"/>
      <c r="X68" s="808"/>
      <c r="Y68" s="676"/>
      <c r="Z68" s="808"/>
      <c r="AA68" s="797">
        <v>7.89</v>
      </c>
      <c r="AB68" s="808"/>
      <c r="AC68" s="808"/>
    </row>
    <row r="69" ht="15.75" customHeight="1">
      <c r="A69" s="808" t="s">
        <v>964</v>
      </c>
      <c r="B69" s="839" t="s">
        <v>1299</v>
      </c>
      <c r="C69" s="793" t="s">
        <v>291</v>
      </c>
      <c r="D69" s="713">
        <v>8.97</v>
      </c>
      <c r="E69" s="725">
        <f t="shared" si="87"/>
        <v>2.99</v>
      </c>
      <c r="F69" s="725">
        <f t="shared" si="80"/>
        <v>1.794</v>
      </c>
      <c r="G69" s="794">
        <v>0.2</v>
      </c>
      <c r="H69" s="795">
        <f t="shared" si="81"/>
        <v>10.764</v>
      </c>
      <c r="I69" s="796">
        <f t="shared" si="82"/>
        <v>13.13208</v>
      </c>
      <c r="J69" s="709">
        <f t="shared" si="83"/>
        <v>14.445288</v>
      </c>
      <c r="K69" s="803">
        <f t="shared" si="84"/>
        <v>14.9705712</v>
      </c>
      <c r="L69" s="860" t="s">
        <v>1196</v>
      </c>
      <c r="M69" s="805">
        <v>9.0</v>
      </c>
      <c r="N69" s="806">
        <f t="shared" si="85"/>
        <v>9.612</v>
      </c>
      <c r="O69" s="807">
        <f t="shared" si="86"/>
        <v>3.588</v>
      </c>
      <c r="P69" s="808"/>
      <c r="Q69" s="808" t="s">
        <v>1300</v>
      </c>
      <c r="R69" s="862" t="s">
        <v>1301</v>
      </c>
      <c r="S69" s="808"/>
      <c r="T69" s="808"/>
      <c r="U69" s="808"/>
      <c r="V69" s="808"/>
      <c r="W69" s="808"/>
      <c r="X69" s="808"/>
      <c r="Y69" s="676"/>
      <c r="Z69" s="808"/>
      <c r="AA69" s="797">
        <v>7.89</v>
      </c>
      <c r="AB69" s="808"/>
      <c r="AC69" s="808"/>
    </row>
    <row r="70" ht="15.75" customHeight="1">
      <c r="A70" s="920" t="s">
        <v>964</v>
      </c>
      <c r="B70" s="921" t="s">
        <v>1153</v>
      </c>
      <c r="C70" s="922" t="s">
        <v>1154</v>
      </c>
      <c r="D70" s="792">
        <f>AA70*1.05</f>
        <v>10.731</v>
      </c>
      <c r="E70" s="923">
        <f t="shared" si="87"/>
        <v>3.577</v>
      </c>
      <c r="F70" s="923">
        <f t="shared" si="80"/>
        <v>2.1462</v>
      </c>
      <c r="G70" s="924">
        <v>0.2</v>
      </c>
      <c r="H70" s="925">
        <f t="shared" si="81"/>
        <v>12.8772</v>
      </c>
      <c r="I70" s="926">
        <f t="shared" si="82"/>
        <v>15.710184</v>
      </c>
      <c r="J70" s="709">
        <f t="shared" si="83"/>
        <v>17.2812024</v>
      </c>
      <c r="K70" s="927">
        <f t="shared" si="84"/>
        <v>17.90960976</v>
      </c>
      <c r="L70" s="860" t="s">
        <v>1196</v>
      </c>
      <c r="M70" s="928">
        <v>9.57</v>
      </c>
      <c r="N70" s="929">
        <f t="shared" si="85"/>
        <v>10.22076</v>
      </c>
      <c r="O70" s="925">
        <f t="shared" si="86"/>
        <v>4.2924</v>
      </c>
      <c r="P70" s="920"/>
      <c r="Q70" s="930" t="s">
        <v>1302</v>
      </c>
      <c r="R70" s="862" t="s">
        <v>1303</v>
      </c>
      <c r="S70" s="920"/>
      <c r="T70" s="920"/>
      <c r="U70" s="920"/>
      <c r="V70" s="920"/>
      <c r="W70" s="920"/>
      <c r="X70" s="920"/>
      <c r="Y70" s="746"/>
      <c r="Z70" s="920"/>
      <c r="AA70" s="928">
        <v>10.22</v>
      </c>
      <c r="AB70" s="920"/>
      <c r="AC70" s="920"/>
    </row>
    <row r="71" ht="15.75" customHeight="1">
      <c r="A71" s="808" t="s">
        <v>964</v>
      </c>
      <c r="B71" s="931" t="s">
        <v>1304</v>
      </c>
      <c r="C71" s="932" t="s">
        <v>1305</v>
      </c>
      <c r="D71" s="713">
        <v>31.8</v>
      </c>
      <c r="E71" s="852">
        <f t="shared" si="87"/>
        <v>10.6</v>
      </c>
      <c r="F71" s="852">
        <f t="shared" si="80"/>
        <v>6.36</v>
      </c>
      <c r="G71" s="853">
        <v>0.2</v>
      </c>
      <c r="H71" s="854">
        <f t="shared" si="81"/>
        <v>38.16</v>
      </c>
      <c r="I71" s="933">
        <f t="shared" si="82"/>
        <v>46.5552</v>
      </c>
      <c r="J71" s="709">
        <f t="shared" si="83"/>
        <v>51.21072</v>
      </c>
      <c r="K71" s="803">
        <f t="shared" si="84"/>
        <v>53.072928</v>
      </c>
      <c r="L71" s="860" t="s">
        <v>1196</v>
      </c>
      <c r="M71" s="934">
        <v>34.5</v>
      </c>
      <c r="N71" s="806">
        <f t="shared" si="85"/>
        <v>36.846</v>
      </c>
      <c r="O71" s="807">
        <f t="shared" ref="O71:O72" si="88">H71/5.75</f>
        <v>6.636521739</v>
      </c>
      <c r="P71" s="808" t="s">
        <v>1306</v>
      </c>
      <c r="Q71" s="919" t="s">
        <v>1307</v>
      </c>
      <c r="R71" s="862" t="s">
        <v>1308</v>
      </c>
      <c r="S71" s="808"/>
      <c r="T71" s="808"/>
      <c r="U71" s="808"/>
      <c r="V71" s="808"/>
      <c r="W71" s="808"/>
      <c r="X71" s="808"/>
      <c r="Y71" s="676"/>
      <c r="Z71" s="808"/>
      <c r="AA71" s="935">
        <v>32.5</v>
      </c>
      <c r="AB71" s="808"/>
      <c r="AC71" s="808"/>
    </row>
    <row r="72" ht="15.75" customHeight="1">
      <c r="A72" s="808" t="s">
        <v>964</v>
      </c>
      <c r="B72" s="931" t="s">
        <v>1304</v>
      </c>
      <c r="C72" s="932" t="s">
        <v>1309</v>
      </c>
      <c r="D72" s="713">
        <v>55.76</v>
      </c>
      <c r="E72" s="852">
        <f t="shared" si="87"/>
        <v>18.58666667</v>
      </c>
      <c r="F72" s="852">
        <f t="shared" si="80"/>
        <v>11.152</v>
      </c>
      <c r="G72" s="853">
        <v>0.2</v>
      </c>
      <c r="H72" s="854">
        <f t="shared" si="81"/>
        <v>66.912</v>
      </c>
      <c r="I72" s="933">
        <f t="shared" si="82"/>
        <v>81.63264</v>
      </c>
      <c r="J72" s="709">
        <f t="shared" si="83"/>
        <v>89.795904</v>
      </c>
      <c r="K72" s="803">
        <f t="shared" si="84"/>
        <v>93.0612096</v>
      </c>
      <c r="L72" s="860" t="s">
        <v>1196</v>
      </c>
      <c r="M72" s="934">
        <v>34.5</v>
      </c>
      <c r="N72" s="806">
        <f t="shared" si="85"/>
        <v>36.846</v>
      </c>
      <c r="O72" s="807">
        <f t="shared" si="88"/>
        <v>11.63686957</v>
      </c>
      <c r="P72" s="808" t="s">
        <v>1306</v>
      </c>
      <c r="Q72" s="919" t="s">
        <v>1307</v>
      </c>
      <c r="R72" s="862" t="s">
        <v>1308</v>
      </c>
      <c r="S72" s="808"/>
      <c r="T72" s="808"/>
      <c r="U72" s="808"/>
      <c r="V72" s="808"/>
      <c r="W72" s="808"/>
      <c r="X72" s="808"/>
      <c r="Y72" s="676"/>
      <c r="Z72" s="808"/>
      <c r="AA72" s="935">
        <v>32.5</v>
      </c>
      <c r="AB72" s="808"/>
      <c r="AC72" s="808"/>
    </row>
    <row r="73" ht="15.75" customHeight="1">
      <c r="B73" s="779"/>
      <c r="C73" s="856" t="s">
        <v>1310</v>
      </c>
      <c r="D73" s="669"/>
      <c r="E73" s="669"/>
      <c r="F73" s="779"/>
      <c r="G73" s="670"/>
      <c r="H73" s="858"/>
      <c r="I73" s="869"/>
      <c r="J73" s="709"/>
      <c r="K73" s="674"/>
      <c r="M73" s="706"/>
      <c r="N73" s="673"/>
      <c r="O73" s="674"/>
      <c r="R73" s="675" t="s">
        <v>1311</v>
      </c>
      <c r="Y73" s="676"/>
      <c r="AA73" s="668"/>
    </row>
    <row r="74" ht="15.75" customHeight="1">
      <c r="A74" s="808"/>
      <c r="B74" s="859" t="s">
        <v>1312</v>
      </c>
      <c r="C74" s="936" t="s">
        <v>1313</v>
      </c>
      <c r="D74" s="792">
        <f t="shared" ref="D74:D78" si="89">AA74*1.05</f>
        <v>55.8495</v>
      </c>
      <c r="E74" s="937">
        <f t="shared" ref="E74:E78" si="90">D74/3</f>
        <v>18.6165</v>
      </c>
      <c r="F74" s="937">
        <f t="shared" ref="F74:F78" si="91">H74-D74</f>
        <v>11.1699</v>
      </c>
      <c r="G74" s="938">
        <v>0.2</v>
      </c>
      <c r="H74" s="939">
        <f t="shared" ref="H74:H76" si="92">D74*1.2</f>
        <v>67.0194</v>
      </c>
      <c r="I74" s="940">
        <f t="shared" ref="I74:I78" si="93">H74*1.22</f>
        <v>81.763668</v>
      </c>
      <c r="J74" s="709">
        <f t="shared" ref="J74:J78" si="94">I74*1.1</f>
        <v>89.9400348</v>
      </c>
      <c r="K74" s="803">
        <f t="shared" ref="K74:K78" si="95">I74*1.14</f>
        <v>93.21058152</v>
      </c>
      <c r="L74" s="860" t="s">
        <v>1196</v>
      </c>
      <c r="M74" s="941">
        <v>49.8</v>
      </c>
      <c r="N74" s="806">
        <f t="shared" ref="N74:N78" si="96">M74*1.068</f>
        <v>53.1864</v>
      </c>
      <c r="O74" s="807">
        <f>H74/10</f>
        <v>6.70194</v>
      </c>
      <c r="P74" s="808"/>
      <c r="Q74" s="808"/>
      <c r="R74" s="911"/>
      <c r="S74" s="808"/>
      <c r="T74" s="808"/>
      <c r="U74" s="808"/>
      <c r="V74" s="808"/>
      <c r="W74" s="808"/>
      <c r="X74" s="808"/>
      <c r="Y74" s="676"/>
      <c r="Z74" s="808"/>
      <c r="AA74" s="861">
        <v>53.19</v>
      </c>
      <c r="AB74" s="808"/>
      <c r="AC74" s="808"/>
    </row>
    <row r="75" ht="15.75" customHeight="1">
      <c r="A75" s="808"/>
      <c r="B75" s="839" t="s">
        <v>1314</v>
      </c>
      <c r="C75" s="942" t="s">
        <v>1315</v>
      </c>
      <c r="D75" s="792">
        <f t="shared" si="89"/>
        <v>25.8825</v>
      </c>
      <c r="E75" s="827">
        <f t="shared" si="90"/>
        <v>8.6275</v>
      </c>
      <c r="F75" s="827">
        <f t="shared" si="91"/>
        <v>5.1765</v>
      </c>
      <c r="G75" s="828">
        <v>0.2</v>
      </c>
      <c r="H75" s="807">
        <f t="shared" si="92"/>
        <v>31.059</v>
      </c>
      <c r="I75" s="943">
        <f t="shared" si="93"/>
        <v>37.89198</v>
      </c>
      <c r="J75" s="709">
        <f t="shared" si="94"/>
        <v>41.681178</v>
      </c>
      <c r="K75" s="803">
        <f t="shared" si="95"/>
        <v>43.1968572</v>
      </c>
      <c r="L75" s="860" t="s">
        <v>1196</v>
      </c>
      <c r="M75" s="805">
        <v>23.08</v>
      </c>
      <c r="N75" s="806">
        <f t="shared" si="96"/>
        <v>24.64944</v>
      </c>
      <c r="O75" s="807">
        <f t="shared" ref="O75:O78" si="97">H75/3</f>
        <v>10.353</v>
      </c>
      <c r="P75" s="808"/>
      <c r="Q75" s="808"/>
      <c r="R75" s="911"/>
      <c r="S75" s="808"/>
      <c r="T75" s="808"/>
      <c r="U75" s="808"/>
      <c r="V75" s="808"/>
      <c r="W75" s="808"/>
      <c r="X75" s="808"/>
      <c r="Y75" s="676"/>
      <c r="Z75" s="808"/>
      <c r="AA75" s="805">
        <v>24.65</v>
      </c>
      <c r="AB75" s="808"/>
      <c r="AC75" s="808"/>
    </row>
    <row r="76" ht="15.75" customHeight="1">
      <c r="A76" s="808"/>
      <c r="B76" s="839" t="s">
        <v>1316</v>
      </c>
      <c r="C76" s="942" t="s">
        <v>1317</v>
      </c>
      <c r="D76" s="792">
        <f t="shared" si="89"/>
        <v>6.216</v>
      </c>
      <c r="E76" s="827">
        <f t="shared" si="90"/>
        <v>2.072</v>
      </c>
      <c r="F76" s="827">
        <f t="shared" si="91"/>
        <v>1.2432</v>
      </c>
      <c r="G76" s="828">
        <v>0.2</v>
      </c>
      <c r="H76" s="807">
        <f t="shared" si="92"/>
        <v>7.4592</v>
      </c>
      <c r="I76" s="943">
        <f t="shared" si="93"/>
        <v>9.100224</v>
      </c>
      <c r="J76" s="709">
        <f t="shared" si="94"/>
        <v>10.0102464</v>
      </c>
      <c r="K76" s="803">
        <f t="shared" si="95"/>
        <v>10.37425536</v>
      </c>
      <c r="L76" s="860" t="s">
        <v>1196</v>
      </c>
      <c r="M76" s="805">
        <v>5.54</v>
      </c>
      <c r="N76" s="806">
        <f t="shared" si="96"/>
        <v>5.91672</v>
      </c>
      <c r="O76" s="807">
        <f t="shared" si="97"/>
        <v>2.4864</v>
      </c>
      <c r="P76" s="808"/>
      <c r="Q76" s="808"/>
      <c r="R76" s="911"/>
      <c r="S76" s="808"/>
      <c r="T76" s="808"/>
      <c r="U76" s="808"/>
      <c r="V76" s="808"/>
      <c r="W76" s="808"/>
      <c r="X76" s="808"/>
      <c r="Y76" s="676"/>
      <c r="Z76" s="808"/>
      <c r="AA76" s="805">
        <v>5.92</v>
      </c>
      <c r="AB76" s="808"/>
      <c r="AC76" s="808"/>
    </row>
    <row r="77" ht="15.75" customHeight="1">
      <c r="A77" s="808"/>
      <c r="B77" s="839" t="s">
        <v>1318</v>
      </c>
      <c r="C77" s="944" t="s">
        <v>1319</v>
      </c>
      <c r="D77" s="792">
        <f t="shared" si="89"/>
        <v>0.021</v>
      </c>
      <c r="E77" s="827">
        <f t="shared" si="90"/>
        <v>0.007</v>
      </c>
      <c r="F77" s="945">
        <f t="shared" si="91"/>
        <v>0.0105</v>
      </c>
      <c r="G77" s="828">
        <v>0.2</v>
      </c>
      <c r="H77" s="946">
        <f>D77*1.5</f>
        <v>0.0315</v>
      </c>
      <c r="I77" s="943">
        <f t="shared" si="93"/>
        <v>0.03843</v>
      </c>
      <c r="J77" s="709">
        <f t="shared" si="94"/>
        <v>0.042273</v>
      </c>
      <c r="K77" s="803">
        <f t="shared" si="95"/>
        <v>0.0438102</v>
      </c>
      <c r="L77" s="860" t="s">
        <v>1196</v>
      </c>
      <c r="M77" s="818">
        <v>0.02</v>
      </c>
      <c r="N77" s="806">
        <f t="shared" si="96"/>
        <v>0.02136</v>
      </c>
      <c r="O77" s="807">
        <f t="shared" si="97"/>
        <v>0.0105</v>
      </c>
      <c r="P77" s="808"/>
      <c r="Q77" s="808"/>
      <c r="R77" s="911"/>
      <c r="S77" s="808"/>
      <c r="T77" s="808"/>
      <c r="U77" s="808"/>
      <c r="V77" s="808"/>
      <c r="W77" s="808"/>
      <c r="X77" s="808"/>
      <c r="Y77" s="676"/>
      <c r="Z77" s="808"/>
      <c r="AA77" s="947">
        <v>0.02</v>
      </c>
      <c r="AB77" s="808"/>
      <c r="AC77" s="808"/>
    </row>
    <row r="78" ht="15.75" customHeight="1">
      <c r="A78" s="808"/>
      <c r="B78" s="840" t="s">
        <v>1320</v>
      </c>
      <c r="C78" s="841" t="s">
        <v>1321</v>
      </c>
      <c r="D78" s="792">
        <f t="shared" si="89"/>
        <v>0.0735</v>
      </c>
      <c r="E78" s="830">
        <f t="shared" si="90"/>
        <v>0.0245</v>
      </c>
      <c r="F78" s="830">
        <f t="shared" si="91"/>
        <v>0.0147</v>
      </c>
      <c r="G78" s="831">
        <v>0.2</v>
      </c>
      <c r="H78" s="832">
        <f>D78*1.2</f>
        <v>0.0882</v>
      </c>
      <c r="I78" s="842">
        <f t="shared" si="93"/>
        <v>0.107604</v>
      </c>
      <c r="J78" s="709">
        <f t="shared" si="94"/>
        <v>0.1183644</v>
      </c>
      <c r="K78" s="803">
        <f t="shared" si="95"/>
        <v>0.12266856</v>
      </c>
      <c r="L78" s="860" t="s">
        <v>1196</v>
      </c>
      <c r="M78" s="816">
        <v>0.07</v>
      </c>
      <c r="N78" s="806">
        <f t="shared" si="96"/>
        <v>0.07476</v>
      </c>
      <c r="O78" s="807">
        <f t="shared" si="97"/>
        <v>0.0294</v>
      </c>
      <c r="P78" s="808"/>
      <c r="Q78" s="808"/>
      <c r="R78" s="911"/>
      <c r="S78" s="808"/>
      <c r="T78" s="808"/>
      <c r="U78" s="808"/>
      <c r="V78" s="808"/>
      <c r="W78" s="808"/>
      <c r="X78" s="808"/>
      <c r="Y78" s="676"/>
      <c r="Z78" s="808"/>
      <c r="AA78" s="816">
        <v>0.07</v>
      </c>
      <c r="AB78" s="808"/>
      <c r="AC78" s="808"/>
    </row>
    <row r="79" ht="15.75" customHeight="1">
      <c r="A79" s="162"/>
      <c r="B79" s="779"/>
      <c r="C79" s="162"/>
      <c r="D79" s="332"/>
      <c r="E79" s="332"/>
      <c r="F79" s="325"/>
      <c r="G79" s="162"/>
      <c r="H79" s="167"/>
      <c r="I79" s="332"/>
      <c r="J79" s="709"/>
      <c r="M79" s="325"/>
      <c r="N79" s="673"/>
      <c r="O79" s="674"/>
      <c r="R79" s="948"/>
      <c r="Y79" s="676"/>
      <c r="AA79" s="325"/>
    </row>
    <row r="80" ht="15.75" customHeight="1">
      <c r="A80" s="162"/>
      <c r="B80" s="666"/>
      <c r="C80" s="856" t="s">
        <v>1093</v>
      </c>
      <c r="D80" s="792">
        <f t="shared" ref="D80:D82" si="98">AA80*1.05</f>
        <v>0</v>
      </c>
      <c r="E80" s="669"/>
      <c r="F80" s="668"/>
      <c r="G80" s="670"/>
      <c r="H80" s="858"/>
      <c r="I80" s="781"/>
      <c r="J80" s="709"/>
      <c r="K80" s="949"/>
      <c r="M80" s="668"/>
      <c r="N80" s="673"/>
      <c r="O80" s="674"/>
      <c r="R80" s="675"/>
      <c r="Y80" s="676"/>
      <c r="AA80" s="668"/>
    </row>
    <row r="81" ht="15.75" customHeight="1">
      <c r="A81" s="677"/>
      <c r="B81" s="839" t="s">
        <v>1322</v>
      </c>
      <c r="C81" s="950" t="s">
        <v>1323</v>
      </c>
      <c r="D81" s="792">
        <f t="shared" si="98"/>
        <v>44.856</v>
      </c>
      <c r="E81" s="827">
        <f>D81/3</f>
        <v>14.952</v>
      </c>
      <c r="F81" s="827">
        <f t="shared" ref="F81:F82" si="99">H81-D81</f>
        <v>8.9712</v>
      </c>
      <c r="G81" s="805" t="s">
        <v>1324</v>
      </c>
      <c r="H81" s="807">
        <f>D81*1.2</f>
        <v>53.8272</v>
      </c>
      <c r="I81" s="951">
        <f t="shared" ref="I81:I82" si="100">H81*1.22</f>
        <v>65.669184</v>
      </c>
      <c r="J81" s="709">
        <f t="shared" ref="J81:J82" si="101">I81*1.1</f>
        <v>72.2361024</v>
      </c>
      <c r="K81" s="952">
        <f t="shared" ref="K81:K82" si="102">I81*1.14</f>
        <v>74.86286976</v>
      </c>
      <c r="L81" s="860" t="s">
        <v>1196</v>
      </c>
      <c r="M81" s="876">
        <v>40.0</v>
      </c>
      <c r="N81" s="806">
        <f>M81*1.068</f>
        <v>42.72</v>
      </c>
      <c r="O81" s="807">
        <f>H81/3</f>
        <v>17.9424</v>
      </c>
      <c r="P81" s="808"/>
      <c r="Q81" s="808"/>
      <c r="R81" s="911"/>
      <c r="S81" s="808"/>
      <c r="T81" s="808"/>
      <c r="U81" s="808"/>
      <c r="V81" s="808"/>
      <c r="W81" s="808"/>
      <c r="X81" s="808"/>
      <c r="Y81" s="676"/>
      <c r="Z81" s="808"/>
      <c r="AA81" s="805">
        <v>42.72</v>
      </c>
      <c r="AB81" s="808"/>
      <c r="AC81" s="808"/>
    </row>
    <row r="82" ht="15.75" customHeight="1">
      <c r="A82" s="677"/>
      <c r="B82" s="840" t="s">
        <v>1098</v>
      </c>
      <c r="C82" s="953" t="s">
        <v>1325</v>
      </c>
      <c r="D82" s="792">
        <f t="shared" si="98"/>
        <v>1365</v>
      </c>
      <c r="E82" s="830" t="s">
        <v>313</v>
      </c>
      <c r="F82" s="830">
        <f t="shared" si="99"/>
        <v>85</v>
      </c>
      <c r="G82" s="816" t="s">
        <v>1326</v>
      </c>
      <c r="H82" s="832">
        <v>1450.0</v>
      </c>
      <c r="I82" s="830">
        <f t="shared" si="100"/>
        <v>1769</v>
      </c>
      <c r="J82" s="709">
        <f t="shared" si="101"/>
        <v>1945.9</v>
      </c>
      <c r="K82" s="952">
        <f t="shared" si="102"/>
        <v>2016.66</v>
      </c>
      <c r="L82" s="860" t="s">
        <v>1196</v>
      </c>
      <c r="M82" s="808"/>
      <c r="N82" s="808"/>
      <c r="O82" s="954"/>
      <c r="P82" s="808"/>
      <c r="Q82" s="808"/>
      <c r="R82" s="825"/>
      <c r="S82" s="808"/>
      <c r="T82" s="808"/>
      <c r="U82" s="808"/>
      <c r="V82" s="808"/>
      <c r="W82" s="808"/>
      <c r="X82" s="808"/>
      <c r="Y82" s="676"/>
      <c r="Z82" s="808"/>
      <c r="AA82" s="816">
        <v>1300.0</v>
      </c>
      <c r="AB82" s="808"/>
      <c r="AC82" s="808"/>
    </row>
    <row r="83" ht="15.75" customHeight="1">
      <c r="A83" s="162"/>
      <c r="B83" s="325"/>
      <c r="C83" s="162"/>
      <c r="D83" s="332"/>
      <c r="E83" s="332"/>
      <c r="F83" s="325"/>
      <c r="G83" s="162"/>
      <c r="H83" s="167"/>
      <c r="I83" s="332"/>
      <c r="J83" s="709"/>
      <c r="O83" s="658"/>
      <c r="R83" s="630"/>
      <c r="AA83" s="325"/>
    </row>
    <row r="84" ht="15.75" customHeight="1">
      <c r="A84" s="162"/>
      <c r="B84" s="666"/>
      <c r="C84" s="856" t="s">
        <v>1327</v>
      </c>
      <c r="D84" s="669"/>
      <c r="E84" s="669" t="s">
        <v>291</v>
      </c>
      <c r="F84" s="668"/>
      <c r="G84" s="670"/>
      <c r="H84" s="858"/>
      <c r="I84" s="781"/>
      <c r="J84" s="709"/>
      <c r="K84" s="949"/>
      <c r="M84" s="668"/>
      <c r="N84" s="673"/>
      <c r="O84" s="674"/>
      <c r="R84" s="630"/>
      <c r="AA84" s="668" t="s">
        <v>1328</v>
      </c>
    </row>
    <row r="85" ht="15.75" customHeight="1">
      <c r="A85" s="162"/>
      <c r="B85" s="839" t="s">
        <v>1329</v>
      </c>
      <c r="C85" s="953" t="s">
        <v>1330</v>
      </c>
      <c r="D85" s="713">
        <v>75.2</v>
      </c>
      <c r="E85" s="955">
        <f t="shared" ref="E85:E89" si="103">G85/D85</f>
        <v>0.2</v>
      </c>
      <c r="F85" s="816"/>
      <c r="G85" s="830">
        <f t="shared" ref="G85:G89" si="104">H85-D85</f>
        <v>15.04</v>
      </c>
      <c r="H85" s="832">
        <f t="shared" ref="H85:H88" si="105">D85*1.2</f>
        <v>90.24</v>
      </c>
      <c r="I85" s="830">
        <v>118.23</v>
      </c>
      <c r="J85" s="709">
        <f t="shared" ref="J85:J89" si="106">I85*1.1</f>
        <v>130.053</v>
      </c>
      <c r="K85" s="952">
        <f t="shared" ref="K85:K89" si="107">I85*1.14</f>
        <v>134.7822</v>
      </c>
      <c r="L85" s="860" t="s">
        <v>1196</v>
      </c>
      <c r="M85" s="808"/>
      <c r="N85" s="808"/>
      <c r="O85" s="954"/>
      <c r="P85" s="808"/>
      <c r="R85" s="630"/>
      <c r="AA85" s="816">
        <v>76.24</v>
      </c>
    </row>
    <row r="86" ht="15.75" customHeight="1">
      <c r="A86" s="162"/>
      <c r="B86" s="839" t="s">
        <v>1329</v>
      </c>
      <c r="C86" s="953" t="s">
        <v>1331</v>
      </c>
      <c r="D86" s="956">
        <f t="shared" ref="D86:D90" si="108">AA86*1.05</f>
        <v>80.7555</v>
      </c>
      <c r="E86" s="955">
        <f t="shared" si="103"/>
        <v>0.2</v>
      </c>
      <c r="F86" s="816"/>
      <c r="G86" s="830">
        <f t="shared" si="104"/>
        <v>16.1511</v>
      </c>
      <c r="H86" s="832">
        <f t="shared" si="105"/>
        <v>96.9066</v>
      </c>
      <c r="I86" s="830">
        <f t="shared" ref="I86:I90" si="109">H86*1.22</f>
        <v>118.226052</v>
      </c>
      <c r="J86" s="709">
        <f t="shared" si="106"/>
        <v>130.0486572</v>
      </c>
      <c r="K86" s="952">
        <f t="shared" si="107"/>
        <v>134.7776993</v>
      </c>
      <c r="L86" s="860" t="s">
        <v>1196</v>
      </c>
      <c r="M86" s="808"/>
      <c r="N86" s="808"/>
      <c r="O86" s="954"/>
      <c r="R86" s="649"/>
      <c r="AA86" s="816">
        <v>76.91</v>
      </c>
    </row>
    <row r="87" ht="15.75" customHeight="1">
      <c r="A87" s="162"/>
      <c r="B87" s="839" t="s">
        <v>1329</v>
      </c>
      <c r="C87" s="953" t="s">
        <v>1332</v>
      </c>
      <c r="D87" s="956">
        <f t="shared" si="108"/>
        <v>80.7555</v>
      </c>
      <c r="E87" s="955">
        <f t="shared" si="103"/>
        <v>0.2</v>
      </c>
      <c r="F87" s="816"/>
      <c r="G87" s="830">
        <f t="shared" si="104"/>
        <v>16.1511</v>
      </c>
      <c r="H87" s="832">
        <f t="shared" si="105"/>
        <v>96.9066</v>
      </c>
      <c r="I87" s="830">
        <f t="shared" si="109"/>
        <v>118.226052</v>
      </c>
      <c r="J87" s="709">
        <f t="shared" si="106"/>
        <v>130.0486572</v>
      </c>
      <c r="K87" s="952">
        <f t="shared" si="107"/>
        <v>134.7776993</v>
      </c>
      <c r="L87" s="860"/>
      <c r="M87" s="808"/>
      <c r="N87" s="808"/>
      <c r="O87" s="954"/>
      <c r="R87" s="649"/>
      <c r="AA87" s="816">
        <v>76.91</v>
      </c>
    </row>
    <row r="88" ht="15.75" customHeight="1">
      <c r="A88" s="162"/>
      <c r="B88" s="839" t="s">
        <v>1329</v>
      </c>
      <c r="C88" s="953" t="s">
        <v>1333</v>
      </c>
      <c r="D88" s="956">
        <f t="shared" si="108"/>
        <v>85.2075</v>
      </c>
      <c r="E88" s="955">
        <f t="shared" si="103"/>
        <v>0.2</v>
      </c>
      <c r="F88" s="816"/>
      <c r="G88" s="830">
        <f t="shared" si="104"/>
        <v>17.0415</v>
      </c>
      <c r="H88" s="832">
        <f t="shared" si="105"/>
        <v>102.249</v>
      </c>
      <c r="I88" s="830">
        <f t="shared" si="109"/>
        <v>124.74378</v>
      </c>
      <c r="J88" s="709">
        <f t="shared" si="106"/>
        <v>137.218158</v>
      </c>
      <c r="K88" s="952">
        <f t="shared" si="107"/>
        <v>142.2079092</v>
      </c>
      <c r="L88" s="860"/>
      <c r="M88" s="808"/>
      <c r="N88" s="808"/>
      <c r="O88" s="954"/>
      <c r="R88" s="649"/>
      <c r="AA88" s="816">
        <v>81.15</v>
      </c>
    </row>
    <row r="89" ht="15.75" customHeight="1">
      <c r="A89" s="162"/>
      <c r="B89" s="839" t="s">
        <v>1334</v>
      </c>
      <c r="C89" s="953" t="s">
        <v>1335</v>
      </c>
      <c r="D89" s="956">
        <f t="shared" si="108"/>
        <v>184.8</v>
      </c>
      <c r="E89" s="955">
        <f t="shared" si="103"/>
        <v>0.1417748918</v>
      </c>
      <c r="F89" s="816"/>
      <c r="G89" s="830">
        <f t="shared" si="104"/>
        <v>26.2</v>
      </c>
      <c r="H89" s="832">
        <v>211.0</v>
      </c>
      <c r="I89" s="830">
        <f t="shared" si="109"/>
        <v>257.42</v>
      </c>
      <c r="J89" s="709">
        <f t="shared" si="106"/>
        <v>283.162</v>
      </c>
      <c r="K89" s="952">
        <f t="shared" si="107"/>
        <v>293.4588</v>
      </c>
      <c r="L89" s="860" t="s">
        <v>1196</v>
      </c>
      <c r="M89" s="808"/>
      <c r="N89" s="808"/>
      <c r="O89" s="954"/>
      <c r="R89" s="649"/>
      <c r="AA89" s="816">
        <v>176.0</v>
      </c>
    </row>
    <row r="90" ht="15.75" customHeight="1">
      <c r="A90" s="162"/>
      <c r="B90" s="325"/>
      <c r="C90" s="953" t="s">
        <v>1336</v>
      </c>
      <c r="D90" s="956">
        <f t="shared" si="108"/>
        <v>93.70366695</v>
      </c>
      <c r="E90" s="955">
        <v>0.2</v>
      </c>
      <c r="F90" s="816"/>
      <c r="G90" s="830">
        <f>D90*E90</f>
        <v>18.74073339</v>
      </c>
      <c r="H90" s="832">
        <f>G90+D90</f>
        <v>112.4444003</v>
      </c>
      <c r="I90" s="830">
        <f t="shared" si="109"/>
        <v>137.1821684</v>
      </c>
      <c r="J90" s="709"/>
      <c r="O90" s="658"/>
      <c r="AA90" s="816">
        <f>4137.24/38/1.22</f>
        <v>89.24158758</v>
      </c>
    </row>
    <row r="91" ht="15.75" customHeight="1">
      <c r="A91" s="162"/>
      <c r="B91" s="325"/>
      <c r="D91" s="332"/>
      <c r="E91" s="332"/>
      <c r="F91" s="325"/>
      <c r="G91" s="162"/>
      <c r="H91" s="167"/>
      <c r="I91" s="332"/>
      <c r="J91" s="709"/>
      <c r="O91" s="658"/>
      <c r="AA91" s="325"/>
    </row>
    <row r="92" ht="15.75" customHeight="1">
      <c r="B92" s="637"/>
      <c r="C92" s="526" t="s">
        <v>1337</v>
      </c>
      <c r="D92" s="792">
        <f t="shared" ref="D92:D99" si="110">AA92*1.05</f>
        <v>32.55</v>
      </c>
      <c r="E92" s="747">
        <v>0.2</v>
      </c>
      <c r="F92" s="325"/>
      <c r="G92" s="748">
        <f>H92-D92</f>
        <v>4.65</v>
      </c>
      <c r="H92" s="748">
        <v>37.2</v>
      </c>
      <c r="I92" s="332">
        <f t="shared" ref="I92:I101" si="111">H92*1.22</f>
        <v>45.384</v>
      </c>
      <c r="J92" s="709">
        <f>I92*1.1</f>
        <v>49.9224</v>
      </c>
      <c r="O92" s="658"/>
      <c r="AA92" s="325">
        <v>31.0</v>
      </c>
    </row>
    <row r="93" ht="15.75" customHeight="1">
      <c r="A93" s="677"/>
      <c r="B93" s="839" t="s">
        <v>1338</v>
      </c>
      <c r="C93" s="950" t="s">
        <v>1339</v>
      </c>
      <c r="D93" s="792">
        <f t="shared" si="110"/>
        <v>2.0475</v>
      </c>
      <c r="E93" s="827">
        <f t="shared" ref="E93:E101" si="112">D93/3</f>
        <v>0.6825</v>
      </c>
      <c r="F93" s="827">
        <f t="shared" ref="F93:F101" si="113">H93-D93</f>
        <v>0.4095</v>
      </c>
      <c r="G93" s="805" t="s">
        <v>1324</v>
      </c>
      <c r="H93" s="807">
        <f t="shared" ref="H93:H97" si="114">D93*1.2</f>
        <v>2.457</v>
      </c>
      <c r="I93" s="951">
        <f t="shared" si="111"/>
        <v>2.99754</v>
      </c>
      <c r="J93" s="709"/>
      <c r="K93" s="957"/>
      <c r="L93" s="860"/>
      <c r="M93" s="958"/>
      <c r="N93" s="959"/>
      <c r="O93" s="957"/>
      <c r="P93" s="808"/>
      <c r="Q93" s="808"/>
      <c r="R93" s="960"/>
      <c r="S93" s="808"/>
      <c r="T93" s="808"/>
      <c r="U93" s="808"/>
      <c r="V93" s="808"/>
      <c r="W93" s="808"/>
      <c r="X93" s="808"/>
      <c r="Y93" s="676"/>
      <c r="Z93" s="808"/>
      <c r="AA93" s="805">
        <v>1.95</v>
      </c>
      <c r="AB93" s="808"/>
      <c r="AC93" s="808"/>
    </row>
    <row r="94" ht="15.75" customHeight="1">
      <c r="A94" s="677"/>
      <c r="B94" s="839" t="s">
        <v>1340</v>
      </c>
      <c r="C94" s="950" t="s">
        <v>1341</v>
      </c>
      <c r="D94" s="792">
        <f t="shared" si="110"/>
        <v>2.1</v>
      </c>
      <c r="E94" s="827">
        <f t="shared" si="112"/>
        <v>0.7</v>
      </c>
      <c r="F94" s="827">
        <f t="shared" si="113"/>
        <v>0.42</v>
      </c>
      <c r="G94" s="805" t="s">
        <v>1324</v>
      </c>
      <c r="H94" s="807">
        <f t="shared" si="114"/>
        <v>2.52</v>
      </c>
      <c r="I94" s="951">
        <f t="shared" si="111"/>
        <v>3.0744</v>
      </c>
      <c r="J94" s="709">
        <f t="shared" ref="J94:J96" si="115">I94*1.1</f>
        <v>3.38184</v>
      </c>
      <c r="K94" s="952">
        <f t="shared" ref="K94:K97" si="116">I94*1.14</f>
        <v>3.504816</v>
      </c>
      <c r="L94" s="860"/>
      <c r="M94" s="876"/>
      <c r="N94" s="806"/>
      <c r="O94" s="807"/>
      <c r="P94" s="808"/>
      <c r="Q94" s="808"/>
      <c r="R94" s="911"/>
      <c r="S94" s="808"/>
      <c r="T94" s="808"/>
      <c r="U94" s="808"/>
      <c r="V94" s="808"/>
      <c r="W94" s="808"/>
      <c r="X94" s="808"/>
      <c r="Y94" s="676"/>
      <c r="Z94" s="808"/>
      <c r="AA94" s="805">
        <v>2.0</v>
      </c>
      <c r="AB94" s="808"/>
      <c r="AC94" s="808"/>
    </row>
    <row r="95" ht="15.75" customHeight="1">
      <c r="A95" s="677"/>
      <c r="B95" s="839" t="s">
        <v>1342</v>
      </c>
      <c r="C95" s="950" t="s">
        <v>367</v>
      </c>
      <c r="D95" s="792">
        <f t="shared" si="110"/>
        <v>2.1</v>
      </c>
      <c r="E95" s="827">
        <f t="shared" si="112"/>
        <v>0.7</v>
      </c>
      <c r="F95" s="827">
        <f t="shared" si="113"/>
        <v>0.42</v>
      </c>
      <c r="G95" s="805" t="s">
        <v>1324</v>
      </c>
      <c r="H95" s="807">
        <f t="shared" si="114"/>
        <v>2.52</v>
      </c>
      <c r="I95" s="951">
        <f t="shared" si="111"/>
        <v>3.0744</v>
      </c>
      <c r="J95" s="709">
        <f t="shared" si="115"/>
        <v>3.38184</v>
      </c>
      <c r="K95" s="952">
        <f t="shared" si="116"/>
        <v>3.504816</v>
      </c>
      <c r="L95" s="860"/>
      <c r="M95" s="876"/>
      <c r="N95" s="806"/>
      <c r="O95" s="807"/>
      <c r="P95" s="808"/>
      <c r="Q95" s="808"/>
      <c r="R95" s="911"/>
      <c r="S95" s="808"/>
      <c r="T95" s="808"/>
      <c r="U95" s="808"/>
      <c r="V95" s="808"/>
      <c r="W95" s="808"/>
      <c r="X95" s="808"/>
      <c r="Y95" s="676"/>
      <c r="Z95" s="808"/>
      <c r="AA95" s="805">
        <v>2.0</v>
      </c>
      <c r="AB95" s="808"/>
      <c r="AC95" s="808"/>
    </row>
    <row r="96" ht="15.75" customHeight="1">
      <c r="A96" s="162"/>
      <c r="B96" s="678"/>
      <c r="C96" s="679" t="s">
        <v>1343</v>
      </c>
      <c r="D96" s="792">
        <f t="shared" si="110"/>
        <v>2.835</v>
      </c>
      <c r="E96" s="827">
        <f t="shared" si="112"/>
        <v>0.945</v>
      </c>
      <c r="F96" s="827">
        <f t="shared" si="113"/>
        <v>0.567</v>
      </c>
      <c r="G96" s="805" t="s">
        <v>1324</v>
      </c>
      <c r="H96" s="807">
        <f t="shared" si="114"/>
        <v>3.402</v>
      </c>
      <c r="I96" s="951">
        <f t="shared" si="111"/>
        <v>4.15044</v>
      </c>
      <c r="J96" s="709">
        <f t="shared" si="115"/>
        <v>4.565484</v>
      </c>
      <c r="K96" s="952">
        <f t="shared" si="116"/>
        <v>4.7315016</v>
      </c>
      <c r="L96" s="684"/>
      <c r="M96" s="325"/>
      <c r="N96" s="748"/>
      <c r="O96" s="167"/>
      <c r="R96" s="961"/>
      <c r="AA96" s="758">
        <v>2.7</v>
      </c>
    </row>
    <row r="97" ht="15.75" customHeight="1">
      <c r="A97" s="162"/>
      <c r="B97" s="678" t="s">
        <v>1344</v>
      </c>
      <c r="C97" s="679" t="s">
        <v>1345</v>
      </c>
      <c r="D97" s="792">
        <f t="shared" si="110"/>
        <v>9.45</v>
      </c>
      <c r="E97" s="680">
        <f t="shared" si="112"/>
        <v>3.15</v>
      </c>
      <c r="F97" s="680">
        <f t="shared" si="113"/>
        <v>1.89</v>
      </c>
      <c r="G97" s="758" t="s">
        <v>1324</v>
      </c>
      <c r="H97" s="674">
        <f t="shared" si="114"/>
        <v>11.34</v>
      </c>
      <c r="I97" s="962">
        <f t="shared" si="111"/>
        <v>13.8348</v>
      </c>
      <c r="J97" s="709"/>
      <c r="K97" s="952">
        <f t="shared" si="116"/>
        <v>15.771672</v>
      </c>
      <c r="L97" s="684"/>
      <c r="M97" s="325"/>
      <c r="N97" s="748"/>
      <c r="O97" s="167"/>
      <c r="R97" s="961"/>
      <c r="AA97" s="758">
        <v>9.0</v>
      </c>
    </row>
    <row r="98" ht="15.75" customHeight="1">
      <c r="A98" s="162"/>
      <c r="B98" s="678"/>
      <c r="C98" s="679" t="s">
        <v>1346</v>
      </c>
      <c r="D98" s="792">
        <f t="shared" si="110"/>
        <v>0</v>
      </c>
      <c r="E98" s="680">
        <f t="shared" si="112"/>
        <v>0</v>
      </c>
      <c r="F98" s="680">
        <f t="shared" si="113"/>
        <v>4.2</v>
      </c>
      <c r="G98" s="758" t="s">
        <v>1324</v>
      </c>
      <c r="H98" s="674">
        <v>4.2</v>
      </c>
      <c r="I98" s="962">
        <f t="shared" si="111"/>
        <v>5.124</v>
      </c>
      <c r="J98" s="709"/>
      <c r="K98" s="684"/>
      <c r="L98" s="684"/>
      <c r="M98" s="325"/>
      <c r="N98" s="748"/>
      <c r="O98" s="167"/>
      <c r="R98" s="961"/>
      <c r="AA98" s="758"/>
    </row>
    <row r="99" ht="15.75" customHeight="1">
      <c r="B99" s="637"/>
      <c r="C99" s="825" t="s">
        <v>1347</v>
      </c>
      <c r="D99" s="792">
        <f t="shared" si="110"/>
        <v>31.8465</v>
      </c>
      <c r="E99" s="827">
        <f t="shared" si="112"/>
        <v>10.6155</v>
      </c>
      <c r="F99" s="827">
        <f t="shared" si="113"/>
        <v>6.3693</v>
      </c>
      <c r="G99" s="963">
        <f t="shared" ref="G99:G100" si="117">F99/D99</f>
        <v>0.2</v>
      </c>
      <c r="H99" s="807">
        <f t="shared" ref="H99:H101" si="118">D99*1.2</f>
        <v>38.2158</v>
      </c>
      <c r="I99" s="951">
        <f t="shared" si="111"/>
        <v>46.623276</v>
      </c>
      <c r="J99" s="709">
        <f t="shared" ref="J99:J100" si="119">I99*1.1</f>
        <v>51.2856036</v>
      </c>
      <c r="K99" s="952">
        <f t="shared" ref="K99:K100" si="120">I99*1.14</f>
        <v>53.15053464</v>
      </c>
      <c r="O99" s="658"/>
      <c r="AA99" s="827">
        <v>30.33</v>
      </c>
    </row>
    <row r="100" ht="15.75" customHeight="1">
      <c r="B100" s="637"/>
      <c r="C100" s="825" t="s">
        <v>1348</v>
      </c>
      <c r="D100" s="792">
        <v>51.75</v>
      </c>
      <c r="E100" s="827">
        <f t="shared" si="112"/>
        <v>17.25</v>
      </c>
      <c r="F100" s="827">
        <f t="shared" si="113"/>
        <v>10.35</v>
      </c>
      <c r="G100" s="963">
        <f t="shared" si="117"/>
        <v>0.2</v>
      </c>
      <c r="H100" s="807">
        <f t="shared" si="118"/>
        <v>62.1</v>
      </c>
      <c r="I100" s="951">
        <f t="shared" si="111"/>
        <v>75.762</v>
      </c>
      <c r="J100" s="709">
        <f t="shared" si="119"/>
        <v>83.3382</v>
      </c>
      <c r="K100" s="952">
        <f t="shared" si="120"/>
        <v>86.36868</v>
      </c>
      <c r="O100" s="658"/>
      <c r="AA100" s="827"/>
    </row>
    <row r="101" ht="15.75" customHeight="1">
      <c r="B101" s="637"/>
      <c r="C101" s="679" t="s">
        <v>1349</v>
      </c>
      <c r="D101" s="792">
        <f>AA101*1.05</f>
        <v>0</v>
      </c>
      <c r="E101" s="680">
        <f t="shared" si="112"/>
        <v>0</v>
      </c>
      <c r="F101" s="680">
        <f t="shared" si="113"/>
        <v>0</v>
      </c>
      <c r="G101" s="758" t="s">
        <v>1324</v>
      </c>
      <c r="H101" s="674">
        <f t="shared" si="118"/>
        <v>0</v>
      </c>
      <c r="I101" s="962">
        <f t="shared" si="111"/>
        <v>0</v>
      </c>
      <c r="J101" s="748"/>
      <c r="O101" s="658"/>
      <c r="AA101" s="758"/>
    </row>
    <row r="102" ht="15.75" customHeight="1">
      <c r="B102" s="637"/>
      <c r="D102" s="325"/>
      <c r="E102" s="332"/>
      <c r="F102" s="325"/>
      <c r="H102" s="748"/>
      <c r="I102" s="332"/>
      <c r="O102" s="658"/>
      <c r="AA102" s="325"/>
    </row>
    <row r="103" ht="15.75" customHeight="1">
      <c r="A103" s="964" t="s">
        <v>964</v>
      </c>
      <c r="B103" s="965" t="s">
        <v>1294</v>
      </c>
      <c r="C103" s="793" t="s">
        <v>1350</v>
      </c>
      <c r="D103" s="713">
        <v>800.0</v>
      </c>
      <c r="E103" s="725">
        <f>D103/3</f>
        <v>266.6666667</v>
      </c>
      <c r="F103" s="725">
        <f>H103-D103</f>
        <v>160</v>
      </c>
      <c r="G103" s="794">
        <v>0.2</v>
      </c>
      <c r="H103" s="836">
        <f>D103*1.2</f>
        <v>960</v>
      </c>
      <c r="I103" s="918">
        <f>H103*1.22</f>
        <v>1171.2</v>
      </c>
      <c r="J103" s="709">
        <f>I103*1.1</f>
        <v>1288.32</v>
      </c>
      <c r="K103" s="803">
        <f>I103*1.14</f>
        <v>1335.168</v>
      </c>
      <c r="L103" s="860" t="s">
        <v>1196</v>
      </c>
      <c r="M103" s="805">
        <v>9.0</v>
      </c>
      <c r="N103" s="806">
        <f>M103*1.068</f>
        <v>9.612</v>
      </c>
      <c r="O103" s="807">
        <f>H103/3</f>
        <v>320</v>
      </c>
      <c r="P103" s="808"/>
      <c r="Q103" s="919" t="s">
        <v>1296</v>
      </c>
      <c r="R103" s="862" t="s">
        <v>1297</v>
      </c>
      <c r="S103" s="913" t="s">
        <v>1351</v>
      </c>
      <c r="T103" s="808"/>
      <c r="U103" s="808"/>
      <c r="V103" s="808"/>
      <c r="W103" s="808"/>
      <c r="X103" s="808"/>
      <c r="Y103" s="676"/>
      <c r="Z103" s="808"/>
      <c r="AA103" s="797">
        <v>7.89</v>
      </c>
      <c r="AB103" s="808"/>
      <c r="AC103" s="808"/>
    </row>
    <row r="104" ht="15.75" customHeight="1">
      <c r="B104" s="637"/>
      <c r="D104" s="325"/>
      <c r="E104" s="332"/>
      <c r="F104" s="325"/>
      <c r="H104" s="748"/>
      <c r="I104" s="332"/>
      <c r="O104" s="658"/>
      <c r="AA104" s="325"/>
    </row>
    <row r="105" ht="15.75" customHeight="1">
      <c r="B105" s="637"/>
      <c r="D105" s="325"/>
      <c r="E105" s="332"/>
      <c r="F105" s="325"/>
      <c r="H105" s="748"/>
      <c r="I105" s="332"/>
      <c r="O105" s="658"/>
      <c r="AA105" s="325"/>
    </row>
    <row r="106" ht="15.75" customHeight="1">
      <c r="B106" s="637"/>
      <c r="D106" s="325"/>
      <c r="E106" s="332"/>
      <c r="F106" s="325"/>
      <c r="H106" s="748"/>
      <c r="I106" s="332"/>
      <c r="O106" s="658"/>
      <c r="AA106" s="325"/>
    </row>
    <row r="107" ht="15.75" customHeight="1">
      <c r="B107" s="637"/>
      <c r="D107" s="325"/>
      <c r="E107" s="332"/>
      <c r="F107" s="325"/>
      <c r="H107" s="748"/>
      <c r="I107" s="332"/>
      <c r="O107" s="658"/>
      <c r="AA107" s="325"/>
    </row>
    <row r="108" ht="15.75" customHeight="1">
      <c r="B108" s="637"/>
      <c r="D108" s="325"/>
      <c r="E108" s="332"/>
      <c r="F108" s="325"/>
      <c r="H108" s="748"/>
      <c r="I108" s="332"/>
      <c r="O108" s="658"/>
      <c r="AA108" s="325"/>
    </row>
    <row r="109" ht="15.75" customHeight="1">
      <c r="B109" s="637"/>
      <c r="D109" s="325"/>
      <c r="E109" s="332"/>
      <c r="F109" s="325"/>
      <c r="H109" s="748"/>
      <c r="I109" s="332"/>
      <c r="O109" s="658"/>
      <c r="AA109" s="325"/>
    </row>
    <row r="110" ht="15.75" customHeight="1">
      <c r="B110" s="637"/>
      <c r="D110" s="325"/>
      <c r="E110" s="332"/>
      <c r="F110" s="325"/>
      <c r="H110" s="748"/>
      <c r="I110" s="332"/>
      <c r="O110" s="658"/>
      <c r="AA110" s="325"/>
    </row>
    <row r="111" ht="15.75" customHeight="1">
      <c r="B111" s="637"/>
      <c r="D111" s="325"/>
      <c r="E111" s="332"/>
      <c r="F111" s="325"/>
      <c r="H111" s="748"/>
      <c r="I111" s="332"/>
      <c r="O111" s="658"/>
      <c r="AA111" s="325"/>
    </row>
    <row r="112" ht="15.75" customHeight="1">
      <c r="B112" s="637"/>
      <c r="D112" s="325"/>
      <c r="E112" s="332"/>
      <c r="F112" s="325"/>
      <c r="H112" s="748"/>
      <c r="I112" s="332"/>
      <c r="O112" s="658"/>
      <c r="AA112" s="325"/>
    </row>
    <row r="113" ht="45.0" customHeight="1">
      <c r="B113" s="966" t="s">
        <v>1352</v>
      </c>
      <c r="C113" s="178"/>
      <c r="D113" s="178"/>
      <c r="E113" s="178"/>
      <c r="F113" s="178"/>
      <c r="G113" s="178"/>
      <c r="H113" s="178"/>
      <c r="I113" s="178"/>
      <c r="J113" s="179"/>
      <c r="O113" s="658"/>
    </row>
    <row r="114">
      <c r="A114" s="967" t="s">
        <v>1112</v>
      </c>
      <c r="B114" s="968" t="s">
        <v>435</v>
      </c>
      <c r="C114" s="660" t="s">
        <v>283</v>
      </c>
      <c r="D114" s="661" t="s">
        <v>436</v>
      </c>
      <c r="E114" s="661" t="s">
        <v>285</v>
      </c>
      <c r="F114" s="661"/>
      <c r="G114" s="661" t="s">
        <v>1087</v>
      </c>
      <c r="H114" s="969" t="s">
        <v>287</v>
      </c>
      <c r="I114" s="770" t="s">
        <v>1088</v>
      </c>
      <c r="J114" s="970" t="s">
        <v>1113</v>
      </c>
      <c r="K114" s="663" t="s">
        <v>1114</v>
      </c>
      <c r="M114" s="700" t="s">
        <v>1353</v>
      </c>
      <c r="N114" s="701" t="s">
        <v>1116</v>
      </c>
      <c r="O114" s="658"/>
      <c r="R114" s="664" t="s">
        <v>1090</v>
      </c>
      <c r="S114" s="664" t="s">
        <v>1091</v>
      </c>
      <c r="Y114" s="665" t="s">
        <v>1092</v>
      </c>
      <c r="AA114" s="661" t="s">
        <v>436</v>
      </c>
    </row>
    <row r="115" ht="15.75" customHeight="1">
      <c r="B115" s="637"/>
      <c r="C115" s="526" t="s">
        <v>1354</v>
      </c>
      <c r="D115" s="332">
        <v>155.53</v>
      </c>
      <c r="E115" s="332">
        <f t="shared" ref="E115:E116" si="121">D115/H115</f>
        <v>0.8333333333</v>
      </c>
      <c r="F115" s="332"/>
      <c r="G115" s="971">
        <f t="shared" ref="G115:G116" si="122">H115-D115</f>
        <v>31.106</v>
      </c>
      <c r="H115" s="971">
        <f t="shared" ref="H115:H117" si="123">D115*1.2</f>
        <v>186.636</v>
      </c>
      <c r="I115" s="332">
        <f t="shared" ref="I115:I117" si="124">H115*1.22</f>
        <v>227.69592</v>
      </c>
      <c r="J115" s="972">
        <f t="shared" ref="J115:J118" si="125">I115*1.1</f>
        <v>250.465512</v>
      </c>
      <c r="O115" s="658"/>
      <c r="AA115" s="332">
        <v>155.53</v>
      </c>
    </row>
    <row r="116" ht="15.75" customHeight="1">
      <c r="B116" s="637"/>
      <c r="C116" s="526" t="s">
        <v>1355</v>
      </c>
      <c r="D116" s="332">
        <v>166.8</v>
      </c>
      <c r="E116" s="332">
        <f t="shared" si="121"/>
        <v>0.8333333333</v>
      </c>
      <c r="F116" s="332"/>
      <c r="G116" s="971">
        <f t="shared" si="122"/>
        <v>33.36</v>
      </c>
      <c r="H116" s="971">
        <f t="shared" si="123"/>
        <v>200.16</v>
      </c>
      <c r="I116" s="332">
        <f t="shared" si="124"/>
        <v>244.1952</v>
      </c>
      <c r="J116" s="972">
        <f t="shared" si="125"/>
        <v>268.61472</v>
      </c>
      <c r="O116" s="658"/>
      <c r="AA116" s="332">
        <v>166.8</v>
      </c>
    </row>
    <row r="117" ht="15.75" customHeight="1">
      <c r="B117" s="637"/>
      <c r="D117" s="332"/>
      <c r="E117" s="332"/>
      <c r="F117" s="332"/>
      <c r="G117" s="971"/>
      <c r="H117" s="971">
        <f t="shared" si="123"/>
        <v>0</v>
      </c>
      <c r="I117" s="332">
        <f t="shared" si="124"/>
        <v>0</v>
      </c>
      <c r="J117" s="972">
        <f t="shared" si="125"/>
        <v>0</v>
      </c>
      <c r="L117" s="526" t="s">
        <v>1356</v>
      </c>
      <c r="O117" s="658"/>
      <c r="AA117" s="332"/>
    </row>
    <row r="118" ht="15.75" customHeight="1">
      <c r="B118" s="637"/>
      <c r="D118" s="325"/>
      <c r="E118" s="332"/>
      <c r="F118" s="325"/>
      <c r="G118" s="637"/>
      <c r="H118" s="971"/>
      <c r="I118" s="332"/>
      <c r="J118" s="973">
        <f t="shared" si="125"/>
        <v>0</v>
      </c>
      <c r="L118" s="526" t="s">
        <v>1357</v>
      </c>
      <c r="M118" s="526" t="s">
        <v>1358</v>
      </c>
      <c r="O118" s="658"/>
      <c r="AA118" s="325"/>
    </row>
    <row r="119" ht="15.75" customHeight="1">
      <c r="B119" s="637"/>
      <c r="D119" s="325"/>
      <c r="E119" s="332"/>
      <c r="F119" s="325"/>
      <c r="G119" s="637"/>
      <c r="H119" s="971"/>
      <c r="I119" s="332"/>
      <c r="L119" s="526" t="s">
        <v>1359</v>
      </c>
      <c r="M119" s="526" t="s">
        <v>1360</v>
      </c>
      <c r="O119" s="658"/>
      <c r="AA119" s="325"/>
    </row>
    <row r="120" ht="15.75" customHeight="1">
      <c r="B120" s="637"/>
      <c r="D120" s="325"/>
      <c r="E120" s="332"/>
      <c r="F120" s="325"/>
      <c r="G120" s="637"/>
      <c r="H120" s="971"/>
      <c r="O120" s="658"/>
      <c r="AA120" s="325"/>
    </row>
    <row r="121" ht="15.75" customHeight="1">
      <c r="B121" s="637"/>
      <c r="D121" s="325"/>
      <c r="E121" s="332"/>
      <c r="F121" s="325"/>
      <c r="H121" s="748"/>
      <c r="O121" s="658"/>
      <c r="AA121" s="325"/>
    </row>
    <row r="122" ht="15.75" customHeight="1">
      <c r="B122" s="637"/>
      <c r="D122" s="325"/>
      <c r="E122" s="332"/>
      <c r="F122" s="325"/>
      <c r="H122" s="748"/>
      <c r="O122" s="658"/>
      <c r="AA122" s="325"/>
    </row>
    <row r="123" ht="15.75" customHeight="1">
      <c r="B123" s="637"/>
      <c r="D123" s="325"/>
      <c r="E123" s="332"/>
      <c r="F123" s="325"/>
      <c r="H123" s="748"/>
      <c r="O123" s="658"/>
      <c r="AA123" s="325"/>
    </row>
    <row r="124" ht="15.75" customHeight="1">
      <c r="B124" s="637"/>
      <c r="D124" s="325"/>
      <c r="E124" s="332"/>
      <c r="F124" s="325"/>
      <c r="H124" s="748"/>
      <c r="O124" s="658"/>
      <c r="AA124" s="325"/>
    </row>
    <row r="125" ht="15.75" customHeight="1">
      <c r="B125" s="637"/>
      <c r="D125" s="325"/>
      <c r="E125" s="332"/>
      <c r="F125" s="325"/>
      <c r="H125" s="748"/>
      <c r="O125" s="658"/>
      <c r="AA125" s="325"/>
    </row>
    <row r="126" ht="15.75" customHeight="1">
      <c r="B126" s="637"/>
      <c r="D126" s="325"/>
      <c r="E126" s="332"/>
      <c r="F126" s="325"/>
      <c r="H126" s="748"/>
      <c r="O126" s="658"/>
      <c r="AA126" s="325"/>
    </row>
    <row r="127" ht="15.75" customHeight="1">
      <c r="B127" s="637"/>
      <c r="D127" s="325"/>
      <c r="E127" s="332"/>
      <c r="F127" s="325"/>
      <c r="H127" s="748"/>
      <c r="O127" s="658"/>
      <c r="AA127" s="325"/>
    </row>
    <row r="128" ht="15.75" customHeight="1">
      <c r="B128" s="637"/>
      <c r="D128" s="325"/>
      <c r="E128" s="332"/>
      <c r="F128" s="325"/>
      <c r="H128" s="748"/>
      <c r="O128" s="658"/>
      <c r="AA128" s="325"/>
    </row>
    <row r="129" ht="15.75" customHeight="1">
      <c r="B129" s="637"/>
      <c r="D129" s="325"/>
      <c r="E129" s="332"/>
      <c r="F129" s="325"/>
      <c r="H129" s="748"/>
      <c r="O129" s="658"/>
      <c r="AA129" s="325"/>
    </row>
    <row r="130" ht="15.75" customHeight="1">
      <c r="B130" s="637"/>
      <c r="D130" s="325"/>
      <c r="E130" s="332"/>
      <c r="F130" s="325"/>
      <c r="H130" s="748"/>
      <c r="O130" s="658"/>
      <c r="AA130" s="325"/>
    </row>
    <row r="131" ht="15.75" customHeight="1">
      <c r="B131" s="637"/>
      <c r="D131" s="325"/>
      <c r="E131" s="332"/>
      <c r="F131" s="325"/>
      <c r="H131" s="748"/>
      <c r="O131" s="658"/>
      <c r="AA131" s="325"/>
    </row>
    <row r="132" ht="15.75" customHeight="1">
      <c r="B132" s="637"/>
      <c r="D132" s="325"/>
      <c r="E132" s="332"/>
      <c r="F132" s="325"/>
      <c r="H132" s="748"/>
      <c r="O132" s="658"/>
      <c r="AA132" s="325"/>
    </row>
    <row r="133" ht="15.75" customHeight="1">
      <c r="B133" s="637"/>
      <c r="D133" s="325"/>
      <c r="E133" s="332"/>
      <c r="F133" s="325"/>
      <c r="H133" s="748"/>
      <c r="O133" s="658"/>
      <c r="AA133" s="325"/>
    </row>
    <row r="134" ht="15.75" customHeight="1">
      <c r="B134" s="637"/>
      <c r="D134" s="325"/>
      <c r="E134" s="332"/>
      <c r="F134" s="325"/>
      <c r="H134" s="748"/>
      <c r="O134" s="658"/>
      <c r="AA134" s="325"/>
    </row>
    <row r="135" ht="15.75" customHeight="1">
      <c r="B135" s="637"/>
      <c r="D135" s="325"/>
      <c r="E135" s="332"/>
      <c r="F135" s="325"/>
      <c r="H135" s="748"/>
      <c r="O135" s="658"/>
      <c r="AA135" s="325"/>
    </row>
    <row r="136" ht="15.75" customHeight="1">
      <c r="B136" s="637"/>
      <c r="D136" s="325"/>
      <c r="E136" s="332"/>
      <c r="F136" s="325"/>
      <c r="H136" s="748"/>
      <c r="O136" s="658"/>
      <c r="AA136" s="325"/>
    </row>
    <row r="137" ht="15.75" customHeight="1">
      <c r="B137" s="637"/>
      <c r="D137" s="325"/>
      <c r="E137" s="332"/>
      <c r="F137" s="325"/>
      <c r="H137" s="748"/>
      <c r="O137" s="658"/>
      <c r="AA137" s="325"/>
    </row>
    <row r="138" ht="15.75" customHeight="1">
      <c r="B138" s="637"/>
      <c r="D138" s="325"/>
      <c r="E138" s="332"/>
      <c r="F138" s="325"/>
      <c r="H138" s="748"/>
      <c r="O138" s="658"/>
      <c r="AA138" s="325"/>
    </row>
    <row r="139" ht="15.75" customHeight="1">
      <c r="B139" s="637"/>
      <c r="D139" s="325"/>
      <c r="E139" s="332"/>
      <c r="F139" s="325"/>
      <c r="H139" s="748"/>
      <c r="O139" s="658"/>
      <c r="AA139" s="325"/>
    </row>
    <row r="140" ht="15.75" customHeight="1">
      <c r="B140" s="637"/>
      <c r="D140" s="325"/>
      <c r="E140" s="332"/>
      <c r="F140" s="325"/>
      <c r="H140" s="748"/>
      <c r="O140" s="658"/>
      <c r="AA140" s="325"/>
    </row>
  </sheetData>
  <mergeCells count="3">
    <mergeCell ref="F1:H1"/>
    <mergeCell ref="M21:N21"/>
    <mergeCell ref="B113:J113"/>
  </mergeCells>
  <hyperlinks>
    <hyperlink r:id="rId2" ref="R3"/>
    <hyperlink r:id="rId3" ref="S3"/>
    <hyperlink r:id="rId4" ref="R4"/>
    <hyperlink r:id="rId5" ref="S4"/>
    <hyperlink r:id="rId6" ref="R5"/>
    <hyperlink r:id="rId7" ref="S5"/>
    <hyperlink r:id="rId8" ref="R6"/>
    <hyperlink r:id="rId9" ref="S6"/>
    <hyperlink r:id="rId10" ref="R7"/>
    <hyperlink r:id="rId11" ref="S7"/>
    <hyperlink r:id="rId12" ref="R8"/>
    <hyperlink r:id="rId13" ref="S8"/>
    <hyperlink r:id="rId14" ref="R9"/>
    <hyperlink r:id="rId15" ref="S9"/>
    <hyperlink r:id="rId16" ref="R10"/>
    <hyperlink r:id="rId17" ref="S10"/>
    <hyperlink r:id="rId18" ref="R11"/>
    <hyperlink r:id="rId19" ref="S11"/>
    <hyperlink r:id="rId20" ref="R17"/>
    <hyperlink r:id="rId21" ref="S17"/>
    <hyperlink r:id="rId22" ref="R18"/>
    <hyperlink r:id="rId23" ref="S18"/>
    <hyperlink r:id="rId24" ref="R19"/>
    <hyperlink r:id="rId25" ref="S19"/>
    <hyperlink r:id="rId26" ref="R20"/>
    <hyperlink r:id="rId27" ref="S20"/>
    <hyperlink r:id="rId28" ref="S27"/>
    <hyperlink r:id="rId29" ref="R29"/>
    <hyperlink r:id="rId30" ref="S29"/>
    <hyperlink r:id="rId31" ref="R30"/>
    <hyperlink r:id="rId32" ref="R31"/>
    <hyperlink r:id="rId33" ref="R32"/>
    <hyperlink r:id="rId34" ref="R36"/>
    <hyperlink r:id="rId35" ref="S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5"/>
    <hyperlink r:id="rId43" ref="S45"/>
    <hyperlink r:id="rId44" ref="R46"/>
    <hyperlink r:id="rId45" ref="R48"/>
    <hyperlink r:id="rId46" ref="S48"/>
    <hyperlink r:id="rId47" ref="R49"/>
    <hyperlink r:id="rId48" ref="R50"/>
    <hyperlink r:id="rId49" ref="R51"/>
    <hyperlink r:id="rId50" ref="R53"/>
    <hyperlink r:id="rId51" ref="R54"/>
    <hyperlink r:id="rId52" ref="R55"/>
    <hyperlink r:id="rId53" ref="R57"/>
    <hyperlink r:id="rId54" ref="S57"/>
    <hyperlink r:id="rId55" ref="R58"/>
    <hyperlink r:id="rId56" ref="R59"/>
    <hyperlink r:id="rId57" ref="R60"/>
    <hyperlink r:id="rId58" ref="R61"/>
    <hyperlink r:id="rId59" ref="R63"/>
    <hyperlink r:id="rId60" ref="R65"/>
    <hyperlink r:id="rId61" ref="S65"/>
    <hyperlink r:id="rId62" ref="R66"/>
    <hyperlink r:id="rId63" ref="R67"/>
    <hyperlink r:id="rId64" ref="R68"/>
    <hyperlink r:id="rId65" ref="S68"/>
    <hyperlink r:id="rId66" ref="R69"/>
    <hyperlink r:id="rId67" ref="R70"/>
    <hyperlink r:id="rId68" ref="R71"/>
    <hyperlink r:id="rId69" ref="R72"/>
    <hyperlink r:id="rId70" ref="R103"/>
    <hyperlink r:id="rId71" ref="S103"/>
  </hyperlinks>
  <printOptions/>
  <pageMargins bottom="0.75" footer="0.0" header="0.0" left="0.7" right="0.7" top="0.75"/>
  <pageSetup fitToHeight="0" paperSize="9" orientation="portrait"/>
  <drawing r:id="rId72"/>
  <legacyDrawing r:id="rId7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pageSetUpPr fitToPage="1"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5.43"/>
    <col customWidth="1" min="3" max="3" width="65.14"/>
    <col customWidth="1" min="4" max="4" width="18.86"/>
    <col customWidth="1" min="5" max="5" width="12.29"/>
    <col customWidth="1" min="6" max="6" width="14.57"/>
    <col customWidth="1" min="7" max="7" width="12.14"/>
    <col customWidth="1" min="8" max="8" width="21.29"/>
    <col customWidth="1" min="9" max="9" width="14.86"/>
    <col customWidth="1" min="10" max="26" width="10.71"/>
  </cols>
  <sheetData>
    <row r="1">
      <c r="B1" s="974" t="s">
        <v>1361</v>
      </c>
      <c r="C1" s="178"/>
      <c r="D1" s="178"/>
      <c r="E1" s="178"/>
      <c r="F1" s="178"/>
      <c r="G1" s="178"/>
      <c r="H1" s="179"/>
    </row>
    <row r="2">
      <c r="B2" s="975" t="s">
        <v>435</v>
      </c>
      <c r="C2" s="975" t="s">
        <v>283</v>
      </c>
      <c r="D2" s="438" t="s">
        <v>444</v>
      </c>
      <c r="E2" s="976" t="s">
        <v>1362</v>
      </c>
      <c r="F2" s="438" t="s">
        <v>1363</v>
      </c>
      <c r="G2" s="439" t="s">
        <v>287</v>
      </c>
      <c r="H2" s="977" t="s">
        <v>1364</v>
      </c>
    </row>
    <row r="3">
      <c r="B3" s="978" t="s">
        <v>723</v>
      </c>
      <c r="C3" s="178"/>
      <c r="D3" s="178"/>
      <c r="E3" s="178"/>
      <c r="F3" s="178"/>
      <c r="G3" s="178"/>
      <c r="H3" s="179"/>
    </row>
    <row r="4">
      <c r="B4" s="728" t="s">
        <v>1365</v>
      </c>
      <c r="C4" s="726" t="s">
        <v>1366</v>
      </c>
      <c r="D4" s="403">
        <v>2.92</v>
      </c>
      <c r="E4" s="170">
        <f t="shared" ref="E4:E18" si="1">F4/D4</f>
        <v>0.2636986301</v>
      </c>
      <c r="F4" s="403">
        <f t="shared" ref="F4:F18" si="2">G4-D4</f>
        <v>0.77</v>
      </c>
      <c r="G4" s="403">
        <v>3.69</v>
      </c>
      <c r="H4" s="979">
        <f t="shared" ref="H4:H18" si="3">G4*1.22</f>
        <v>4.5018</v>
      </c>
    </row>
    <row r="5">
      <c r="B5" s="980" t="s">
        <v>1367</v>
      </c>
      <c r="C5" s="679" t="s">
        <v>1368</v>
      </c>
      <c r="D5" s="981">
        <v>4.03</v>
      </c>
      <c r="E5" s="170">
        <f t="shared" si="1"/>
        <v>0.2605459057</v>
      </c>
      <c r="F5" s="403">
        <f t="shared" si="2"/>
        <v>1.05</v>
      </c>
      <c r="G5" s="403">
        <v>5.08</v>
      </c>
      <c r="H5" s="982">
        <f t="shared" si="3"/>
        <v>6.1976</v>
      </c>
    </row>
    <row r="6">
      <c r="B6" s="758" t="s">
        <v>1369</v>
      </c>
      <c r="C6" s="679" t="s">
        <v>1370</v>
      </c>
      <c r="D6" s="981">
        <v>4.71</v>
      </c>
      <c r="E6" s="170">
        <f t="shared" si="1"/>
        <v>0.2611464968</v>
      </c>
      <c r="F6" s="403">
        <f t="shared" si="2"/>
        <v>1.23</v>
      </c>
      <c r="G6" s="403">
        <v>5.94</v>
      </c>
      <c r="H6" s="982">
        <f t="shared" si="3"/>
        <v>7.2468</v>
      </c>
    </row>
    <row r="7">
      <c r="B7" s="758" t="s">
        <v>1371</v>
      </c>
      <c r="C7" s="983" t="s">
        <v>1372</v>
      </c>
      <c r="D7" s="323">
        <v>21.92</v>
      </c>
      <c r="E7" s="170">
        <f t="shared" si="1"/>
        <v>0.2696167883</v>
      </c>
      <c r="F7" s="403">
        <f t="shared" si="2"/>
        <v>5.91</v>
      </c>
      <c r="G7" s="323">
        <v>27.83</v>
      </c>
      <c r="H7" s="982">
        <f t="shared" si="3"/>
        <v>33.9526</v>
      </c>
    </row>
    <row r="8">
      <c r="B8" s="728" t="s">
        <v>1373</v>
      </c>
      <c r="C8" s="726" t="s">
        <v>1374</v>
      </c>
      <c r="D8" s="403">
        <v>10.61</v>
      </c>
      <c r="E8" s="170">
        <f t="shared" si="1"/>
        <v>0.2648444863</v>
      </c>
      <c r="F8" s="403">
        <f t="shared" si="2"/>
        <v>2.81</v>
      </c>
      <c r="G8" s="403">
        <v>13.42</v>
      </c>
      <c r="H8" s="982">
        <f t="shared" si="3"/>
        <v>16.3724</v>
      </c>
    </row>
    <row r="9">
      <c r="B9" s="758" t="s">
        <v>1375</v>
      </c>
      <c r="C9" s="983" t="s">
        <v>1376</v>
      </c>
      <c r="D9" s="323">
        <v>24.49</v>
      </c>
      <c r="E9" s="170">
        <f t="shared" si="1"/>
        <v>0.2711310739</v>
      </c>
      <c r="F9" s="403">
        <f t="shared" si="2"/>
        <v>6.64</v>
      </c>
      <c r="G9" s="403">
        <v>31.13</v>
      </c>
      <c r="H9" s="982">
        <f t="shared" si="3"/>
        <v>37.9786</v>
      </c>
    </row>
    <row r="10">
      <c r="B10" s="758" t="s">
        <v>1377</v>
      </c>
      <c r="C10" s="679" t="s">
        <v>1378</v>
      </c>
      <c r="D10" s="323">
        <v>31.41</v>
      </c>
      <c r="E10" s="170">
        <f t="shared" si="1"/>
        <v>0.2677491245</v>
      </c>
      <c r="F10" s="403">
        <f t="shared" si="2"/>
        <v>8.41</v>
      </c>
      <c r="G10" s="403">
        <v>39.82</v>
      </c>
      <c r="H10" s="982">
        <f t="shared" si="3"/>
        <v>48.5804</v>
      </c>
    </row>
    <row r="11">
      <c r="B11" s="758" t="s">
        <v>1379</v>
      </c>
      <c r="C11" s="984" t="s">
        <v>1380</v>
      </c>
      <c r="D11" s="981">
        <v>44.2</v>
      </c>
      <c r="E11" s="170">
        <f t="shared" si="1"/>
        <v>0.2692307692</v>
      </c>
      <c r="F11" s="403">
        <f t="shared" si="2"/>
        <v>11.9</v>
      </c>
      <c r="G11" s="403">
        <v>56.1</v>
      </c>
      <c r="H11" s="982">
        <f t="shared" si="3"/>
        <v>68.442</v>
      </c>
      <c r="I11" s="737"/>
    </row>
    <row r="12">
      <c r="B12" s="758" t="s">
        <v>1381</v>
      </c>
      <c r="C12" s="984" t="s">
        <v>1382</v>
      </c>
      <c r="D12" s="981">
        <v>33.01</v>
      </c>
      <c r="E12" s="170">
        <f t="shared" si="1"/>
        <v>0.2696152681</v>
      </c>
      <c r="F12" s="403">
        <f t="shared" si="2"/>
        <v>8.9</v>
      </c>
      <c r="G12" s="403">
        <v>41.91</v>
      </c>
      <c r="H12" s="982">
        <f t="shared" si="3"/>
        <v>51.1302</v>
      </c>
    </row>
    <row r="13">
      <c r="B13" s="980" t="s">
        <v>1383</v>
      </c>
      <c r="C13" s="679" t="s">
        <v>1384</v>
      </c>
      <c r="D13" s="981">
        <v>39.53</v>
      </c>
      <c r="E13" s="170">
        <f t="shared" si="1"/>
        <v>0.2681507716</v>
      </c>
      <c r="F13" s="403">
        <f t="shared" si="2"/>
        <v>10.6</v>
      </c>
      <c r="G13" s="403">
        <v>50.13</v>
      </c>
      <c r="H13" s="982">
        <f t="shared" si="3"/>
        <v>61.1586</v>
      </c>
    </row>
    <row r="14">
      <c r="B14" s="980" t="s">
        <v>1385</v>
      </c>
      <c r="C14" s="679" t="s">
        <v>1386</v>
      </c>
      <c r="D14" s="323">
        <v>54.76</v>
      </c>
      <c r="E14" s="170">
        <f t="shared" si="1"/>
        <v>0.2695398101</v>
      </c>
      <c r="F14" s="403">
        <f t="shared" si="2"/>
        <v>14.76</v>
      </c>
      <c r="G14" s="403">
        <v>69.52</v>
      </c>
      <c r="H14" s="982">
        <f t="shared" si="3"/>
        <v>84.8144</v>
      </c>
    </row>
    <row r="15">
      <c r="B15" s="758" t="s">
        <v>1387</v>
      </c>
      <c r="C15" s="679" t="s">
        <v>1388</v>
      </c>
      <c r="D15" s="981">
        <v>68.11</v>
      </c>
      <c r="E15" s="170">
        <f t="shared" si="1"/>
        <v>0.2694171194</v>
      </c>
      <c r="F15" s="403">
        <f t="shared" si="2"/>
        <v>18.35</v>
      </c>
      <c r="G15" s="403">
        <v>86.46</v>
      </c>
      <c r="H15" s="982">
        <f t="shared" si="3"/>
        <v>105.4812</v>
      </c>
    </row>
    <row r="16">
      <c r="B16" s="758" t="s">
        <v>1389</v>
      </c>
      <c r="C16" s="679" t="s">
        <v>1390</v>
      </c>
      <c r="D16" s="323">
        <v>63.13</v>
      </c>
      <c r="E16" s="170">
        <f t="shared" si="1"/>
        <v>0.2684935847</v>
      </c>
      <c r="F16" s="403">
        <f t="shared" si="2"/>
        <v>16.95</v>
      </c>
      <c r="G16" s="403">
        <v>80.08</v>
      </c>
      <c r="H16" s="982">
        <f t="shared" si="3"/>
        <v>97.6976</v>
      </c>
    </row>
    <row r="17">
      <c r="B17" s="758" t="s">
        <v>1391</v>
      </c>
      <c r="C17" s="679" t="s">
        <v>1392</v>
      </c>
      <c r="D17" s="323">
        <v>90.88</v>
      </c>
      <c r="E17" s="170">
        <f t="shared" si="1"/>
        <v>0.2696963028</v>
      </c>
      <c r="F17" s="403">
        <f t="shared" si="2"/>
        <v>24.51</v>
      </c>
      <c r="G17" s="403">
        <v>115.39</v>
      </c>
      <c r="H17" s="982">
        <f t="shared" si="3"/>
        <v>140.7758</v>
      </c>
      <c r="I17" s="526"/>
    </row>
    <row r="18">
      <c r="B18" s="718" t="s">
        <v>1393</v>
      </c>
      <c r="C18" s="985" t="s">
        <v>1394</v>
      </c>
      <c r="D18" s="986">
        <v>110.32</v>
      </c>
      <c r="E18" s="987">
        <f t="shared" si="1"/>
        <v>0.2693074692</v>
      </c>
      <c r="F18" s="426">
        <f t="shared" si="2"/>
        <v>29.71</v>
      </c>
      <c r="G18" s="426">
        <v>140.03</v>
      </c>
      <c r="H18" s="988">
        <f t="shared" si="3"/>
        <v>170.8366</v>
      </c>
      <c r="I18" s="526"/>
    </row>
    <row r="19">
      <c r="B19" s="978" t="s">
        <v>739</v>
      </c>
      <c r="C19" s="178"/>
      <c r="D19" s="178"/>
      <c r="E19" s="178"/>
      <c r="F19" s="178"/>
      <c r="G19" s="178"/>
      <c r="H19" s="179"/>
    </row>
    <row r="20">
      <c r="B20" s="779" t="s">
        <v>1395</v>
      </c>
      <c r="C20" s="726" t="s">
        <v>1396</v>
      </c>
      <c r="D20" s="403">
        <v>2.69</v>
      </c>
      <c r="E20" s="170">
        <f t="shared" ref="E20:E31" si="4">F20/D20</f>
        <v>0.2639405204</v>
      </c>
      <c r="F20" s="403">
        <f t="shared" ref="F20:F31" si="5">G20-D20</f>
        <v>0.71</v>
      </c>
      <c r="G20" s="403">
        <v>3.4</v>
      </c>
      <c r="H20" s="979">
        <f t="shared" ref="H20:H31" si="6">G20*1.22</f>
        <v>4.148</v>
      </c>
      <c r="I20" s="737"/>
    </row>
    <row r="21" ht="15.75" customHeight="1">
      <c r="B21" s="758" t="s">
        <v>1397</v>
      </c>
      <c r="C21" s="989" t="s">
        <v>1398</v>
      </c>
      <c r="D21" s="323">
        <v>3.71</v>
      </c>
      <c r="E21" s="170">
        <f t="shared" si="4"/>
        <v>0.2614555256</v>
      </c>
      <c r="F21" s="403">
        <f t="shared" si="5"/>
        <v>0.97</v>
      </c>
      <c r="G21" s="403">
        <v>4.68</v>
      </c>
      <c r="H21" s="979">
        <f t="shared" si="6"/>
        <v>5.7096</v>
      </c>
    </row>
    <row r="22" ht="15.75" customHeight="1">
      <c r="B22" s="980" t="s">
        <v>1399</v>
      </c>
      <c r="C22" s="989" t="s">
        <v>1400</v>
      </c>
      <c r="D22" s="323">
        <v>4.46</v>
      </c>
      <c r="E22" s="170">
        <f t="shared" si="4"/>
        <v>0.2623318386</v>
      </c>
      <c r="F22" s="403">
        <f t="shared" si="5"/>
        <v>1.17</v>
      </c>
      <c r="G22" s="403">
        <v>5.63</v>
      </c>
      <c r="H22" s="979">
        <f t="shared" si="6"/>
        <v>6.8686</v>
      </c>
    </row>
    <row r="23" ht="15.75" customHeight="1">
      <c r="B23" s="758" t="s">
        <v>1401</v>
      </c>
      <c r="C23" s="990" t="s">
        <v>1402</v>
      </c>
      <c r="D23" s="323">
        <v>19.65</v>
      </c>
      <c r="E23" s="170">
        <f t="shared" si="4"/>
        <v>0.2707379135</v>
      </c>
      <c r="F23" s="403">
        <f t="shared" si="5"/>
        <v>5.32</v>
      </c>
      <c r="G23" s="403">
        <v>24.97</v>
      </c>
      <c r="H23" s="979">
        <f t="shared" si="6"/>
        <v>30.4634</v>
      </c>
    </row>
    <row r="24" ht="15.75" customHeight="1">
      <c r="B24" s="758" t="s">
        <v>1403</v>
      </c>
      <c r="C24" s="991" t="s">
        <v>1404</v>
      </c>
      <c r="D24" s="403">
        <v>21.67</v>
      </c>
      <c r="E24" s="170">
        <f t="shared" si="4"/>
        <v>0.2335025381</v>
      </c>
      <c r="F24" s="403">
        <f t="shared" si="5"/>
        <v>5.06</v>
      </c>
      <c r="G24" s="403">
        <v>26.73</v>
      </c>
      <c r="H24" s="979">
        <f t="shared" si="6"/>
        <v>32.6106</v>
      </c>
    </row>
    <row r="25" ht="15.75" customHeight="1">
      <c r="B25" s="758" t="s">
        <v>1405</v>
      </c>
      <c r="C25" s="992" t="s">
        <v>1406</v>
      </c>
      <c r="D25" s="403">
        <v>29.23</v>
      </c>
      <c r="E25" s="170">
        <f t="shared" si="4"/>
        <v>0.2682175847</v>
      </c>
      <c r="F25" s="403">
        <f t="shared" si="5"/>
        <v>7.84</v>
      </c>
      <c r="G25" s="403">
        <v>37.07</v>
      </c>
      <c r="H25" s="979">
        <f t="shared" si="6"/>
        <v>45.2254</v>
      </c>
    </row>
    <row r="26" ht="15.75" customHeight="1">
      <c r="B26" s="728" t="s">
        <v>1407</v>
      </c>
      <c r="C26" s="726" t="s">
        <v>1408</v>
      </c>
      <c r="D26" s="403">
        <v>53.76</v>
      </c>
      <c r="E26" s="170">
        <f t="shared" si="4"/>
        <v>0.2686011905</v>
      </c>
      <c r="F26" s="403">
        <f t="shared" si="5"/>
        <v>14.44</v>
      </c>
      <c r="G26" s="403">
        <v>68.2</v>
      </c>
      <c r="H26" s="979">
        <f t="shared" si="6"/>
        <v>83.204</v>
      </c>
    </row>
    <row r="27" ht="15.75" customHeight="1">
      <c r="B27" s="728" t="s">
        <v>1409</v>
      </c>
      <c r="C27" s="726" t="s">
        <v>1410</v>
      </c>
      <c r="D27" s="403">
        <v>31.04</v>
      </c>
      <c r="E27" s="170">
        <f t="shared" si="4"/>
        <v>0.268685567</v>
      </c>
      <c r="F27" s="403">
        <f t="shared" si="5"/>
        <v>8.34</v>
      </c>
      <c r="G27" s="403">
        <v>39.38</v>
      </c>
      <c r="H27" s="979">
        <f t="shared" si="6"/>
        <v>48.0436</v>
      </c>
    </row>
    <row r="28" ht="15.75" customHeight="1">
      <c r="B28" s="728" t="s">
        <v>1411</v>
      </c>
      <c r="C28" s="726" t="s">
        <v>1412</v>
      </c>
      <c r="D28" s="403">
        <v>40.47</v>
      </c>
      <c r="E28" s="170">
        <f t="shared" si="4"/>
        <v>0.2693353101</v>
      </c>
      <c r="F28" s="403">
        <f t="shared" si="5"/>
        <v>10.9</v>
      </c>
      <c r="G28" s="403">
        <v>51.37</v>
      </c>
      <c r="H28" s="979">
        <f t="shared" si="6"/>
        <v>62.6714</v>
      </c>
    </row>
    <row r="29" ht="15.75" customHeight="1">
      <c r="B29" s="728" t="s">
        <v>1413</v>
      </c>
      <c r="C29" s="726" t="s">
        <v>1414</v>
      </c>
      <c r="D29" s="403">
        <v>53.69</v>
      </c>
      <c r="E29" s="170">
        <f t="shared" si="4"/>
        <v>0.2702551686</v>
      </c>
      <c r="F29" s="403">
        <f t="shared" si="5"/>
        <v>14.51</v>
      </c>
      <c r="G29" s="403">
        <v>68.2</v>
      </c>
      <c r="H29" s="979">
        <f t="shared" si="6"/>
        <v>83.204</v>
      </c>
    </row>
    <row r="30" ht="15.75" customHeight="1">
      <c r="B30" s="728" t="s">
        <v>1415</v>
      </c>
      <c r="C30" s="726" t="s">
        <v>1416</v>
      </c>
      <c r="D30" s="403">
        <v>69.33</v>
      </c>
      <c r="E30" s="170">
        <f t="shared" si="4"/>
        <v>0.2692917929</v>
      </c>
      <c r="F30" s="403">
        <f t="shared" si="5"/>
        <v>18.67</v>
      </c>
      <c r="G30" s="403">
        <v>88.0</v>
      </c>
      <c r="H30" s="979">
        <f t="shared" si="6"/>
        <v>107.36</v>
      </c>
    </row>
    <row r="31" ht="15.75" customHeight="1">
      <c r="B31" s="779" t="s">
        <v>1417</v>
      </c>
      <c r="C31" s="993" t="s">
        <v>1418</v>
      </c>
      <c r="D31" s="444">
        <v>60.36</v>
      </c>
      <c r="E31" s="994">
        <f t="shared" si="4"/>
        <v>0.268389662</v>
      </c>
      <c r="F31" s="444">
        <f t="shared" si="5"/>
        <v>16.2</v>
      </c>
      <c r="G31" s="444">
        <v>76.56</v>
      </c>
      <c r="H31" s="995">
        <f t="shared" si="6"/>
        <v>93.4032</v>
      </c>
    </row>
    <row r="32" ht="15.75" customHeight="1">
      <c r="B32" s="978" t="s">
        <v>1419</v>
      </c>
      <c r="C32" s="178"/>
      <c r="D32" s="178"/>
      <c r="E32" s="178"/>
      <c r="F32" s="178"/>
      <c r="G32" s="178"/>
      <c r="H32" s="179"/>
    </row>
    <row r="33" ht="15.75" customHeight="1">
      <c r="B33" s="996" t="s">
        <v>1420</v>
      </c>
      <c r="C33" s="997" t="s">
        <v>1421</v>
      </c>
      <c r="D33" s="998">
        <v>6.99</v>
      </c>
      <c r="E33" s="269">
        <f t="shared" ref="E33:E54" si="7">F33/D33</f>
        <v>0.2446351931</v>
      </c>
      <c r="F33" s="323">
        <f t="shared" ref="F33:F54" si="8">G33-D33</f>
        <v>1.71</v>
      </c>
      <c r="G33" s="403">
        <v>8.7</v>
      </c>
      <c r="H33" s="999">
        <f t="shared" ref="H33:H54" si="9">G33*1.22</f>
        <v>10.614</v>
      </c>
    </row>
    <row r="34" ht="15.75" customHeight="1">
      <c r="B34" s="980" t="s">
        <v>1422</v>
      </c>
      <c r="C34" s="679" t="s">
        <v>1423</v>
      </c>
      <c r="D34" s="981">
        <v>7.71</v>
      </c>
      <c r="E34" s="269">
        <f t="shared" si="7"/>
        <v>0.2114137484</v>
      </c>
      <c r="F34" s="323">
        <f t="shared" si="8"/>
        <v>1.63</v>
      </c>
      <c r="G34" s="323">
        <v>9.34</v>
      </c>
      <c r="H34" s="999">
        <f t="shared" si="9"/>
        <v>11.3948</v>
      </c>
    </row>
    <row r="35" ht="15.75" customHeight="1">
      <c r="B35" s="758" t="s">
        <v>1424</v>
      </c>
      <c r="C35" s="679" t="s">
        <v>1425</v>
      </c>
      <c r="D35" s="323">
        <v>9.49</v>
      </c>
      <c r="E35" s="269">
        <f t="shared" si="7"/>
        <v>0.2444678609</v>
      </c>
      <c r="F35" s="323">
        <f t="shared" si="8"/>
        <v>2.32</v>
      </c>
      <c r="G35" s="323">
        <v>11.81</v>
      </c>
      <c r="H35" s="999">
        <f t="shared" si="9"/>
        <v>14.4082</v>
      </c>
    </row>
    <row r="36" ht="15.75" customHeight="1">
      <c r="B36" s="758" t="s">
        <v>1426</v>
      </c>
      <c r="C36" s="679" t="s">
        <v>1427</v>
      </c>
      <c r="D36" s="323">
        <v>8.99</v>
      </c>
      <c r="E36" s="269">
        <f t="shared" si="7"/>
        <v>0.3070077864</v>
      </c>
      <c r="F36" s="323">
        <f t="shared" si="8"/>
        <v>2.76</v>
      </c>
      <c r="G36" s="323">
        <v>11.75</v>
      </c>
      <c r="H36" s="999">
        <f t="shared" si="9"/>
        <v>14.335</v>
      </c>
    </row>
    <row r="37" ht="15.75" customHeight="1">
      <c r="B37" s="758" t="s">
        <v>1428</v>
      </c>
      <c r="C37" s="983" t="s">
        <v>1429</v>
      </c>
      <c r="D37" s="323">
        <v>18.3</v>
      </c>
      <c r="E37" s="269">
        <f t="shared" si="7"/>
        <v>0.2683060109</v>
      </c>
      <c r="F37" s="323">
        <f t="shared" si="8"/>
        <v>4.91</v>
      </c>
      <c r="G37" s="323">
        <v>23.21</v>
      </c>
      <c r="H37" s="999">
        <f t="shared" si="9"/>
        <v>28.3162</v>
      </c>
    </row>
    <row r="38" ht="15.75" customHeight="1">
      <c r="B38" s="758" t="s">
        <v>1430</v>
      </c>
      <c r="C38" s="679" t="s">
        <v>1431</v>
      </c>
      <c r="D38" s="323">
        <v>25.1</v>
      </c>
      <c r="E38" s="269">
        <f t="shared" si="7"/>
        <v>0.3231075697</v>
      </c>
      <c r="F38" s="323">
        <f t="shared" si="8"/>
        <v>8.11</v>
      </c>
      <c r="G38" s="323">
        <v>33.21</v>
      </c>
      <c r="H38" s="999">
        <f t="shared" si="9"/>
        <v>40.5162</v>
      </c>
    </row>
    <row r="39" ht="15.75" customHeight="1">
      <c r="B39" s="980" t="s">
        <v>1432</v>
      </c>
      <c r="C39" s="679" t="s">
        <v>1433</v>
      </c>
      <c r="D39" s="323">
        <v>29.39</v>
      </c>
      <c r="E39" s="269">
        <f t="shared" si="7"/>
        <v>0.2687989112</v>
      </c>
      <c r="F39" s="323">
        <f t="shared" si="8"/>
        <v>7.9</v>
      </c>
      <c r="G39" s="323">
        <v>37.29</v>
      </c>
      <c r="H39" s="999">
        <f t="shared" si="9"/>
        <v>45.4938</v>
      </c>
    </row>
    <row r="40" ht="15.75" customHeight="1">
      <c r="B40" s="758" t="s">
        <v>1434</v>
      </c>
      <c r="C40" s="679" t="s">
        <v>1435</v>
      </c>
      <c r="D40" s="323">
        <v>16.9</v>
      </c>
      <c r="E40" s="269">
        <f t="shared" si="7"/>
        <v>0.3798816568</v>
      </c>
      <c r="F40" s="323">
        <f t="shared" si="8"/>
        <v>6.42</v>
      </c>
      <c r="G40" s="323">
        <v>23.32</v>
      </c>
      <c r="H40" s="999">
        <f t="shared" si="9"/>
        <v>28.4504</v>
      </c>
    </row>
    <row r="41" ht="15.75" customHeight="1">
      <c r="B41" s="758" t="s">
        <v>1436</v>
      </c>
      <c r="C41" s="679" t="s">
        <v>1437</v>
      </c>
      <c r="D41" s="323">
        <v>23.0</v>
      </c>
      <c r="E41" s="269">
        <f t="shared" si="7"/>
        <v>0.272173913</v>
      </c>
      <c r="F41" s="323">
        <f t="shared" si="8"/>
        <v>6.26</v>
      </c>
      <c r="G41" s="323">
        <v>29.26</v>
      </c>
      <c r="H41" s="999">
        <f t="shared" si="9"/>
        <v>35.6972</v>
      </c>
    </row>
    <row r="42" ht="15.75" customHeight="1">
      <c r="B42" s="758" t="s">
        <v>1438</v>
      </c>
      <c r="C42" s="679" t="s">
        <v>1439</v>
      </c>
      <c r="D42" s="323">
        <v>28.45</v>
      </c>
      <c r="E42" s="269">
        <f t="shared" si="7"/>
        <v>0.2565905097</v>
      </c>
      <c r="F42" s="323">
        <f t="shared" si="8"/>
        <v>7.3</v>
      </c>
      <c r="G42" s="323">
        <v>35.75</v>
      </c>
      <c r="H42" s="999">
        <f t="shared" si="9"/>
        <v>43.615</v>
      </c>
    </row>
    <row r="43" ht="15.75" customHeight="1">
      <c r="B43" s="758" t="s">
        <v>1440</v>
      </c>
      <c r="C43" s="983" t="s">
        <v>1441</v>
      </c>
      <c r="D43" s="981">
        <v>29.9</v>
      </c>
      <c r="E43" s="269">
        <f t="shared" si="7"/>
        <v>0.2324414716</v>
      </c>
      <c r="F43" s="323">
        <f t="shared" si="8"/>
        <v>6.95</v>
      </c>
      <c r="G43" s="323">
        <v>36.85</v>
      </c>
      <c r="H43" s="999">
        <f t="shared" si="9"/>
        <v>44.957</v>
      </c>
    </row>
    <row r="44" ht="15.75" customHeight="1">
      <c r="B44" s="758">
        <v>9006.0</v>
      </c>
      <c r="C44" s="679" t="s">
        <v>1442</v>
      </c>
      <c r="D44" s="981">
        <v>15.5</v>
      </c>
      <c r="E44" s="269">
        <f t="shared" si="7"/>
        <v>0.2696774194</v>
      </c>
      <c r="F44" s="323">
        <f t="shared" si="8"/>
        <v>4.18</v>
      </c>
      <c r="G44" s="323">
        <v>19.68</v>
      </c>
      <c r="H44" s="999">
        <f t="shared" si="9"/>
        <v>24.0096</v>
      </c>
    </row>
    <row r="45" ht="15.75" customHeight="1">
      <c r="B45" s="980">
        <v>9008.0</v>
      </c>
      <c r="C45" s="679" t="s">
        <v>1443</v>
      </c>
      <c r="D45" s="981">
        <v>20.49</v>
      </c>
      <c r="E45" s="269">
        <f t="shared" si="7"/>
        <v>0.2786725232</v>
      </c>
      <c r="F45" s="323">
        <f t="shared" si="8"/>
        <v>5.71</v>
      </c>
      <c r="G45" s="323">
        <v>26.2</v>
      </c>
      <c r="H45" s="999">
        <f t="shared" si="9"/>
        <v>31.964</v>
      </c>
    </row>
    <row r="46" ht="15.75" customHeight="1">
      <c r="B46" s="980">
        <v>90010.0</v>
      </c>
      <c r="C46" s="679" t="s">
        <v>1444</v>
      </c>
      <c r="D46" s="981">
        <v>26.38</v>
      </c>
      <c r="E46" s="269">
        <f t="shared" si="7"/>
        <v>0.273313116</v>
      </c>
      <c r="F46" s="323">
        <f t="shared" si="8"/>
        <v>7.21</v>
      </c>
      <c r="G46" s="323">
        <v>33.59</v>
      </c>
      <c r="H46" s="999">
        <f t="shared" si="9"/>
        <v>40.9798</v>
      </c>
    </row>
    <row r="47" ht="15.75" customHeight="1">
      <c r="B47" s="758" t="s">
        <v>1445</v>
      </c>
      <c r="C47" s="679" t="s">
        <v>1446</v>
      </c>
      <c r="D47" s="981">
        <v>60.33</v>
      </c>
      <c r="E47" s="269">
        <f t="shared" si="7"/>
        <v>0.2502900713</v>
      </c>
      <c r="F47" s="323">
        <f t="shared" si="8"/>
        <v>15.1</v>
      </c>
      <c r="G47" s="323">
        <v>75.43</v>
      </c>
      <c r="H47" s="999">
        <f t="shared" si="9"/>
        <v>92.0246</v>
      </c>
    </row>
    <row r="48" ht="15.75" customHeight="1">
      <c r="B48" s="758">
        <v>982315.0</v>
      </c>
      <c r="C48" s="679" t="s">
        <v>1447</v>
      </c>
      <c r="D48" s="323">
        <v>33.3</v>
      </c>
      <c r="E48" s="269">
        <f t="shared" si="7"/>
        <v>0.2552552553</v>
      </c>
      <c r="F48" s="323">
        <f t="shared" si="8"/>
        <v>8.5</v>
      </c>
      <c r="G48" s="323">
        <v>41.8</v>
      </c>
      <c r="H48" s="999">
        <f t="shared" si="9"/>
        <v>50.996</v>
      </c>
    </row>
    <row r="49" ht="15.75" customHeight="1">
      <c r="B49" s="980">
        <v>960124.0</v>
      </c>
      <c r="C49" s="679" t="s">
        <v>1448</v>
      </c>
      <c r="D49" s="981">
        <v>47.13</v>
      </c>
      <c r="E49" s="269">
        <f t="shared" si="7"/>
        <v>0.2575854021</v>
      </c>
      <c r="F49" s="323">
        <f t="shared" si="8"/>
        <v>12.14</v>
      </c>
      <c r="G49" s="323">
        <v>59.27</v>
      </c>
      <c r="H49" s="999">
        <f t="shared" si="9"/>
        <v>72.3094</v>
      </c>
    </row>
    <row r="50" ht="15.75" customHeight="1">
      <c r="B50" s="758">
        <v>960000.0</v>
      </c>
      <c r="C50" s="679" t="s">
        <v>1449</v>
      </c>
      <c r="D50" s="981">
        <v>27.0</v>
      </c>
      <c r="E50" s="269">
        <f t="shared" si="7"/>
        <v>0.262962963</v>
      </c>
      <c r="F50" s="323">
        <f t="shared" si="8"/>
        <v>7.1</v>
      </c>
      <c r="G50" s="323">
        <v>34.1</v>
      </c>
      <c r="H50" s="999">
        <f t="shared" si="9"/>
        <v>41.602</v>
      </c>
    </row>
    <row r="51" ht="15.75" customHeight="1">
      <c r="B51" s="758">
        <v>9012.0</v>
      </c>
      <c r="C51" s="983" t="s">
        <v>1450</v>
      </c>
      <c r="D51" s="981">
        <v>11.79</v>
      </c>
      <c r="E51" s="269">
        <f t="shared" si="7"/>
        <v>0.3435114504</v>
      </c>
      <c r="F51" s="323">
        <f t="shared" si="8"/>
        <v>4.05</v>
      </c>
      <c r="G51" s="323">
        <v>15.84</v>
      </c>
      <c r="H51" s="999">
        <f t="shared" si="9"/>
        <v>19.3248</v>
      </c>
    </row>
    <row r="52" ht="15.75" customHeight="1">
      <c r="B52" s="758">
        <v>9011.0</v>
      </c>
      <c r="C52" s="983" t="s">
        <v>1451</v>
      </c>
      <c r="D52" s="981">
        <v>11.79</v>
      </c>
      <c r="E52" s="269">
        <f t="shared" si="7"/>
        <v>0.2680237489</v>
      </c>
      <c r="F52" s="323">
        <f t="shared" si="8"/>
        <v>3.16</v>
      </c>
      <c r="G52" s="323">
        <v>14.95</v>
      </c>
      <c r="H52" s="999">
        <f t="shared" si="9"/>
        <v>18.239</v>
      </c>
    </row>
    <row r="53" ht="15.75" customHeight="1">
      <c r="B53" s="758">
        <v>9013.0</v>
      </c>
      <c r="C53" s="679" t="s">
        <v>1452</v>
      </c>
      <c r="D53" s="323">
        <v>11.34</v>
      </c>
      <c r="E53" s="269">
        <f t="shared" si="7"/>
        <v>0.4453262787</v>
      </c>
      <c r="F53" s="323">
        <f t="shared" si="8"/>
        <v>5.05</v>
      </c>
      <c r="G53" s="323">
        <v>16.39</v>
      </c>
      <c r="H53" s="999">
        <f t="shared" si="9"/>
        <v>19.9958</v>
      </c>
    </row>
    <row r="54" ht="15.75" customHeight="1">
      <c r="B54" s="758">
        <v>976768.0</v>
      </c>
      <c r="C54" s="679" t="s">
        <v>1453</v>
      </c>
      <c r="D54" s="323">
        <v>6.91</v>
      </c>
      <c r="E54" s="269">
        <f t="shared" si="7"/>
        <v>0.2720694645</v>
      </c>
      <c r="F54" s="323">
        <f t="shared" si="8"/>
        <v>1.88</v>
      </c>
      <c r="G54" s="323">
        <v>8.79</v>
      </c>
      <c r="H54" s="999">
        <f t="shared" si="9"/>
        <v>10.7238</v>
      </c>
    </row>
    <row r="55" ht="15.75" customHeight="1">
      <c r="B55" s="978" t="s">
        <v>1454</v>
      </c>
      <c r="C55" s="178"/>
      <c r="D55" s="178"/>
      <c r="E55" s="178"/>
      <c r="F55" s="178"/>
      <c r="G55" s="178"/>
      <c r="H55" s="179"/>
    </row>
    <row r="56" ht="15.75" customHeight="1">
      <c r="B56" s="728">
        <v>6026.0</v>
      </c>
      <c r="C56" s="726" t="s">
        <v>1455</v>
      </c>
      <c r="D56" s="403">
        <v>31.9</v>
      </c>
      <c r="E56" s="170">
        <f t="shared" ref="E56:E61" si="10">F56/D56</f>
        <v>0.375862069</v>
      </c>
      <c r="F56" s="403">
        <f t="shared" ref="F56:F61" si="11">G56-D56</f>
        <v>11.99</v>
      </c>
      <c r="G56" s="403">
        <v>43.89</v>
      </c>
      <c r="H56" s="979">
        <f t="shared" ref="H56:H61" si="12">G56*1.22</f>
        <v>53.5458</v>
      </c>
    </row>
    <row r="57" ht="15.75" customHeight="1">
      <c r="B57" s="980">
        <v>6024.0</v>
      </c>
      <c r="C57" s="726" t="s">
        <v>1456</v>
      </c>
      <c r="D57" s="403">
        <v>126.58</v>
      </c>
      <c r="E57" s="170">
        <f t="shared" si="10"/>
        <v>0.3026544478</v>
      </c>
      <c r="F57" s="403">
        <f t="shared" si="11"/>
        <v>38.31</v>
      </c>
      <c r="G57" s="403">
        <v>164.89</v>
      </c>
      <c r="H57" s="979">
        <f t="shared" si="12"/>
        <v>201.1658</v>
      </c>
    </row>
    <row r="58" ht="15.75" customHeight="1">
      <c r="B58" s="758" t="s">
        <v>1457</v>
      </c>
      <c r="C58" s="726" t="s">
        <v>1458</v>
      </c>
      <c r="D58" s="403">
        <v>20.9</v>
      </c>
      <c r="E58" s="170">
        <f t="shared" si="10"/>
        <v>0.3631578947</v>
      </c>
      <c r="F58" s="403">
        <f t="shared" si="11"/>
        <v>7.59</v>
      </c>
      <c r="G58" s="403">
        <v>28.49</v>
      </c>
      <c r="H58" s="979">
        <f t="shared" si="12"/>
        <v>34.7578</v>
      </c>
    </row>
    <row r="59" ht="15.75" customHeight="1">
      <c r="B59" s="1000" t="s">
        <v>1459</v>
      </c>
      <c r="C59" s="1001" t="s">
        <v>1460</v>
      </c>
      <c r="D59" s="403">
        <v>12.9</v>
      </c>
      <c r="E59" s="170">
        <f t="shared" si="10"/>
        <v>0.3984496124</v>
      </c>
      <c r="F59" s="403">
        <f t="shared" si="11"/>
        <v>5.14</v>
      </c>
      <c r="G59" s="403">
        <v>18.04</v>
      </c>
      <c r="H59" s="979">
        <f t="shared" si="12"/>
        <v>22.0088</v>
      </c>
    </row>
    <row r="60" ht="15.75" customHeight="1">
      <c r="B60" s="1000" t="s">
        <v>1461</v>
      </c>
      <c r="C60" s="1002" t="s">
        <v>1462</v>
      </c>
      <c r="D60" s="410">
        <v>43.0</v>
      </c>
      <c r="E60" s="170">
        <f t="shared" si="10"/>
        <v>0.8186046512</v>
      </c>
      <c r="F60" s="410">
        <f t="shared" si="11"/>
        <v>35.2</v>
      </c>
      <c r="G60" s="403">
        <v>78.2</v>
      </c>
      <c r="H60" s="979">
        <f t="shared" si="12"/>
        <v>95.404</v>
      </c>
      <c r="I60" s="526" t="s">
        <v>1463</v>
      </c>
    </row>
    <row r="61" ht="15.75" customHeight="1">
      <c r="B61" s="1000" t="s">
        <v>1464</v>
      </c>
      <c r="C61" s="1002" t="s">
        <v>1465</v>
      </c>
      <c r="D61" s="410">
        <v>196.0</v>
      </c>
      <c r="E61" s="170">
        <f t="shared" si="10"/>
        <v>0.3673469388</v>
      </c>
      <c r="F61" s="410">
        <f t="shared" si="11"/>
        <v>72</v>
      </c>
      <c r="G61" s="403">
        <v>268.0</v>
      </c>
      <c r="H61" s="979">
        <f t="shared" si="12"/>
        <v>326.96</v>
      </c>
      <c r="I61" s="526" t="s">
        <v>1463</v>
      </c>
    </row>
    <row r="62" ht="15.75" customHeight="1">
      <c r="B62" s="978" t="s">
        <v>1466</v>
      </c>
      <c r="C62" s="178"/>
      <c r="D62" s="178"/>
      <c r="E62" s="178"/>
      <c r="F62" s="178"/>
      <c r="G62" s="178"/>
      <c r="H62" s="179"/>
    </row>
    <row r="63" ht="15.75" customHeight="1">
      <c r="B63" s="728">
        <v>68157.0</v>
      </c>
      <c r="C63" s="726" t="s">
        <v>1467</v>
      </c>
      <c r="D63" s="403">
        <v>33.0</v>
      </c>
      <c r="E63" s="170">
        <v>0.3</v>
      </c>
      <c r="F63" s="403">
        <f t="shared" ref="F63:F72" si="13">D63*E63</f>
        <v>9.9</v>
      </c>
      <c r="G63" s="403">
        <f t="shared" ref="G63:G72" si="14">D63+F63</f>
        <v>42.9</v>
      </c>
      <c r="H63" s="979">
        <f t="shared" ref="H63:H72" si="15">G63*1.22</f>
        <v>52.338</v>
      </c>
      <c r="I63" s="526">
        <v>7.74</v>
      </c>
      <c r="J63" s="1003">
        <f t="shared" ref="J63:J72" si="16">G63/I63</f>
        <v>5.542635659</v>
      </c>
    </row>
    <row r="64" ht="15.75" customHeight="1">
      <c r="B64" s="980">
        <v>2138521.0</v>
      </c>
      <c r="C64" s="726" t="s">
        <v>1468</v>
      </c>
      <c r="D64" s="403">
        <v>69.0</v>
      </c>
      <c r="E64" s="170">
        <v>0.3</v>
      </c>
      <c r="F64" s="403">
        <f t="shared" si="13"/>
        <v>20.7</v>
      </c>
      <c r="G64" s="403">
        <f t="shared" si="14"/>
        <v>89.7</v>
      </c>
      <c r="H64" s="979">
        <f t="shared" si="15"/>
        <v>109.434</v>
      </c>
      <c r="I64" s="526">
        <v>28.8</v>
      </c>
      <c r="J64" s="1004">
        <f t="shared" si="16"/>
        <v>3.114583333</v>
      </c>
    </row>
    <row r="65" ht="15.75" customHeight="1">
      <c r="B65" s="758">
        <v>2138343.0</v>
      </c>
      <c r="C65" s="726" t="s">
        <v>1469</v>
      </c>
      <c r="D65" s="403">
        <v>66.0</v>
      </c>
      <c r="E65" s="170">
        <v>0.3</v>
      </c>
      <c r="F65" s="403">
        <f t="shared" si="13"/>
        <v>19.8</v>
      </c>
      <c r="G65" s="403">
        <f t="shared" si="14"/>
        <v>85.8</v>
      </c>
      <c r="H65" s="979">
        <f t="shared" si="15"/>
        <v>104.676</v>
      </c>
      <c r="I65" s="526">
        <v>18.3</v>
      </c>
      <c r="J65" s="748">
        <f t="shared" si="16"/>
        <v>4.68852459</v>
      </c>
    </row>
    <row r="66" ht="15.75" customHeight="1">
      <c r="B66" s="1000">
        <v>28061.0</v>
      </c>
      <c r="C66" s="1001" t="s">
        <v>1470</v>
      </c>
      <c r="D66" s="403">
        <v>78.7</v>
      </c>
      <c r="E66" s="170">
        <v>0.3</v>
      </c>
      <c r="F66" s="403">
        <f t="shared" si="13"/>
        <v>23.61</v>
      </c>
      <c r="G66" s="403">
        <f t="shared" si="14"/>
        <v>102.31</v>
      </c>
      <c r="H66" s="979">
        <f t="shared" si="15"/>
        <v>124.8182</v>
      </c>
      <c r="I66" s="526">
        <v>15.87</v>
      </c>
      <c r="J66" s="1003">
        <f t="shared" si="16"/>
        <v>6.446754883</v>
      </c>
    </row>
    <row r="67" ht="15.75" customHeight="1">
      <c r="B67" s="1000">
        <v>87838.0</v>
      </c>
      <c r="C67" s="630" t="s">
        <v>1471</v>
      </c>
      <c r="D67" s="410">
        <v>62.0</v>
      </c>
      <c r="E67" s="170">
        <v>0.3</v>
      </c>
      <c r="F67" s="403">
        <f t="shared" si="13"/>
        <v>18.6</v>
      </c>
      <c r="G67" s="403">
        <f t="shared" si="14"/>
        <v>80.6</v>
      </c>
      <c r="H67" s="979">
        <f t="shared" si="15"/>
        <v>98.332</v>
      </c>
      <c r="I67" s="526">
        <v>9.92</v>
      </c>
      <c r="J67" s="748">
        <f t="shared" si="16"/>
        <v>8.125</v>
      </c>
    </row>
    <row r="68" ht="15.75" customHeight="1">
      <c r="B68" s="1000">
        <v>28012.0</v>
      </c>
      <c r="C68" s="630" t="s">
        <v>1472</v>
      </c>
      <c r="D68" s="410">
        <v>65.9</v>
      </c>
      <c r="E68" s="170">
        <v>0.3</v>
      </c>
      <c r="F68" s="403">
        <f t="shared" si="13"/>
        <v>19.77</v>
      </c>
      <c r="G68" s="403">
        <f t="shared" si="14"/>
        <v>85.67</v>
      </c>
      <c r="H68" s="979">
        <f t="shared" si="15"/>
        <v>104.5174</v>
      </c>
      <c r="I68" s="526">
        <v>12.83</v>
      </c>
      <c r="J68" s="1004">
        <f t="shared" si="16"/>
        <v>6.677318784</v>
      </c>
    </row>
    <row r="69" ht="15.75" customHeight="1">
      <c r="B69" s="758" t="s">
        <v>1473</v>
      </c>
      <c r="C69" s="726" t="s">
        <v>1474</v>
      </c>
      <c r="D69" s="403">
        <v>49.64</v>
      </c>
      <c r="E69" s="170">
        <v>0.3</v>
      </c>
      <c r="F69" s="403">
        <f t="shared" si="13"/>
        <v>14.892</v>
      </c>
      <c r="G69" s="403">
        <f t="shared" si="14"/>
        <v>64.532</v>
      </c>
      <c r="H69" s="979">
        <f t="shared" si="15"/>
        <v>78.72904</v>
      </c>
      <c r="I69" s="526">
        <v>18.0</v>
      </c>
      <c r="J69" s="1004">
        <f t="shared" si="16"/>
        <v>3.585111111</v>
      </c>
    </row>
    <row r="70" ht="15.75" customHeight="1">
      <c r="B70" s="1000" t="s">
        <v>1475</v>
      </c>
      <c r="C70" s="1001" t="s">
        <v>1476</v>
      </c>
      <c r="D70" s="403">
        <v>78.0</v>
      </c>
      <c r="E70" s="170">
        <v>0.3</v>
      </c>
      <c r="F70" s="403">
        <f t="shared" si="13"/>
        <v>23.4</v>
      </c>
      <c r="G70" s="403">
        <f t="shared" si="14"/>
        <v>101.4</v>
      </c>
      <c r="H70" s="979">
        <f t="shared" si="15"/>
        <v>123.708</v>
      </c>
      <c r="I70" s="526">
        <v>15.87</v>
      </c>
      <c r="J70" s="748">
        <f t="shared" si="16"/>
        <v>6.389413989</v>
      </c>
    </row>
    <row r="71" ht="15.75" customHeight="1">
      <c r="B71" s="1000" t="s">
        <v>1477</v>
      </c>
      <c r="C71" s="630" t="s">
        <v>1478</v>
      </c>
      <c r="D71" s="410">
        <v>76.0</v>
      </c>
      <c r="E71" s="170">
        <v>0.3</v>
      </c>
      <c r="F71" s="403">
        <f t="shared" si="13"/>
        <v>22.8</v>
      </c>
      <c r="G71" s="403">
        <f t="shared" si="14"/>
        <v>98.8</v>
      </c>
      <c r="H71" s="979">
        <f t="shared" si="15"/>
        <v>120.536</v>
      </c>
      <c r="I71" s="526">
        <v>15.87</v>
      </c>
      <c r="J71" s="748">
        <f t="shared" si="16"/>
        <v>6.225582861</v>
      </c>
    </row>
    <row r="72" ht="15.75" customHeight="1">
      <c r="B72" s="1000" t="s">
        <v>1479</v>
      </c>
      <c r="C72" s="630" t="s">
        <v>1480</v>
      </c>
      <c r="D72" s="410">
        <v>32.0</v>
      </c>
      <c r="E72" s="170">
        <v>0.3</v>
      </c>
      <c r="F72" s="403">
        <f t="shared" si="13"/>
        <v>9.6</v>
      </c>
      <c r="G72" s="403">
        <f t="shared" si="14"/>
        <v>41.6</v>
      </c>
      <c r="H72" s="979">
        <f t="shared" si="15"/>
        <v>50.752</v>
      </c>
      <c r="I72" s="526">
        <v>4.32</v>
      </c>
      <c r="J72" s="1004">
        <f t="shared" si="16"/>
        <v>9.62962963</v>
      </c>
      <c r="L72" s="526">
        <f>H72*1.12</f>
        <v>56.84224</v>
      </c>
    </row>
    <row r="73" ht="15.75" customHeight="1">
      <c r="B73" s="1000"/>
      <c r="C73" s="630"/>
      <c r="D73" s="410"/>
      <c r="E73" s="170"/>
      <c r="F73" s="403"/>
      <c r="G73" s="403"/>
      <c r="H73" s="979"/>
      <c r="I73" s="526"/>
      <c r="J73" s="1004"/>
    </row>
    <row r="74" ht="15.75" customHeight="1">
      <c r="B74" s="1000" t="s">
        <v>1481</v>
      </c>
      <c r="C74" s="630" t="s">
        <v>1482</v>
      </c>
      <c r="D74" s="410">
        <v>18.8</v>
      </c>
      <c r="E74" s="1005"/>
      <c r="F74" s="410"/>
      <c r="G74" s="1000">
        <f>D74*1.2</f>
        <v>22.56</v>
      </c>
      <c r="H74" s="982">
        <f t="shared" ref="H74:H87" si="17">G74*1.22</f>
        <v>27.5232</v>
      </c>
    </row>
    <row r="75" ht="15.75" customHeight="1">
      <c r="B75" s="1000" t="s">
        <v>1483</v>
      </c>
      <c r="C75" s="630" t="s">
        <v>1484</v>
      </c>
      <c r="D75" s="410">
        <v>6.9</v>
      </c>
      <c r="E75" s="1005"/>
      <c r="F75" s="410"/>
      <c r="G75" s="1000">
        <f>D75*1.4</f>
        <v>9.66</v>
      </c>
      <c r="H75" s="982">
        <f t="shared" si="17"/>
        <v>11.7852</v>
      </c>
    </row>
    <row r="76" ht="15.75" customHeight="1">
      <c r="B76" s="1000"/>
      <c r="C76" s="630" t="s">
        <v>1485</v>
      </c>
      <c r="D76" s="410">
        <v>72.97</v>
      </c>
      <c r="E76" s="170">
        <v>0.36</v>
      </c>
      <c r="F76" s="403">
        <f>D76*E76</f>
        <v>26.2692</v>
      </c>
      <c r="G76" s="1000">
        <f>D76*1.36</f>
        <v>99.2392</v>
      </c>
      <c r="H76" s="979">
        <f t="shared" si="17"/>
        <v>121.071824</v>
      </c>
    </row>
    <row r="77" ht="15.75" customHeight="1">
      <c r="B77" s="1000"/>
      <c r="C77" s="630"/>
      <c r="D77" s="410"/>
      <c r="E77" s="1005"/>
      <c r="F77" s="410"/>
      <c r="G77" s="410"/>
      <c r="H77" s="982">
        <f t="shared" si="17"/>
        <v>0</v>
      </c>
    </row>
    <row r="78" ht="15.75" customHeight="1">
      <c r="B78" s="1000"/>
      <c r="C78" s="630"/>
      <c r="D78" s="410"/>
      <c r="E78" s="1005"/>
      <c r="F78" s="410"/>
      <c r="G78" s="410"/>
      <c r="H78" s="982">
        <f t="shared" si="17"/>
        <v>0</v>
      </c>
    </row>
    <row r="79" ht="15.75" customHeight="1">
      <c r="B79" s="1000"/>
      <c r="C79" s="630"/>
      <c r="D79" s="410"/>
      <c r="E79" s="1005"/>
      <c r="F79" s="410"/>
      <c r="G79" s="410"/>
      <c r="H79" s="982">
        <f t="shared" si="17"/>
        <v>0</v>
      </c>
    </row>
    <row r="80" ht="15.75" customHeight="1">
      <c r="B80" s="1000"/>
      <c r="C80" s="630"/>
      <c r="D80" s="410"/>
      <c r="E80" s="1005"/>
      <c r="F80" s="410"/>
      <c r="G80" s="410"/>
      <c r="H80" s="982">
        <f t="shared" si="17"/>
        <v>0</v>
      </c>
    </row>
    <row r="81" ht="15.75" customHeight="1">
      <c r="B81" s="1000"/>
      <c r="C81" s="630"/>
      <c r="D81" s="410"/>
      <c r="E81" s="1005"/>
      <c r="F81" s="410"/>
      <c r="G81" s="410"/>
      <c r="H81" s="982">
        <f t="shared" si="17"/>
        <v>0</v>
      </c>
    </row>
    <row r="82" ht="15.75" customHeight="1">
      <c r="B82" s="1000"/>
      <c r="C82" s="630"/>
      <c r="D82" s="410"/>
      <c r="E82" s="1005"/>
      <c r="F82" s="410"/>
      <c r="G82" s="410"/>
      <c r="H82" s="982">
        <f t="shared" si="17"/>
        <v>0</v>
      </c>
    </row>
    <row r="83" ht="15.75" customHeight="1">
      <c r="B83" s="1000"/>
      <c r="C83" s="630"/>
      <c r="D83" s="410"/>
      <c r="E83" s="1005"/>
      <c r="F83" s="410"/>
      <c r="G83" s="410"/>
      <c r="H83" s="982">
        <f t="shared" si="17"/>
        <v>0</v>
      </c>
    </row>
    <row r="84" ht="15.75" customHeight="1">
      <c r="B84" s="1000"/>
      <c r="C84" s="630"/>
      <c r="D84" s="410"/>
      <c r="E84" s="1005"/>
      <c r="F84" s="410"/>
      <c r="G84" s="410"/>
      <c r="H84" s="982">
        <f t="shared" si="17"/>
        <v>0</v>
      </c>
    </row>
    <row r="85" ht="15.75" customHeight="1">
      <c r="B85" s="1000"/>
      <c r="C85" s="630"/>
      <c r="D85" s="410"/>
      <c r="E85" s="1005"/>
      <c r="F85" s="410"/>
      <c r="G85" s="410"/>
      <c r="H85" s="982">
        <f t="shared" si="17"/>
        <v>0</v>
      </c>
    </row>
    <row r="86" ht="15.75" customHeight="1">
      <c r="B86" s="1000"/>
      <c r="C86" s="630"/>
      <c r="D86" s="410"/>
      <c r="E86" s="1005"/>
      <c r="F86" s="410"/>
      <c r="G86" s="410"/>
      <c r="H86" s="982">
        <f t="shared" si="17"/>
        <v>0</v>
      </c>
    </row>
    <row r="87" ht="15.75" customHeight="1">
      <c r="B87" s="1000"/>
      <c r="C87" s="630"/>
      <c r="D87" s="410"/>
      <c r="E87" s="1005"/>
      <c r="F87" s="410"/>
      <c r="G87" s="410"/>
      <c r="H87" s="982">
        <f t="shared" si="17"/>
        <v>0</v>
      </c>
    </row>
    <row r="88" ht="15.75" customHeight="1">
      <c r="B88" s="637"/>
      <c r="D88" s="321"/>
      <c r="E88" s="642"/>
      <c r="F88" s="314"/>
      <c r="G88" s="314"/>
    </row>
    <row r="89" ht="15.75" customHeight="1">
      <c r="B89" s="637"/>
      <c r="D89" s="321"/>
      <c r="E89" s="642"/>
      <c r="F89" s="314"/>
      <c r="G89" s="314"/>
    </row>
    <row r="90" ht="15.75" customHeight="1">
      <c r="B90" s="637"/>
      <c r="D90" s="321"/>
      <c r="E90" s="642"/>
      <c r="F90" s="314"/>
      <c r="G90" s="314"/>
    </row>
    <row r="91" ht="15.75" customHeight="1">
      <c r="B91" s="637"/>
      <c r="D91" s="321"/>
      <c r="E91" s="642"/>
      <c r="F91" s="314"/>
      <c r="G91" s="314"/>
    </row>
    <row r="92" ht="15.75" customHeight="1">
      <c r="B92" s="637"/>
      <c r="D92" s="321"/>
      <c r="E92" s="642"/>
      <c r="F92" s="314"/>
      <c r="G92" s="314"/>
    </row>
    <row r="93" ht="15.75" customHeight="1">
      <c r="B93" s="637"/>
      <c r="D93" s="321"/>
      <c r="E93" s="642"/>
      <c r="F93" s="314"/>
      <c r="G93" s="314"/>
    </row>
    <row r="94" ht="15.75" customHeight="1">
      <c r="B94" s="637"/>
      <c r="D94" s="321"/>
      <c r="E94" s="642"/>
      <c r="F94" s="314"/>
      <c r="G94" s="314"/>
    </row>
    <row r="95" ht="15.75" customHeight="1">
      <c r="B95" s="637"/>
      <c r="D95" s="321"/>
      <c r="E95" s="642"/>
      <c r="F95" s="314"/>
      <c r="G95" s="314"/>
    </row>
    <row r="96" ht="15.75" customHeight="1">
      <c r="B96" s="637"/>
      <c r="D96" s="321"/>
      <c r="E96" s="642"/>
      <c r="F96" s="314"/>
      <c r="G96" s="314"/>
    </row>
    <row r="97" ht="15.75" customHeight="1">
      <c r="B97" s="637"/>
      <c r="D97" s="321"/>
      <c r="E97" s="642"/>
      <c r="F97" s="314"/>
      <c r="G97" s="314"/>
    </row>
    <row r="98" ht="15.75" customHeight="1">
      <c r="B98" s="637"/>
      <c r="D98" s="321"/>
      <c r="E98" s="642"/>
      <c r="F98" s="314"/>
      <c r="G98" s="314"/>
    </row>
    <row r="99" ht="15.75" customHeight="1">
      <c r="B99" s="637"/>
      <c r="D99" s="321"/>
      <c r="E99" s="642"/>
      <c r="F99" s="314"/>
      <c r="G99" s="314"/>
    </row>
    <row r="100" ht="15.75" customHeight="1">
      <c r="B100" s="637"/>
      <c r="D100" s="321"/>
      <c r="E100" s="642"/>
      <c r="F100" s="314"/>
      <c r="G100" s="314"/>
    </row>
    <row r="101" ht="15.75" customHeight="1">
      <c r="B101" s="637"/>
      <c r="D101" s="321"/>
      <c r="E101" s="642"/>
      <c r="F101" s="314"/>
      <c r="G101" s="314"/>
    </row>
    <row r="102" ht="15.75" customHeight="1">
      <c r="B102" s="637"/>
      <c r="D102" s="321"/>
      <c r="E102" s="642"/>
      <c r="F102" s="314"/>
      <c r="G102" s="314"/>
    </row>
    <row r="103" ht="15.75" customHeight="1">
      <c r="B103" s="637"/>
      <c r="D103" s="321"/>
      <c r="E103" s="642"/>
      <c r="F103" s="314"/>
      <c r="G103" s="314"/>
    </row>
    <row r="104" ht="15.75" customHeight="1">
      <c r="B104" s="637"/>
      <c r="D104" s="321"/>
      <c r="E104" s="642"/>
      <c r="F104" s="314"/>
      <c r="G104" s="314"/>
    </row>
    <row r="105" ht="15.75" customHeight="1">
      <c r="B105" s="637"/>
      <c r="D105" s="321"/>
      <c r="E105" s="642"/>
      <c r="F105" s="314"/>
      <c r="G105" s="314"/>
    </row>
    <row r="106" ht="15.75" customHeight="1">
      <c r="B106" s="637"/>
      <c r="D106" s="321"/>
      <c r="E106" s="642"/>
      <c r="F106" s="314"/>
      <c r="G106" s="314"/>
    </row>
    <row r="107" ht="15.75" customHeight="1">
      <c r="B107" s="637"/>
      <c r="D107" s="321"/>
      <c r="E107" s="642"/>
      <c r="F107" s="314"/>
      <c r="G107" s="314"/>
    </row>
    <row r="108" ht="15.75" customHeight="1">
      <c r="B108" s="637"/>
      <c r="D108" s="321"/>
      <c r="E108" s="642"/>
      <c r="F108" s="314"/>
      <c r="G108" s="314"/>
    </row>
    <row r="109" ht="15.75" customHeight="1">
      <c r="B109" s="637"/>
      <c r="D109" s="321"/>
      <c r="E109" s="642"/>
      <c r="F109" s="314"/>
      <c r="G109" s="314"/>
    </row>
    <row r="110" ht="15.75" customHeight="1">
      <c r="B110" s="637"/>
      <c r="D110" s="321"/>
      <c r="E110" s="642"/>
      <c r="F110" s="314"/>
      <c r="G110" s="314"/>
    </row>
    <row r="111" ht="15.75" customHeight="1">
      <c r="B111" s="637"/>
      <c r="D111" s="321"/>
      <c r="E111" s="642"/>
      <c r="F111" s="314"/>
      <c r="G111" s="314"/>
    </row>
    <row r="112" ht="15.75" customHeight="1">
      <c r="B112" s="637"/>
      <c r="D112" s="321"/>
      <c r="E112" s="642"/>
      <c r="F112" s="314"/>
      <c r="G112" s="314"/>
    </row>
    <row r="113" ht="15.75" customHeight="1">
      <c r="B113" s="637"/>
      <c r="D113" s="321"/>
      <c r="E113" s="642"/>
      <c r="F113" s="314"/>
      <c r="G113" s="314"/>
    </row>
    <row r="114" ht="15.75" customHeight="1">
      <c r="B114" s="637"/>
      <c r="D114" s="321"/>
      <c r="E114" s="642"/>
      <c r="F114" s="314"/>
      <c r="G114" s="314"/>
    </row>
    <row r="115" ht="15.75" customHeight="1">
      <c r="B115" s="637"/>
      <c r="D115" s="321"/>
      <c r="E115" s="642"/>
      <c r="F115" s="314"/>
      <c r="G115" s="314"/>
    </row>
    <row r="116" ht="15.75" customHeight="1">
      <c r="B116" s="637"/>
      <c r="D116" s="321"/>
      <c r="E116" s="642"/>
      <c r="F116" s="314"/>
      <c r="G116" s="314"/>
    </row>
    <row r="117" ht="15.75" customHeight="1">
      <c r="B117" s="637"/>
      <c r="D117" s="321"/>
      <c r="E117" s="642"/>
      <c r="F117" s="314"/>
      <c r="G117" s="314"/>
    </row>
    <row r="118" ht="15.75" customHeight="1">
      <c r="B118" s="637"/>
      <c r="D118" s="321"/>
      <c r="E118" s="642"/>
      <c r="F118" s="314"/>
      <c r="G118" s="314"/>
    </row>
    <row r="119" ht="15.75" customHeight="1">
      <c r="B119" s="637"/>
      <c r="D119" s="321"/>
      <c r="E119" s="642"/>
      <c r="F119" s="314"/>
      <c r="G119" s="314"/>
    </row>
    <row r="120" ht="15.75" customHeight="1">
      <c r="B120" s="637"/>
      <c r="D120" s="321"/>
      <c r="E120" s="642"/>
      <c r="F120" s="314"/>
      <c r="G120" s="314"/>
    </row>
    <row r="121" ht="15.75" customHeight="1">
      <c r="B121" s="637"/>
      <c r="D121" s="321"/>
      <c r="E121" s="642"/>
      <c r="F121" s="314"/>
      <c r="G121" s="314"/>
    </row>
    <row r="122" ht="15.75" customHeight="1">
      <c r="B122" s="637"/>
      <c r="D122" s="321"/>
      <c r="E122" s="642"/>
      <c r="F122" s="314"/>
      <c r="G122" s="314"/>
    </row>
    <row r="123" ht="15.75" customHeight="1">
      <c r="B123" s="637"/>
      <c r="D123" s="321"/>
      <c r="E123" s="642"/>
      <c r="F123" s="314"/>
      <c r="G123" s="314"/>
    </row>
    <row r="124" ht="15.75" customHeight="1">
      <c r="B124" s="637"/>
      <c r="D124" s="321"/>
      <c r="E124" s="642"/>
      <c r="F124" s="314"/>
      <c r="G124" s="314"/>
    </row>
    <row r="125" ht="15.75" customHeight="1">
      <c r="B125" s="637"/>
      <c r="D125" s="321"/>
      <c r="E125" s="642"/>
      <c r="F125" s="314"/>
      <c r="G125" s="314"/>
    </row>
    <row r="126" ht="15.75" customHeight="1">
      <c r="B126" s="637"/>
      <c r="D126" s="321"/>
      <c r="E126" s="642"/>
      <c r="F126" s="314"/>
      <c r="G126" s="314"/>
    </row>
    <row r="127" ht="15.75" customHeight="1">
      <c r="B127" s="637"/>
      <c r="D127" s="321"/>
      <c r="E127" s="642"/>
      <c r="F127" s="314"/>
      <c r="G127" s="314"/>
    </row>
    <row r="128" ht="15.75" customHeight="1">
      <c r="B128" s="637"/>
      <c r="D128" s="321"/>
      <c r="E128" s="642"/>
      <c r="F128" s="314"/>
      <c r="G128" s="314"/>
    </row>
    <row r="129" ht="15.75" customHeight="1">
      <c r="B129" s="637"/>
      <c r="D129" s="321"/>
      <c r="E129" s="642"/>
      <c r="F129" s="314"/>
      <c r="G129" s="314"/>
    </row>
    <row r="130" ht="15.75" customHeight="1">
      <c r="B130" s="637"/>
      <c r="D130" s="321"/>
      <c r="E130" s="642"/>
      <c r="F130" s="314"/>
      <c r="G130" s="314"/>
    </row>
    <row r="131" ht="15.75" customHeight="1">
      <c r="B131" s="637"/>
      <c r="D131" s="321"/>
      <c r="E131" s="642"/>
      <c r="F131" s="314"/>
      <c r="G131" s="314"/>
    </row>
    <row r="132" ht="15.75" customHeight="1">
      <c r="B132" s="637"/>
      <c r="D132" s="321"/>
      <c r="E132" s="642"/>
      <c r="F132" s="314"/>
      <c r="G132" s="314"/>
    </row>
    <row r="133" ht="15.75" customHeight="1">
      <c r="B133" s="637"/>
      <c r="D133" s="321"/>
      <c r="E133" s="642"/>
      <c r="F133" s="314"/>
      <c r="G133" s="314"/>
    </row>
    <row r="134" ht="15.75" customHeight="1">
      <c r="B134" s="637"/>
      <c r="D134" s="321"/>
      <c r="E134" s="642"/>
      <c r="F134" s="314"/>
      <c r="G134" s="314"/>
    </row>
    <row r="135" ht="15.75" customHeight="1">
      <c r="B135" s="637"/>
      <c r="D135" s="321"/>
      <c r="E135" s="642"/>
      <c r="F135" s="314"/>
      <c r="G135" s="314"/>
    </row>
    <row r="136" ht="15.75" customHeight="1">
      <c r="B136" s="637"/>
      <c r="D136" s="321"/>
      <c r="E136" s="642"/>
      <c r="F136" s="314"/>
      <c r="G136" s="314"/>
    </row>
    <row r="137" ht="15.75" customHeight="1">
      <c r="B137" s="637"/>
      <c r="D137" s="321"/>
      <c r="E137" s="642"/>
      <c r="F137" s="314"/>
      <c r="G137" s="314"/>
    </row>
    <row r="138" ht="15.75" customHeight="1">
      <c r="B138" s="637"/>
      <c r="D138" s="321"/>
      <c r="E138" s="642"/>
      <c r="F138" s="314"/>
      <c r="G138" s="314"/>
    </row>
    <row r="139" ht="15.75" customHeight="1">
      <c r="B139" s="637"/>
      <c r="D139" s="321"/>
      <c r="E139" s="642"/>
      <c r="F139" s="314"/>
      <c r="G139" s="314"/>
    </row>
    <row r="140" ht="15.75" customHeight="1">
      <c r="B140" s="637"/>
      <c r="D140" s="321"/>
      <c r="E140" s="642"/>
      <c r="F140" s="314"/>
      <c r="G140" s="314"/>
    </row>
    <row r="141" ht="15.75" customHeight="1">
      <c r="B141" s="637"/>
      <c r="D141" s="321"/>
      <c r="E141" s="642"/>
      <c r="F141" s="314"/>
      <c r="G141" s="314"/>
    </row>
    <row r="142" ht="15.75" customHeight="1">
      <c r="B142" s="637"/>
      <c r="D142" s="321"/>
      <c r="E142" s="642"/>
      <c r="F142" s="314"/>
      <c r="G142" s="314"/>
    </row>
    <row r="143" ht="15.75" customHeight="1">
      <c r="B143" s="637"/>
      <c r="D143" s="321"/>
      <c r="E143" s="642"/>
      <c r="F143" s="314"/>
      <c r="G143" s="314"/>
    </row>
    <row r="144" ht="15.75" customHeight="1">
      <c r="B144" s="637"/>
      <c r="D144" s="321"/>
      <c r="E144" s="642"/>
      <c r="F144" s="314"/>
      <c r="G144" s="314"/>
    </row>
    <row r="145" ht="15.75" customHeight="1">
      <c r="B145" s="637"/>
      <c r="D145" s="321"/>
      <c r="E145" s="642"/>
      <c r="F145" s="314"/>
      <c r="G145" s="314"/>
    </row>
    <row r="146" ht="15.75" customHeight="1">
      <c r="B146" s="637"/>
      <c r="D146" s="321"/>
      <c r="E146" s="642"/>
      <c r="F146" s="314"/>
      <c r="G146" s="314"/>
    </row>
    <row r="147" ht="15.75" customHeight="1">
      <c r="B147" s="637"/>
      <c r="D147" s="321"/>
      <c r="E147" s="642"/>
      <c r="F147" s="314"/>
      <c r="G147" s="314"/>
    </row>
    <row r="148" ht="15.75" customHeight="1">
      <c r="B148" s="637"/>
      <c r="D148" s="321"/>
      <c r="E148" s="642"/>
      <c r="F148" s="314"/>
      <c r="G148" s="314"/>
    </row>
    <row r="149" ht="15.75" customHeight="1">
      <c r="B149" s="637"/>
      <c r="D149" s="321"/>
      <c r="E149" s="642"/>
      <c r="F149" s="314"/>
      <c r="G149" s="314"/>
    </row>
    <row r="150" ht="15.75" customHeight="1">
      <c r="B150" s="637"/>
      <c r="D150" s="321"/>
      <c r="E150" s="642"/>
      <c r="F150" s="314"/>
      <c r="G150" s="314"/>
    </row>
    <row r="151" ht="15.75" customHeight="1">
      <c r="B151" s="637"/>
      <c r="D151" s="321"/>
      <c r="E151" s="642"/>
      <c r="F151" s="314"/>
      <c r="G151" s="314"/>
    </row>
    <row r="152" ht="15.75" customHeight="1">
      <c r="B152" s="637"/>
      <c r="D152" s="321"/>
      <c r="E152" s="642"/>
      <c r="F152" s="314"/>
      <c r="G152" s="314"/>
    </row>
    <row r="153" ht="15.75" customHeight="1">
      <c r="B153" s="637"/>
      <c r="D153" s="321"/>
      <c r="E153" s="642"/>
      <c r="F153" s="314"/>
      <c r="G153" s="314"/>
    </row>
    <row r="154" ht="15.75" customHeight="1">
      <c r="B154" s="637"/>
      <c r="D154" s="321"/>
      <c r="E154" s="642"/>
      <c r="F154" s="314"/>
      <c r="G154" s="314"/>
    </row>
    <row r="155" ht="15.75" customHeight="1">
      <c r="B155" s="637"/>
      <c r="D155" s="321"/>
      <c r="E155" s="642"/>
      <c r="F155" s="314"/>
      <c r="G155" s="314"/>
    </row>
    <row r="156" ht="15.75" customHeight="1">
      <c r="B156" s="637"/>
      <c r="D156" s="321"/>
      <c r="E156" s="642"/>
      <c r="F156" s="314"/>
      <c r="G156" s="314"/>
    </row>
    <row r="157" ht="15.75" customHeight="1">
      <c r="B157" s="637"/>
      <c r="D157" s="321"/>
      <c r="E157" s="642"/>
      <c r="F157" s="314"/>
      <c r="G157" s="314"/>
    </row>
    <row r="158" ht="15.75" customHeight="1">
      <c r="B158" s="637"/>
      <c r="D158" s="321"/>
      <c r="E158" s="642"/>
      <c r="F158" s="314"/>
      <c r="G158" s="314"/>
    </row>
    <row r="159" ht="15.75" customHeight="1">
      <c r="B159" s="637"/>
      <c r="D159" s="321"/>
      <c r="E159" s="642"/>
      <c r="F159" s="314"/>
      <c r="G159" s="314"/>
    </row>
    <row r="160" ht="15.75" customHeight="1">
      <c r="B160" s="637"/>
      <c r="D160" s="321"/>
      <c r="E160" s="642"/>
      <c r="F160" s="314"/>
      <c r="G160" s="314"/>
    </row>
    <row r="161" ht="15.75" customHeight="1">
      <c r="B161" s="637"/>
      <c r="D161" s="321"/>
      <c r="E161" s="642"/>
      <c r="F161" s="314"/>
      <c r="G161" s="314"/>
    </row>
    <row r="162" ht="15.75" customHeight="1">
      <c r="B162" s="637"/>
      <c r="D162" s="321"/>
      <c r="E162" s="642"/>
      <c r="F162" s="314"/>
      <c r="G162" s="314"/>
    </row>
    <row r="163" ht="15.75" customHeight="1">
      <c r="B163" s="637"/>
      <c r="D163" s="321"/>
      <c r="E163" s="642"/>
      <c r="F163" s="314"/>
      <c r="G163" s="314"/>
    </row>
    <row r="164" ht="15.75" customHeight="1">
      <c r="B164" s="637"/>
      <c r="D164" s="321"/>
      <c r="E164" s="642"/>
      <c r="F164" s="314"/>
      <c r="G164" s="314"/>
    </row>
    <row r="165" ht="15.75" customHeight="1">
      <c r="B165" s="637"/>
      <c r="D165" s="321"/>
      <c r="E165" s="642"/>
      <c r="F165" s="314"/>
      <c r="G165" s="314"/>
    </row>
    <row r="166" ht="15.75" customHeight="1">
      <c r="B166" s="637"/>
      <c r="D166" s="321"/>
      <c r="E166" s="642"/>
      <c r="F166" s="314"/>
      <c r="G166" s="314"/>
    </row>
    <row r="167" ht="15.75" customHeight="1">
      <c r="B167" s="637"/>
      <c r="D167" s="321"/>
      <c r="E167" s="642"/>
      <c r="F167" s="314"/>
      <c r="G167" s="314"/>
    </row>
    <row r="168" ht="15.75" customHeight="1">
      <c r="B168" s="637"/>
      <c r="D168" s="321"/>
      <c r="E168" s="642"/>
      <c r="F168" s="314"/>
      <c r="G168" s="314"/>
    </row>
    <row r="169" ht="15.75" customHeight="1">
      <c r="B169" s="637"/>
      <c r="D169" s="321"/>
      <c r="E169" s="642"/>
      <c r="F169" s="314"/>
      <c r="G169" s="314"/>
    </row>
    <row r="170" ht="15.75" customHeight="1">
      <c r="B170" s="637"/>
      <c r="D170" s="321"/>
      <c r="E170" s="642"/>
      <c r="F170" s="314"/>
      <c r="G170" s="314"/>
    </row>
    <row r="171" ht="15.75" customHeight="1">
      <c r="B171" s="637"/>
      <c r="D171" s="321"/>
      <c r="E171" s="642"/>
      <c r="F171" s="314"/>
      <c r="G171" s="314"/>
    </row>
    <row r="172" ht="15.75" customHeight="1">
      <c r="B172" s="637"/>
      <c r="D172" s="321"/>
      <c r="E172" s="642"/>
      <c r="F172" s="314"/>
      <c r="G172" s="314"/>
    </row>
    <row r="173" ht="15.75" customHeight="1">
      <c r="B173" s="637"/>
      <c r="D173" s="321"/>
      <c r="E173" s="642"/>
      <c r="F173" s="314"/>
      <c r="G173" s="314"/>
    </row>
    <row r="174" ht="15.75" customHeight="1">
      <c r="B174" s="637"/>
      <c r="D174" s="321"/>
      <c r="E174" s="642"/>
      <c r="F174" s="314"/>
      <c r="G174" s="314"/>
    </row>
    <row r="175" ht="15.75" customHeight="1">
      <c r="B175" s="637"/>
      <c r="D175" s="321"/>
      <c r="E175" s="642"/>
      <c r="F175" s="314"/>
      <c r="G175" s="314"/>
    </row>
    <row r="176" ht="15.75" customHeight="1">
      <c r="B176" s="637"/>
      <c r="D176" s="321"/>
      <c r="E176" s="642"/>
      <c r="F176" s="314"/>
      <c r="G176" s="314"/>
    </row>
    <row r="177" ht="15.75" customHeight="1">
      <c r="B177" s="637"/>
      <c r="D177" s="321"/>
      <c r="E177" s="642"/>
      <c r="F177" s="314"/>
      <c r="G177" s="314"/>
    </row>
    <row r="178" ht="15.75" customHeight="1">
      <c r="B178" s="637"/>
      <c r="D178" s="321"/>
      <c r="E178" s="642"/>
      <c r="F178" s="314"/>
      <c r="G178" s="314"/>
    </row>
    <row r="179" ht="15.75" customHeight="1">
      <c r="B179" s="637"/>
      <c r="D179" s="321"/>
      <c r="E179" s="642"/>
      <c r="F179" s="314"/>
      <c r="G179" s="314"/>
    </row>
    <row r="180" ht="15.75" customHeight="1">
      <c r="B180" s="637"/>
      <c r="D180" s="321"/>
      <c r="E180" s="642"/>
      <c r="F180" s="314"/>
      <c r="G180" s="314"/>
    </row>
    <row r="181" ht="15.75" customHeight="1">
      <c r="B181" s="637"/>
      <c r="D181" s="321"/>
      <c r="E181" s="642"/>
      <c r="F181" s="314"/>
      <c r="G181" s="314"/>
    </row>
    <row r="182" ht="15.75" customHeight="1">
      <c r="B182" s="637"/>
      <c r="D182" s="321"/>
      <c r="E182" s="642"/>
      <c r="F182" s="314"/>
      <c r="G182" s="314"/>
    </row>
    <row r="183" ht="15.75" customHeight="1">
      <c r="B183" s="637"/>
      <c r="D183" s="321"/>
      <c r="E183" s="642"/>
      <c r="F183" s="314"/>
      <c r="G183" s="314"/>
    </row>
    <row r="184" ht="15.75" customHeight="1">
      <c r="B184" s="637"/>
      <c r="D184" s="321"/>
      <c r="E184" s="642"/>
      <c r="F184" s="314"/>
      <c r="G184" s="314"/>
    </row>
    <row r="185" ht="15.75" customHeight="1">
      <c r="B185" s="637"/>
      <c r="D185" s="321"/>
      <c r="E185" s="642"/>
      <c r="F185" s="314"/>
      <c r="G185" s="314"/>
    </row>
    <row r="186" ht="15.75" customHeight="1">
      <c r="B186" s="637"/>
      <c r="D186" s="321"/>
      <c r="E186" s="642"/>
      <c r="F186" s="314"/>
      <c r="G186" s="314"/>
    </row>
    <row r="187" ht="15.75" customHeight="1">
      <c r="B187" s="637"/>
      <c r="D187" s="321"/>
      <c r="E187" s="642"/>
      <c r="F187" s="314"/>
      <c r="G187" s="314"/>
    </row>
    <row r="188" ht="15.75" customHeight="1">
      <c r="B188" s="637"/>
      <c r="D188" s="321"/>
      <c r="E188" s="642"/>
      <c r="F188" s="314"/>
      <c r="G188" s="314"/>
    </row>
    <row r="189" ht="15.75" customHeight="1">
      <c r="B189" s="637"/>
      <c r="D189" s="321"/>
      <c r="E189" s="642"/>
      <c r="F189" s="314"/>
      <c r="G189" s="314"/>
    </row>
    <row r="190" ht="15.75" customHeight="1">
      <c r="B190" s="637"/>
      <c r="D190" s="321"/>
      <c r="E190" s="642"/>
      <c r="F190" s="314"/>
      <c r="G190" s="314"/>
    </row>
    <row r="191" ht="15.75" customHeight="1">
      <c r="B191" s="637"/>
      <c r="D191" s="321"/>
      <c r="E191" s="642"/>
      <c r="F191" s="314"/>
      <c r="G191" s="314"/>
    </row>
    <row r="192" ht="15.75" customHeight="1">
      <c r="B192" s="637"/>
      <c r="D192" s="321"/>
      <c r="E192" s="642"/>
      <c r="F192" s="314"/>
      <c r="G192" s="314"/>
    </row>
    <row r="193" ht="15.75" customHeight="1">
      <c r="B193" s="637"/>
      <c r="D193" s="321"/>
      <c r="E193" s="642"/>
      <c r="F193" s="314"/>
      <c r="G193" s="314"/>
    </row>
    <row r="194" ht="15.75" customHeight="1">
      <c r="B194" s="637"/>
      <c r="D194" s="321"/>
      <c r="E194" s="642"/>
      <c r="F194" s="314"/>
      <c r="G194" s="314"/>
    </row>
    <row r="195" ht="15.75" customHeight="1">
      <c r="B195" s="637"/>
      <c r="D195" s="321"/>
      <c r="E195" s="642"/>
      <c r="F195" s="314"/>
      <c r="G195" s="314"/>
    </row>
    <row r="196" ht="15.75" customHeight="1">
      <c r="B196" s="637"/>
      <c r="D196" s="321"/>
      <c r="E196" s="642"/>
      <c r="F196" s="314"/>
      <c r="G196" s="314"/>
    </row>
    <row r="197" ht="15.75" customHeight="1">
      <c r="B197" s="637"/>
      <c r="D197" s="321"/>
      <c r="E197" s="642"/>
      <c r="F197" s="314"/>
      <c r="G197" s="314"/>
    </row>
    <row r="198" ht="15.75" customHeight="1">
      <c r="B198" s="637"/>
      <c r="D198" s="321"/>
      <c r="E198" s="642"/>
      <c r="F198" s="314"/>
      <c r="G198" s="314"/>
    </row>
    <row r="199" ht="15.75" customHeight="1">
      <c r="B199" s="637"/>
      <c r="D199" s="321"/>
      <c r="E199" s="642"/>
      <c r="F199" s="314"/>
      <c r="G199" s="314"/>
    </row>
    <row r="200" ht="15.75" customHeight="1">
      <c r="B200" s="637"/>
      <c r="D200" s="321"/>
      <c r="E200" s="642"/>
      <c r="F200" s="314"/>
      <c r="G200" s="314"/>
    </row>
    <row r="201" ht="15.75" customHeight="1">
      <c r="B201" s="637"/>
      <c r="D201" s="321"/>
      <c r="E201" s="642"/>
      <c r="F201" s="314"/>
      <c r="G201" s="314"/>
    </row>
    <row r="202" ht="15.75" customHeight="1">
      <c r="B202" s="637"/>
      <c r="D202" s="321"/>
      <c r="E202" s="642"/>
      <c r="F202" s="314"/>
      <c r="G202" s="314"/>
    </row>
    <row r="203" ht="15.75" customHeight="1">
      <c r="B203" s="637"/>
      <c r="D203" s="321"/>
      <c r="E203" s="642"/>
      <c r="F203" s="314"/>
      <c r="G203" s="314"/>
    </row>
    <row r="204" ht="15.75" customHeight="1">
      <c r="B204" s="637"/>
      <c r="D204" s="321"/>
      <c r="E204" s="642"/>
      <c r="F204" s="314"/>
      <c r="G204" s="314"/>
    </row>
    <row r="205" ht="15.75" customHeight="1">
      <c r="B205" s="637"/>
      <c r="D205" s="321"/>
      <c r="E205" s="642"/>
      <c r="F205" s="314"/>
      <c r="G205" s="314"/>
    </row>
    <row r="206" ht="15.75" customHeight="1">
      <c r="B206" s="637"/>
      <c r="D206" s="321"/>
      <c r="E206" s="642"/>
      <c r="F206" s="314"/>
      <c r="G206" s="314"/>
    </row>
    <row r="207" ht="15.75" customHeight="1">
      <c r="B207" s="637"/>
      <c r="D207" s="321"/>
      <c r="E207" s="642"/>
      <c r="F207" s="314"/>
      <c r="G207" s="314"/>
    </row>
    <row r="208" ht="15.75" customHeight="1">
      <c r="B208" s="637"/>
      <c r="D208" s="321"/>
      <c r="E208" s="642"/>
      <c r="F208" s="314"/>
      <c r="G208" s="314"/>
    </row>
    <row r="209" ht="15.75" customHeight="1">
      <c r="B209" s="637"/>
      <c r="D209" s="321"/>
      <c r="E209" s="642"/>
      <c r="F209" s="314"/>
      <c r="G209" s="314"/>
    </row>
    <row r="210" ht="15.75" customHeight="1">
      <c r="B210" s="637"/>
      <c r="D210" s="321"/>
      <c r="E210" s="642"/>
      <c r="F210" s="314"/>
      <c r="G210" s="314"/>
    </row>
    <row r="211" ht="15.75" customHeight="1">
      <c r="B211" s="637"/>
      <c r="D211" s="321"/>
      <c r="E211" s="642"/>
      <c r="F211" s="314"/>
      <c r="G211" s="314"/>
    </row>
    <row r="212" ht="15.75" customHeight="1">
      <c r="B212" s="637"/>
      <c r="D212" s="321"/>
      <c r="E212" s="642"/>
      <c r="F212" s="314"/>
      <c r="G212" s="314"/>
    </row>
    <row r="213" ht="15.75" customHeight="1">
      <c r="B213" s="637"/>
      <c r="D213" s="321"/>
      <c r="E213" s="642"/>
      <c r="F213" s="314"/>
      <c r="G213" s="314"/>
    </row>
    <row r="214" ht="15.75" customHeight="1">
      <c r="B214" s="637"/>
      <c r="D214" s="321"/>
      <c r="E214" s="642"/>
      <c r="F214" s="314"/>
      <c r="G214" s="314"/>
    </row>
    <row r="215" ht="15.75" customHeight="1">
      <c r="B215" s="637"/>
      <c r="D215" s="321"/>
      <c r="E215" s="642"/>
      <c r="F215" s="314"/>
      <c r="G215" s="314"/>
    </row>
    <row r="216" ht="15.75" customHeight="1">
      <c r="B216" s="637"/>
      <c r="D216" s="321"/>
      <c r="E216" s="642"/>
      <c r="F216" s="314"/>
      <c r="G216" s="314"/>
    </row>
    <row r="217" ht="15.75" customHeight="1">
      <c r="B217" s="637"/>
      <c r="D217" s="321"/>
      <c r="E217" s="642"/>
      <c r="F217" s="314"/>
      <c r="G217" s="314"/>
    </row>
    <row r="218" ht="15.75" customHeight="1">
      <c r="B218" s="637"/>
      <c r="D218" s="321"/>
      <c r="E218" s="642"/>
      <c r="F218" s="314"/>
      <c r="G218" s="314"/>
    </row>
    <row r="219" ht="15.75" customHeight="1">
      <c r="B219" s="637"/>
      <c r="D219" s="321"/>
      <c r="E219" s="642"/>
      <c r="F219" s="314"/>
      <c r="G219" s="314"/>
    </row>
    <row r="220" ht="15.75" customHeight="1">
      <c r="B220" s="637"/>
      <c r="D220" s="321"/>
      <c r="E220" s="642"/>
      <c r="F220" s="314"/>
      <c r="G220" s="314"/>
    </row>
    <row r="221" ht="15.75" customHeight="1">
      <c r="B221" s="637"/>
      <c r="D221" s="321"/>
      <c r="E221" s="642"/>
      <c r="F221" s="314"/>
      <c r="G221" s="314"/>
    </row>
    <row r="222" ht="15.75" customHeight="1">
      <c r="B222" s="637"/>
      <c r="D222" s="321"/>
      <c r="E222" s="642"/>
      <c r="F222" s="314"/>
      <c r="G222" s="314"/>
    </row>
    <row r="223" ht="15.75" customHeight="1">
      <c r="B223" s="637"/>
      <c r="D223" s="321"/>
      <c r="E223" s="642"/>
      <c r="F223" s="314"/>
      <c r="G223" s="314"/>
    </row>
    <row r="224" ht="15.75" customHeight="1">
      <c r="B224" s="637"/>
      <c r="D224" s="321"/>
      <c r="E224" s="642"/>
      <c r="F224" s="314"/>
      <c r="G224" s="314"/>
    </row>
    <row r="225" ht="15.75" customHeight="1">
      <c r="B225" s="637"/>
      <c r="D225" s="321"/>
      <c r="E225" s="642"/>
      <c r="F225" s="314"/>
      <c r="G225" s="314"/>
    </row>
    <row r="226" ht="15.75" customHeight="1">
      <c r="B226" s="637"/>
      <c r="D226" s="321"/>
      <c r="E226" s="642"/>
      <c r="F226" s="314"/>
      <c r="G226" s="314"/>
    </row>
    <row r="227" ht="15.75" customHeight="1">
      <c r="B227" s="637"/>
      <c r="D227" s="321"/>
      <c r="E227" s="642"/>
      <c r="F227" s="314"/>
      <c r="G227" s="314"/>
    </row>
    <row r="228" ht="15.75" customHeight="1">
      <c r="B228" s="637"/>
      <c r="D228" s="321"/>
      <c r="E228" s="642"/>
      <c r="F228" s="314"/>
      <c r="G228" s="314"/>
    </row>
    <row r="229" ht="15.75" customHeight="1">
      <c r="B229" s="637"/>
      <c r="D229" s="321"/>
      <c r="E229" s="642"/>
      <c r="F229" s="314"/>
      <c r="G229" s="314"/>
    </row>
    <row r="230" ht="15.75" customHeight="1">
      <c r="B230" s="637"/>
      <c r="D230" s="321"/>
      <c r="E230" s="642"/>
      <c r="F230" s="314"/>
      <c r="G230" s="314"/>
    </row>
    <row r="231" ht="15.75" customHeight="1">
      <c r="B231" s="637"/>
      <c r="D231" s="321"/>
      <c r="E231" s="642"/>
      <c r="F231" s="314"/>
      <c r="G231" s="314"/>
    </row>
    <row r="232" ht="15.75" customHeight="1">
      <c r="B232" s="637"/>
      <c r="D232" s="321"/>
      <c r="E232" s="642"/>
      <c r="F232" s="314"/>
      <c r="G232" s="314"/>
    </row>
    <row r="233" ht="15.75" customHeight="1">
      <c r="B233" s="637"/>
      <c r="D233" s="321"/>
      <c r="E233" s="642"/>
      <c r="F233" s="314"/>
      <c r="G233" s="314"/>
    </row>
    <row r="234" ht="15.75" customHeight="1">
      <c r="B234" s="637"/>
      <c r="D234" s="321"/>
      <c r="E234" s="642"/>
      <c r="F234" s="314"/>
      <c r="G234" s="314"/>
    </row>
    <row r="235" ht="15.75" customHeight="1">
      <c r="B235" s="637"/>
      <c r="D235" s="321"/>
      <c r="E235" s="642"/>
      <c r="F235" s="314"/>
      <c r="G235" s="314"/>
    </row>
    <row r="236" ht="15.75" customHeight="1">
      <c r="B236" s="637"/>
      <c r="D236" s="321"/>
      <c r="E236" s="642"/>
      <c r="F236" s="314"/>
      <c r="G236" s="314"/>
    </row>
    <row r="237" ht="15.75" customHeight="1">
      <c r="B237" s="637"/>
      <c r="D237" s="321"/>
      <c r="E237" s="642"/>
      <c r="F237" s="314"/>
      <c r="G237" s="314"/>
    </row>
    <row r="238" ht="15.75" customHeight="1">
      <c r="B238" s="637"/>
      <c r="D238" s="321"/>
      <c r="E238" s="642"/>
      <c r="F238" s="314"/>
      <c r="G238" s="314"/>
    </row>
    <row r="239" ht="15.75" customHeight="1">
      <c r="B239" s="637"/>
      <c r="D239" s="321"/>
      <c r="E239" s="642"/>
      <c r="F239" s="314"/>
      <c r="G239" s="314"/>
    </row>
    <row r="240" ht="15.75" customHeight="1">
      <c r="B240" s="637"/>
      <c r="D240" s="321"/>
      <c r="E240" s="642"/>
      <c r="F240" s="314"/>
      <c r="G240" s="314"/>
    </row>
    <row r="241" ht="15.75" customHeight="1">
      <c r="B241" s="637"/>
      <c r="D241" s="321"/>
      <c r="E241" s="642"/>
      <c r="F241" s="314"/>
      <c r="G241" s="314"/>
    </row>
    <row r="242" ht="15.75" customHeight="1">
      <c r="B242" s="637"/>
      <c r="D242" s="321"/>
      <c r="E242" s="642"/>
      <c r="F242" s="314"/>
      <c r="G242" s="314"/>
    </row>
    <row r="243" ht="15.75" customHeight="1">
      <c r="B243" s="637"/>
      <c r="D243" s="321"/>
      <c r="E243" s="642"/>
      <c r="F243" s="314"/>
      <c r="G243" s="314"/>
    </row>
    <row r="244" ht="15.75" customHeight="1">
      <c r="B244" s="637"/>
      <c r="D244" s="321"/>
      <c r="E244" s="642"/>
      <c r="F244" s="314"/>
      <c r="G244" s="314"/>
    </row>
    <row r="245" ht="15.75" customHeight="1">
      <c r="B245" s="637"/>
      <c r="D245" s="321"/>
      <c r="E245" s="642"/>
      <c r="F245" s="314"/>
      <c r="G245" s="314"/>
    </row>
    <row r="246" ht="15.75" customHeight="1">
      <c r="B246" s="637"/>
      <c r="D246" s="321"/>
      <c r="E246" s="642"/>
      <c r="F246" s="314"/>
      <c r="G246" s="314"/>
    </row>
    <row r="247" ht="15.75" customHeight="1">
      <c r="B247" s="637"/>
      <c r="D247" s="321"/>
      <c r="E247" s="642"/>
      <c r="F247" s="314"/>
      <c r="G247" s="314"/>
    </row>
    <row r="248" ht="15.75" customHeight="1">
      <c r="B248" s="637"/>
      <c r="D248" s="321"/>
      <c r="E248" s="642"/>
      <c r="F248" s="314"/>
      <c r="G248" s="314"/>
    </row>
    <row r="249" ht="15.75" customHeight="1">
      <c r="B249" s="637"/>
      <c r="D249" s="321"/>
      <c r="E249" s="642"/>
      <c r="F249" s="314"/>
      <c r="G249" s="314"/>
    </row>
    <row r="250" ht="15.75" customHeight="1">
      <c r="B250" s="637"/>
      <c r="D250" s="321"/>
      <c r="E250" s="642"/>
      <c r="F250" s="314"/>
      <c r="G250" s="314"/>
    </row>
    <row r="251" ht="15.75" customHeight="1">
      <c r="B251" s="637"/>
      <c r="D251" s="321"/>
      <c r="E251" s="642"/>
      <c r="F251" s="314"/>
      <c r="G251" s="314"/>
    </row>
    <row r="252" ht="15.75" customHeight="1">
      <c r="B252" s="637"/>
      <c r="D252" s="321"/>
      <c r="E252" s="642"/>
      <c r="F252" s="314"/>
      <c r="G252" s="314"/>
    </row>
    <row r="253" ht="15.75" customHeight="1">
      <c r="B253" s="637"/>
      <c r="D253" s="321"/>
      <c r="E253" s="642"/>
      <c r="F253" s="314"/>
      <c r="G253" s="314"/>
    </row>
    <row r="254" ht="15.75" customHeight="1">
      <c r="B254" s="637"/>
      <c r="D254" s="321"/>
      <c r="E254" s="642"/>
      <c r="F254" s="314"/>
      <c r="G254" s="314"/>
    </row>
    <row r="255" ht="15.75" customHeight="1">
      <c r="B255" s="637"/>
      <c r="D255" s="321"/>
      <c r="E255" s="642"/>
      <c r="F255" s="314"/>
      <c r="G255" s="314"/>
    </row>
    <row r="256" ht="15.75" customHeight="1">
      <c r="B256" s="637"/>
      <c r="D256" s="321"/>
      <c r="E256" s="642"/>
      <c r="F256" s="314"/>
      <c r="G256" s="314"/>
    </row>
    <row r="257" ht="15.75" customHeight="1">
      <c r="B257" s="637"/>
      <c r="D257" s="321"/>
      <c r="E257" s="642"/>
      <c r="F257" s="314"/>
      <c r="G257" s="314"/>
    </row>
    <row r="258" ht="15.75" customHeight="1">
      <c r="B258" s="637"/>
      <c r="D258" s="321"/>
      <c r="E258" s="642"/>
      <c r="F258" s="314"/>
      <c r="G258" s="314"/>
    </row>
    <row r="259" ht="15.75" customHeight="1">
      <c r="B259" s="637"/>
      <c r="D259" s="321"/>
      <c r="E259" s="642"/>
      <c r="F259" s="314"/>
      <c r="G259" s="314"/>
    </row>
    <row r="260" ht="15.75" customHeight="1">
      <c r="B260" s="637"/>
      <c r="D260" s="321"/>
      <c r="E260" s="642"/>
      <c r="F260" s="314"/>
      <c r="G260" s="314"/>
    </row>
    <row r="261" ht="15.75" customHeight="1">
      <c r="B261" s="637"/>
      <c r="D261" s="321"/>
      <c r="E261" s="642"/>
      <c r="F261" s="314"/>
      <c r="G261" s="314"/>
    </row>
    <row r="262" ht="15.75" customHeight="1">
      <c r="B262" s="637"/>
      <c r="D262" s="321"/>
      <c r="E262" s="642"/>
      <c r="F262" s="314"/>
      <c r="G262" s="314"/>
    </row>
    <row r="263" ht="15.75" customHeight="1">
      <c r="B263" s="637"/>
      <c r="D263" s="321"/>
      <c r="E263" s="642"/>
      <c r="F263" s="314"/>
      <c r="G263" s="314"/>
    </row>
    <row r="264" ht="15.75" customHeight="1">
      <c r="B264" s="637"/>
      <c r="D264" s="321"/>
      <c r="E264" s="642"/>
      <c r="F264" s="314"/>
      <c r="G264" s="314"/>
    </row>
    <row r="265" ht="15.75" customHeight="1">
      <c r="B265" s="637"/>
      <c r="D265" s="321"/>
      <c r="E265" s="642"/>
      <c r="F265" s="314"/>
      <c r="G265" s="314"/>
    </row>
    <row r="266" ht="15.75" customHeight="1">
      <c r="B266" s="637"/>
      <c r="D266" s="321"/>
      <c r="E266" s="642"/>
      <c r="F266" s="314"/>
      <c r="G266" s="314"/>
    </row>
    <row r="267" ht="15.75" customHeight="1">
      <c r="B267" s="637"/>
      <c r="D267" s="321"/>
      <c r="E267" s="642"/>
      <c r="F267" s="314"/>
      <c r="G267" s="314"/>
    </row>
    <row r="268" ht="15.75" customHeight="1">
      <c r="B268" s="637"/>
      <c r="D268" s="321"/>
      <c r="E268" s="642"/>
      <c r="F268" s="314"/>
      <c r="G268" s="314"/>
    </row>
    <row r="269" ht="15.75" customHeight="1">
      <c r="B269" s="637"/>
      <c r="D269" s="321"/>
      <c r="E269" s="642"/>
      <c r="F269" s="314"/>
      <c r="G269" s="314"/>
    </row>
    <row r="270" ht="15.75" customHeight="1">
      <c r="B270" s="637"/>
      <c r="D270" s="321"/>
      <c r="E270" s="642"/>
      <c r="F270" s="314"/>
      <c r="G270" s="314"/>
    </row>
    <row r="271" ht="15.75" customHeight="1">
      <c r="B271" s="637"/>
      <c r="D271" s="321"/>
      <c r="E271" s="642"/>
      <c r="F271" s="314"/>
      <c r="G271" s="314"/>
    </row>
    <row r="272" ht="15.75" customHeight="1">
      <c r="B272" s="637"/>
      <c r="D272" s="321"/>
      <c r="E272" s="642"/>
      <c r="F272" s="314"/>
      <c r="G272" s="314"/>
    </row>
    <row r="273" ht="15.75" customHeight="1">
      <c r="B273" s="637"/>
      <c r="D273" s="321"/>
      <c r="E273" s="642"/>
      <c r="F273" s="314"/>
      <c r="G273" s="314"/>
    </row>
    <row r="274" ht="15.75" customHeight="1">
      <c r="B274" s="637"/>
      <c r="D274" s="321"/>
      <c r="E274" s="642"/>
      <c r="F274" s="314"/>
      <c r="G274" s="314"/>
    </row>
    <row r="275" ht="15.75" customHeight="1">
      <c r="B275" s="637"/>
      <c r="D275" s="321"/>
      <c r="E275" s="642"/>
      <c r="F275" s="314"/>
      <c r="G275" s="314"/>
    </row>
    <row r="276" ht="15.75" customHeight="1">
      <c r="B276" s="637"/>
      <c r="D276" s="321"/>
      <c r="E276" s="642"/>
      <c r="F276" s="314"/>
      <c r="G276" s="314"/>
    </row>
    <row r="277" ht="15.75" customHeight="1">
      <c r="B277" s="637"/>
      <c r="D277" s="321"/>
      <c r="E277" s="642"/>
      <c r="F277" s="314"/>
      <c r="G277" s="314"/>
    </row>
    <row r="278" ht="15.75" customHeight="1">
      <c r="B278" s="637"/>
      <c r="D278" s="321"/>
      <c r="E278" s="642"/>
      <c r="F278" s="314"/>
      <c r="G278" s="314"/>
    </row>
    <row r="279" ht="15.75" customHeight="1">
      <c r="B279" s="637"/>
      <c r="D279" s="321"/>
      <c r="E279" s="642"/>
      <c r="F279" s="314"/>
      <c r="G279" s="314"/>
    </row>
    <row r="280" ht="15.75" customHeight="1">
      <c r="B280" s="637"/>
      <c r="D280" s="321"/>
      <c r="E280" s="642"/>
      <c r="F280" s="314"/>
      <c r="G280" s="314"/>
    </row>
    <row r="281" ht="15.75" customHeight="1">
      <c r="B281" s="637"/>
      <c r="D281" s="321"/>
      <c r="E281" s="642"/>
      <c r="F281" s="314"/>
      <c r="G281" s="314"/>
    </row>
    <row r="282" ht="15.75" customHeight="1">
      <c r="B282" s="637"/>
      <c r="D282" s="321"/>
      <c r="E282" s="642"/>
      <c r="F282" s="314"/>
      <c r="G282" s="314"/>
    </row>
    <row r="283" ht="15.75" customHeight="1">
      <c r="B283" s="637"/>
      <c r="D283" s="321"/>
      <c r="E283" s="642"/>
      <c r="F283" s="314"/>
      <c r="G283" s="314"/>
    </row>
    <row r="284" ht="15.75" customHeight="1">
      <c r="B284" s="637"/>
      <c r="D284" s="321"/>
      <c r="E284" s="642"/>
      <c r="F284" s="314"/>
      <c r="G284" s="314"/>
    </row>
    <row r="285" ht="15.75" customHeight="1">
      <c r="B285" s="637"/>
      <c r="D285" s="321"/>
      <c r="E285" s="642"/>
      <c r="F285" s="314"/>
      <c r="G285" s="314"/>
    </row>
    <row r="286" ht="15.75" customHeight="1">
      <c r="B286" s="637"/>
      <c r="D286" s="321"/>
      <c r="E286" s="642"/>
      <c r="F286" s="314"/>
      <c r="G286" s="314"/>
    </row>
    <row r="287" ht="15.75" customHeight="1">
      <c r="B287" s="637"/>
      <c r="D287" s="321"/>
      <c r="E287" s="642"/>
      <c r="F287" s="314"/>
      <c r="G287" s="314"/>
    </row>
    <row r="288" ht="15.75" customHeight="1">
      <c r="B288" s="637"/>
      <c r="D288" s="321"/>
      <c r="E288" s="642"/>
      <c r="F288" s="314"/>
      <c r="G288" s="314"/>
    </row>
    <row r="289" ht="15.75" customHeight="1">
      <c r="B289" s="637"/>
      <c r="D289" s="321"/>
      <c r="E289" s="642"/>
      <c r="F289" s="314"/>
      <c r="G289" s="314"/>
    </row>
    <row r="290" ht="15.75" customHeight="1">
      <c r="B290" s="637"/>
      <c r="D290" s="321"/>
      <c r="E290" s="642"/>
      <c r="F290" s="314"/>
      <c r="G290" s="314"/>
    </row>
    <row r="291" ht="15.75" customHeight="1">
      <c r="B291" s="637"/>
      <c r="D291" s="321"/>
      <c r="E291" s="642"/>
      <c r="F291" s="314"/>
      <c r="G291" s="314"/>
    </row>
    <row r="292" ht="15.75" customHeight="1">
      <c r="B292" s="637"/>
      <c r="D292" s="321"/>
      <c r="E292" s="642"/>
      <c r="F292" s="314"/>
      <c r="G292" s="314"/>
    </row>
    <row r="293" ht="15.75" customHeight="1">
      <c r="B293" s="637"/>
      <c r="D293" s="321"/>
      <c r="E293" s="642"/>
      <c r="F293" s="314"/>
      <c r="G293" s="314"/>
    </row>
    <row r="294" ht="15.75" customHeight="1">
      <c r="B294" s="637"/>
      <c r="D294" s="321"/>
      <c r="E294" s="642"/>
      <c r="F294" s="314"/>
      <c r="G294" s="314"/>
    </row>
    <row r="295" ht="15.75" customHeight="1">
      <c r="B295" s="637"/>
      <c r="D295" s="321"/>
      <c r="E295" s="642"/>
      <c r="F295" s="314"/>
      <c r="G295" s="314"/>
    </row>
    <row r="296" ht="15.75" customHeight="1">
      <c r="B296" s="637"/>
      <c r="D296" s="321"/>
      <c r="E296" s="642"/>
      <c r="F296" s="314"/>
      <c r="G296" s="314"/>
    </row>
    <row r="297" ht="15.75" customHeight="1">
      <c r="B297" s="637"/>
      <c r="D297" s="321"/>
      <c r="E297" s="642"/>
      <c r="F297" s="314"/>
      <c r="G297" s="314"/>
    </row>
    <row r="298" ht="15.75" customHeight="1">
      <c r="B298" s="637"/>
      <c r="D298" s="321"/>
      <c r="E298" s="642"/>
      <c r="F298" s="314"/>
      <c r="G298" s="314"/>
    </row>
    <row r="299" ht="15.75" customHeight="1">
      <c r="B299" s="637"/>
      <c r="D299" s="321"/>
      <c r="E299" s="642"/>
      <c r="F299" s="314"/>
      <c r="G299" s="314"/>
    </row>
    <row r="300" ht="15.75" customHeight="1">
      <c r="B300" s="637"/>
      <c r="D300" s="321"/>
      <c r="E300" s="642"/>
      <c r="F300" s="314"/>
      <c r="G300" s="314"/>
    </row>
    <row r="301" ht="15.75" customHeight="1">
      <c r="B301" s="637"/>
      <c r="D301" s="321"/>
      <c r="E301" s="642"/>
      <c r="F301" s="314"/>
      <c r="G301" s="314"/>
    </row>
    <row r="302" ht="15.75" customHeight="1">
      <c r="B302" s="637"/>
      <c r="D302" s="321"/>
      <c r="E302" s="642"/>
      <c r="F302" s="314"/>
      <c r="G302" s="314"/>
    </row>
    <row r="303" ht="15.75" customHeight="1">
      <c r="B303" s="637"/>
      <c r="D303" s="321"/>
      <c r="E303" s="642"/>
      <c r="F303" s="314"/>
      <c r="G303" s="314"/>
    </row>
    <row r="304" ht="15.75" customHeight="1">
      <c r="B304" s="637"/>
      <c r="D304" s="321"/>
      <c r="E304" s="642"/>
      <c r="F304" s="314"/>
      <c r="G304" s="314"/>
    </row>
    <row r="305" ht="15.75" customHeight="1">
      <c r="B305" s="637"/>
      <c r="D305" s="321"/>
      <c r="E305" s="642"/>
      <c r="F305" s="314"/>
      <c r="G305" s="314"/>
    </row>
    <row r="306" ht="15.75" customHeight="1">
      <c r="B306" s="637"/>
      <c r="D306" s="321"/>
      <c r="E306" s="642"/>
      <c r="F306" s="314"/>
      <c r="G306" s="314"/>
    </row>
    <row r="307" ht="15.75" customHeight="1">
      <c r="B307" s="637"/>
      <c r="D307" s="321"/>
      <c r="E307" s="642"/>
      <c r="F307" s="314"/>
      <c r="G307" s="314"/>
    </row>
    <row r="308" ht="15.75" customHeight="1">
      <c r="B308" s="637"/>
      <c r="D308" s="321"/>
      <c r="E308" s="642"/>
      <c r="F308" s="314"/>
      <c r="G308" s="314"/>
    </row>
    <row r="309" ht="15.75" customHeight="1">
      <c r="B309" s="637"/>
      <c r="D309" s="321"/>
      <c r="E309" s="642"/>
      <c r="F309" s="314"/>
      <c r="G309" s="314"/>
    </row>
    <row r="310" ht="15.75" customHeight="1">
      <c r="B310" s="637"/>
      <c r="D310" s="321"/>
      <c r="E310" s="642"/>
      <c r="F310" s="314"/>
      <c r="G310" s="314"/>
    </row>
    <row r="311" ht="15.75" customHeight="1">
      <c r="B311" s="637"/>
      <c r="D311" s="321"/>
      <c r="E311" s="642"/>
      <c r="F311" s="314"/>
      <c r="G311" s="314"/>
    </row>
    <row r="312" ht="15.75" customHeight="1">
      <c r="B312" s="637"/>
      <c r="D312" s="321"/>
      <c r="E312" s="642"/>
      <c r="F312" s="314"/>
      <c r="G312" s="314"/>
    </row>
    <row r="313" ht="15.75" customHeight="1">
      <c r="B313" s="637"/>
      <c r="D313" s="321"/>
      <c r="E313" s="642"/>
      <c r="F313" s="314"/>
      <c r="G313" s="314"/>
    </row>
    <row r="314" ht="15.75" customHeight="1">
      <c r="B314" s="637"/>
      <c r="D314" s="321"/>
      <c r="E314" s="642"/>
      <c r="F314" s="314"/>
      <c r="G314" s="314"/>
    </row>
    <row r="315" ht="15.75" customHeight="1">
      <c r="B315" s="637"/>
      <c r="D315" s="321"/>
      <c r="E315" s="642"/>
      <c r="F315" s="314"/>
      <c r="G315" s="314"/>
    </row>
    <row r="316" ht="15.75" customHeight="1">
      <c r="B316" s="637"/>
      <c r="D316" s="321"/>
      <c r="E316" s="642"/>
      <c r="F316" s="314"/>
      <c r="G316" s="314"/>
    </row>
    <row r="317" ht="15.75" customHeight="1">
      <c r="B317" s="637"/>
      <c r="D317" s="321"/>
      <c r="E317" s="642"/>
      <c r="F317" s="314"/>
      <c r="G317" s="314"/>
    </row>
    <row r="318" ht="15.75" customHeight="1">
      <c r="B318" s="637"/>
      <c r="D318" s="321"/>
      <c r="E318" s="642"/>
      <c r="F318" s="314"/>
      <c r="G318" s="314"/>
    </row>
    <row r="319" ht="15.75" customHeight="1">
      <c r="B319" s="637"/>
      <c r="D319" s="321"/>
      <c r="E319" s="642"/>
      <c r="F319" s="314"/>
      <c r="G319" s="314"/>
    </row>
    <row r="320" ht="15.75" customHeight="1">
      <c r="B320" s="637"/>
      <c r="D320" s="321"/>
      <c r="E320" s="642"/>
      <c r="F320" s="314"/>
      <c r="G320" s="314"/>
    </row>
    <row r="321" ht="15.75" customHeight="1">
      <c r="B321" s="637"/>
      <c r="D321" s="321"/>
      <c r="E321" s="642"/>
      <c r="F321" s="314"/>
      <c r="G321" s="314"/>
    </row>
    <row r="322" ht="15.75" customHeight="1">
      <c r="B322" s="637"/>
      <c r="D322" s="321"/>
      <c r="E322" s="642"/>
      <c r="F322" s="314"/>
      <c r="G322" s="314"/>
    </row>
    <row r="323" ht="15.75" customHeight="1">
      <c r="B323" s="637"/>
      <c r="D323" s="321"/>
      <c r="E323" s="642"/>
      <c r="F323" s="314"/>
      <c r="G323" s="314"/>
    </row>
    <row r="324" ht="15.75" customHeight="1">
      <c r="B324" s="637"/>
      <c r="D324" s="321"/>
      <c r="E324" s="642"/>
      <c r="F324" s="314"/>
      <c r="G324" s="314"/>
    </row>
    <row r="325" ht="15.75" customHeight="1">
      <c r="B325" s="637"/>
      <c r="D325" s="321"/>
      <c r="E325" s="642"/>
      <c r="F325" s="314"/>
      <c r="G325" s="314"/>
    </row>
    <row r="326" ht="15.75" customHeight="1">
      <c r="B326" s="637"/>
      <c r="D326" s="321"/>
      <c r="E326" s="642"/>
      <c r="F326" s="314"/>
      <c r="G326" s="314"/>
    </row>
    <row r="327" ht="15.75" customHeight="1">
      <c r="B327" s="637"/>
      <c r="D327" s="321"/>
      <c r="E327" s="642"/>
      <c r="F327" s="314"/>
      <c r="G327" s="314"/>
    </row>
    <row r="328" ht="15.75" customHeight="1">
      <c r="B328" s="637"/>
      <c r="D328" s="321"/>
      <c r="E328" s="642"/>
      <c r="F328" s="314"/>
      <c r="G328" s="314"/>
    </row>
    <row r="329" ht="15.75" customHeight="1">
      <c r="B329" s="637"/>
      <c r="D329" s="321"/>
      <c r="E329" s="642"/>
      <c r="F329" s="314"/>
      <c r="G329" s="314"/>
    </row>
    <row r="330" ht="15.75" customHeight="1">
      <c r="B330" s="637"/>
      <c r="D330" s="321"/>
      <c r="E330" s="642"/>
      <c r="F330" s="314"/>
      <c r="G330" s="314"/>
    </row>
    <row r="331" ht="15.75" customHeight="1">
      <c r="B331" s="637"/>
      <c r="D331" s="321"/>
      <c r="E331" s="642"/>
      <c r="F331" s="314"/>
      <c r="G331" s="314"/>
    </row>
    <row r="332" ht="15.75" customHeight="1">
      <c r="B332" s="637"/>
      <c r="D332" s="321"/>
      <c r="E332" s="642"/>
      <c r="F332" s="314"/>
      <c r="G332" s="314"/>
    </row>
    <row r="333" ht="15.75" customHeight="1">
      <c r="B333" s="637"/>
      <c r="D333" s="321"/>
      <c r="E333" s="642"/>
      <c r="F333" s="314"/>
      <c r="G333" s="314"/>
    </row>
    <row r="334" ht="15.75" customHeight="1">
      <c r="B334" s="637"/>
      <c r="D334" s="321"/>
      <c r="E334" s="642"/>
      <c r="F334" s="314"/>
      <c r="G334" s="314"/>
    </row>
    <row r="335" ht="15.75" customHeight="1">
      <c r="B335" s="637"/>
      <c r="D335" s="321"/>
      <c r="E335" s="642"/>
      <c r="F335" s="314"/>
      <c r="G335" s="314"/>
    </row>
    <row r="336" ht="15.75" customHeight="1">
      <c r="B336" s="637"/>
      <c r="D336" s="321"/>
      <c r="E336" s="642"/>
      <c r="F336" s="314"/>
      <c r="G336" s="314"/>
    </row>
    <row r="337" ht="15.75" customHeight="1">
      <c r="B337" s="637"/>
      <c r="D337" s="321"/>
      <c r="E337" s="642"/>
      <c r="F337" s="314"/>
      <c r="G337" s="314"/>
    </row>
    <row r="338" ht="15.75" customHeight="1">
      <c r="B338" s="637"/>
      <c r="D338" s="321"/>
      <c r="E338" s="642"/>
      <c r="F338" s="314"/>
      <c r="G338" s="314"/>
    </row>
    <row r="339" ht="15.75" customHeight="1">
      <c r="B339" s="637"/>
      <c r="D339" s="321"/>
      <c r="E339" s="642"/>
      <c r="F339" s="314"/>
      <c r="G339" s="314"/>
    </row>
    <row r="340" ht="15.75" customHeight="1">
      <c r="B340" s="637"/>
      <c r="D340" s="321"/>
      <c r="E340" s="642"/>
      <c r="F340" s="314"/>
      <c r="G340" s="314"/>
    </row>
    <row r="341" ht="15.75" customHeight="1">
      <c r="B341" s="637"/>
      <c r="D341" s="321"/>
      <c r="E341" s="642"/>
      <c r="F341" s="314"/>
      <c r="G341" s="314"/>
    </row>
    <row r="342" ht="15.75" customHeight="1">
      <c r="B342" s="637"/>
      <c r="D342" s="321"/>
      <c r="E342" s="642"/>
      <c r="F342" s="314"/>
      <c r="G342" s="314"/>
    </row>
    <row r="343" ht="15.75" customHeight="1">
      <c r="B343" s="637"/>
      <c r="D343" s="321"/>
      <c r="E343" s="642"/>
      <c r="F343" s="314"/>
      <c r="G343" s="314"/>
    </row>
    <row r="344" ht="15.75" customHeight="1">
      <c r="B344" s="637"/>
      <c r="D344" s="321"/>
      <c r="E344" s="642"/>
      <c r="F344" s="314"/>
      <c r="G344" s="314"/>
    </row>
    <row r="345" ht="15.75" customHeight="1">
      <c r="B345" s="637"/>
      <c r="D345" s="321"/>
      <c r="E345" s="642"/>
      <c r="F345" s="314"/>
      <c r="G345" s="314"/>
    </row>
    <row r="346" ht="15.75" customHeight="1">
      <c r="B346" s="637"/>
      <c r="D346" s="321"/>
      <c r="E346" s="642"/>
      <c r="F346" s="314"/>
      <c r="G346" s="314"/>
    </row>
    <row r="347" ht="15.75" customHeight="1">
      <c r="B347" s="637"/>
      <c r="D347" s="321"/>
      <c r="E347" s="642"/>
      <c r="F347" s="314"/>
      <c r="G347" s="314"/>
    </row>
    <row r="348" ht="15.75" customHeight="1">
      <c r="B348" s="637"/>
      <c r="D348" s="321"/>
      <c r="E348" s="642"/>
      <c r="F348" s="314"/>
      <c r="G348" s="314"/>
    </row>
    <row r="349" ht="15.75" customHeight="1">
      <c r="B349" s="637"/>
      <c r="D349" s="321"/>
      <c r="E349" s="642"/>
      <c r="F349" s="314"/>
      <c r="G349" s="314"/>
    </row>
    <row r="350" ht="15.75" customHeight="1">
      <c r="B350" s="637"/>
      <c r="D350" s="321"/>
      <c r="E350" s="642"/>
      <c r="F350" s="314"/>
      <c r="G350" s="314"/>
    </row>
    <row r="351" ht="15.75" customHeight="1">
      <c r="B351" s="637"/>
      <c r="D351" s="321"/>
      <c r="E351" s="642"/>
      <c r="F351" s="314"/>
      <c r="G351" s="314"/>
    </row>
    <row r="352" ht="15.75" customHeight="1">
      <c r="B352" s="637"/>
      <c r="D352" s="321"/>
      <c r="E352" s="642"/>
      <c r="F352" s="314"/>
      <c r="G352" s="314"/>
    </row>
    <row r="353" ht="15.75" customHeight="1">
      <c r="B353" s="637"/>
      <c r="D353" s="321"/>
      <c r="E353" s="642"/>
      <c r="F353" s="314"/>
      <c r="G353" s="314"/>
    </row>
    <row r="354" ht="15.75" customHeight="1">
      <c r="B354" s="637"/>
      <c r="D354" s="321"/>
      <c r="E354" s="642"/>
      <c r="F354" s="314"/>
      <c r="G354" s="314"/>
    </row>
    <row r="355" ht="15.75" customHeight="1">
      <c r="B355" s="637"/>
      <c r="D355" s="321"/>
      <c r="E355" s="642"/>
      <c r="F355" s="314"/>
      <c r="G355" s="314"/>
    </row>
    <row r="356" ht="15.75" customHeight="1">
      <c r="B356" s="637"/>
      <c r="D356" s="321"/>
      <c r="E356" s="642"/>
      <c r="F356" s="314"/>
      <c r="G356" s="314"/>
    </row>
    <row r="357" ht="15.75" customHeight="1">
      <c r="B357" s="637"/>
      <c r="D357" s="321"/>
      <c r="E357" s="642"/>
      <c r="F357" s="314"/>
      <c r="G357" s="314"/>
    </row>
    <row r="358" ht="15.75" customHeight="1">
      <c r="B358" s="637"/>
      <c r="D358" s="321"/>
      <c r="E358" s="642"/>
      <c r="F358" s="314"/>
      <c r="G358" s="314"/>
    </row>
    <row r="359" ht="15.75" customHeight="1">
      <c r="B359" s="637"/>
      <c r="D359" s="321"/>
      <c r="E359" s="642"/>
      <c r="F359" s="314"/>
      <c r="G359" s="314"/>
    </row>
    <row r="360" ht="15.75" customHeight="1">
      <c r="B360" s="637"/>
      <c r="D360" s="321"/>
      <c r="E360" s="642"/>
      <c r="F360" s="314"/>
      <c r="G360" s="314"/>
    </row>
    <row r="361" ht="15.75" customHeight="1">
      <c r="B361" s="637"/>
      <c r="D361" s="321"/>
      <c r="E361" s="642"/>
      <c r="F361" s="314"/>
      <c r="G361" s="314"/>
    </row>
    <row r="362" ht="15.75" customHeight="1">
      <c r="B362" s="637"/>
      <c r="D362" s="321"/>
      <c r="E362" s="642"/>
      <c r="F362" s="314"/>
      <c r="G362" s="314"/>
    </row>
    <row r="363" ht="15.75" customHeight="1">
      <c r="B363" s="637"/>
      <c r="D363" s="321"/>
      <c r="E363" s="642"/>
      <c r="F363" s="314"/>
      <c r="G363" s="314"/>
    </row>
    <row r="364" ht="15.75" customHeight="1">
      <c r="B364" s="637"/>
      <c r="D364" s="321"/>
      <c r="E364" s="642"/>
      <c r="F364" s="314"/>
      <c r="G364" s="314"/>
    </row>
    <row r="365" ht="15.75" customHeight="1">
      <c r="B365" s="637"/>
      <c r="D365" s="321"/>
      <c r="E365" s="642"/>
      <c r="F365" s="314"/>
      <c r="G365" s="314"/>
    </row>
    <row r="366" ht="15.75" customHeight="1">
      <c r="B366" s="637"/>
      <c r="D366" s="321"/>
      <c r="E366" s="642"/>
      <c r="F366" s="314"/>
      <c r="G366" s="314"/>
    </row>
    <row r="367" ht="15.75" customHeight="1">
      <c r="B367" s="637"/>
      <c r="D367" s="321"/>
      <c r="E367" s="642"/>
      <c r="F367" s="314"/>
      <c r="G367" s="314"/>
    </row>
    <row r="368" ht="15.75" customHeight="1">
      <c r="B368" s="637"/>
      <c r="D368" s="321"/>
      <c r="E368" s="642"/>
      <c r="F368" s="314"/>
      <c r="G368" s="314"/>
    </row>
    <row r="369" ht="15.75" customHeight="1">
      <c r="B369" s="637"/>
      <c r="D369" s="321"/>
      <c r="E369" s="642"/>
      <c r="F369" s="314"/>
      <c r="G369" s="314"/>
    </row>
    <row r="370" ht="15.75" customHeight="1">
      <c r="B370" s="637"/>
      <c r="D370" s="321"/>
      <c r="E370" s="642"/>
      <c r="F370" s="314"/>
      <c r="G370" s="314"/>
    </row>
    <row r="371" ht="15.75" customHeight="1">
      <c r="B371" s="637"/>
      <c r="D371" s="321"/>
      <c r="E371" s="642"/>
      <c r="F371" s="314"/>
      <c r="G371" s="314"/>
    </row>
    <row r="372" ht="15.75" customHeight="1">
      <c r="B372" s="637"/>
      <c r="D372" s="321"/>
      <c r="E372" s="642"/>
      <c r="F372" s="314"/>
      <c r="G372" s="314"/>
    </row>
    <row r="373" ht="15.75" customHeight="1">
      <c r="B373" s="637"/>
      <c r="D373" s="321"/>
      <c r="E373" s="642"/>
      <c r="F373" s="314"/>
      <c r="G373" s="314"/>
    </row>
    <row r="374" ht="15.75" customHeight="1">
      <c r="B374" s="637"/>
      <c r="D374" s="321"/>
      <c r="E374" s="642"/>
      <c r="F374" s="314"/>
      <c r="G374" s="314"/>
    </row>
    <row r="375" ht="15.75" customHeight="1">
      <c r="B375" s="637"/>
      <c r="D375" s="321"/>
      <c r="E375" s="642"/>
      <c r="F375" s="314"/>
      <c r="G375" s="314"/>
    </row>
    <row r="376" ht="15.75" customHeight="1">
      <c r="B376" s="637"/>
      <c r="D376" s="321"/>
      <c r="E376" s="642"/>
      <c r="F376" s="314"/>
      <c r="G376" s="314"/>
    </row>
    <row r="377" ht="15.75" customHeight="1">
      <c r="B377" s="637"/>
      <c r="D377" s="321"/>
      <c r="E377" s="642"/>
      <c r="F377" s="314"/>
      <c r="G377" s="314"/>
    </row>
    <row r="378" ht="15.75" customHeight="1">
      <c r="B378" s="637"/>
      <c r="D378" s="321"/>
      <c r="E378" s="642"/>
      <c r="F378" s="314"/>
      <c r="G378" s="314"/>
    </row>
    <row r="379" ht="15.75" customHeight="1">
      <c r="B379" s="637"/>
      <c r="D379" s="321"/>
      <c r="E379" s="642"/>
      <c r="F379" s="314"/>
      <c r="G379" s="314"/>
    </row>
    <row r="380" ht="15.75" customHeight="1">
      <c r="B380" s="637"/>
      <c r="D380" s="321"/>
      <c r="E380" s="642"/>
      <c r="F380" s="314"/>
      <c r="G380" s="314"/>
    </row>
    <row r="381" ht="15.75" customHeight="1">
      <c r="B381" s="637"/>
      <c r="D381" s="321"/>
      <c r="E381" s="642"/>
      <c r="F381" s="314"/>
      <c r="G381" s="314"/>
    </row>
    <row r="382" ht="15.75" customHeight="1">
      <c r="B382" s="637"/>
      <c r="D382" s="321"/>
      <c r="E382" s="642"/>
      <c r="F382" s="314"/>
      <c r="G382" s="314"/>
    </row>
    <row r="383" ht="15.75" customHeight="1">
      <c r="B383" s="637"/>
      <c r="D383" s="321"/>
      <c r="E383" s="642"/>
      <c r="F383" s="314"/>
      <c r="G383" s="314"/>
    </row>
    <row r="384" ht="15.75" customHeight="1">
      <c r="B384" s="637"/>
      <c r="D384" s="321"/>
      <c r="E384" s="642"/>
      <c r="F384" s="314"/>
      <c r="G384" s="314"/>
    </row>
    <row r="385" ht="15.75" customHeight="1">
      <c r="B385" s="637"/>
      <c r="D385" s="321"/>
      <c r="E385" s="642"/>
      <c r="F385" s="314"/>
      <c r="G385" s="314"/>
    </row>
    <row r="386" ht="15.75" customHeight="1">
      <c r="B386" s="637"/>
      <c r="D386" s="321"/>
      <c r="E386" s="642"/>
      <c r="F386" s="314"/>
      <c r="G386" s="314"/>
    </row>
    <row r="387" ht="15.75" customHeight="1">
      <c r="B387" s="637"/>
      <c r="D387" s="321"/>
      <c r="E387" s="642"/>
      <c r="F387" s="314"/>
      <c r="G387" s="314"/>
    </row>
    <row r="388" ht="15.75" customHeight="1">
      <c r="B388" s="637"/>
      <c r="D388" s="321"/>
      <c r="E388" s="642"/>
      <c r="F388" s="314"/>
      <c r="G388" s="314"/>
    </row>
    <row r="389" ht="15.75" customHeight="1">
      <c r="B389" s="637"/>
      <c r="D389" s="321"/>
      <c r="E389" s="642"/>
      <c r="F389" s="314"/>
      <c r="G389" s="314"/>
    </row>
    <row r="390" ht="15.75" customHeight="1">
      <c r="B390" s="637"/>
      <c r="D390" s="321"/>
      <c r="E390" s="642"/>
      <c r="F390" s="314"/>
      <c r="G390" s="314"/>
    </row>
    <row r="391" ht="15.75" customHeight="1">
      <c r="B391" s="637"/>
      <c r="D391" s="321"/>
      <c r="E391" s="642"/>
      <c r="F391" s="314"/>
      <c r="G391" s="314"/>
    </row>
    <row r="392" ht="15.75" customHeight="1">
      <c r="B392" s="637"/>
      <c r="D392" s="321"/>
      <c r="E392" s="642"/>
      <c r="F392" s="314"/>
      <c r="G392" s="314"/>
    </row>
    <row r="393" ht="15.75" customHeight="1">
      <c r="B393" s="637"/>
      <c r="D393" s="321"/>
      <c r="E393" s="642"/>
      <c r="F393" s="314"/>
      <c r="G393" s="314"/>
    </row>
    <row r="394" ht="15.75" customHeight="1">
      <c r="B394" s="637"/>
      <c r="D394" s="321"/>
      <c r="E394" s="642"/>
      <c r="F394" s="314"/>
      <c r="G394" s="314"/>
    </row>
    <row r="395" ht="15.75" customHeight="1">
      <c r="B395" s="637"/>
      <c r="D395" s="321"/>
      <c r="E395" s="642"/>
      <c r="F395" s="314"/>
      <c r="G395" s="314"/>
    </row>
    <row r="396" ht="15.75" customHeight="1">
      <c r="B396" s="637"/>
      <c r="D396" s="321"/>
      <c r="E396" s="642"/>
      <c r="F396" s="314"/>
      <c r="G396" s="314"/>
    </row>
    <row r="397" ht="15.75" customHeight="1">
      <c r="B397" s="637"/>
      <c r="D397" s="321"/>
      <c r="E397" s="642"/>
      <c r="F397" s="314"/>
      <c r="G397" s="314"/>
    </row>
    <row r="398" ht="15.75" customHeight="1">
      <c r="B398" s="637"/>
      <c r="D398" s="321"/>
      <c r="E398" s="642"/>
      <c r="F398" s="314"/>
      <c r="G398" s="314"/>
    </row>
    <row r="399" ht="15.75" customHeight="1">
      <c r="B399" s="637"/>
      <c r="D399" s="321"/>
      <c r="E399" s="642"/>
      <c r="F399" s="314"/>
      <c r="G399" s="314"/>
    </row>
    <row r="400" ht="15.75" customHeight="1">
      <c r="B400" s="637"/>
      <c r="D400" s="321"/>
      <c r="E400" s="642"/>
      <c r="F400" s="314"/>
      <c r="G400" s="314"/>
    </row>
    <row r="401" ht="15.75" customHeight="1">
      <c r="B401" s="637"/>
      <c r="D401" s="321"/>
      <c r="E401" s="642"/>
      <c r="F401" s="314"/>
      <c r="G401" s="314"/>
    </row>
    <row r="402" ht="15.75" customHeight="1">
      <c r="B402" s="637"/>
      <c r="D402" s="321"/>
      <c r="E402" s="642"/>
      <c r="F402" s="314"/>
      <c r="G402" s="314"/>
    </row>
    <row r="403" ht="15.75" customHeight="1">
      <c r="B403" s="637"/>
      <c r="D403" s="321"/>
      <c r="E403" s="642"/>
      <c r="F403" s="314"/>
      <c r="G403" s="314"/>
    </row>
    <row r="404" ht="15.75" customHeight="1">
      <c r="B404" s="637"/>
      <c r="D404" s="321"/>
      <c r="E404" s="642"/>
      <c r="F404" s="314"/>
      <c r="G404" s="314"/>
    </row>
    <row r="405" ht="15.75" customHeight="1">
      <c r="B405" s="637"/>
      <c r="D405" s="321"/>
      <c r="E405" s="642"/>
      <c r="F405" s="314"/>
      <c r="G405" s="314"/>
    </row>
    <row r="406" ht="15.75" customHeight="1">
      <c r="B406" s="637"/>
      <c r="D406" s="321"/>
      <c r="E406" s="642"/>
      <c r="F406" s="314"/>
      <c r="G406" s="314"/>
    </row>
    <row r="407" ht="15.75" customHeight="1">
      <c r="B407" s="637"/>
      <c r="D407" s="321"/>
      <c r="E407" s="642"/>
      <c r="F407" s="314"/>
      <c r="G407" s="314"/>
    </row>
    <row r="408" ht="15.75" customHeight="1">
      <c r="B408" s="637"/>
      <c r="D408" s="321"/>
      <c r="E408" s="642"/>
      <c r="F408" s="314"/>
      <c r="G408" s="314"/>
    </row>
    <row r="409" ht="15.75" customHeight="1">
      <c r="B409" s="637"/>
      <c r="D409" s="321"/>
      <c r="E409" s="642"/>
      <c r="F409" s="314"/>
      <c r="G409" s="314"/>
    </row>
    <row r="410" ht="15.75" customHeight="1">
      <c r="B410" s="637"/>
      <c r="D410" s="321"/>
      <c r="E410" s="642"/>
      <c r="F410" s="314"/>
      <c r="G410" s="314"/>
    </row>
    <row r="411" ht="15.75" customHeight="1">
      <c r="B411" s="637"/>
      <c r="D411" s="321"/>
      <c r="E411" s="642"/>
      <c r="F411" s="314"/>
      <c r="G411" s="314"/>
    </row>
    <row r="412" ht="15.75" customHeight="1">
      <c r="B412" s="637"/>
      <c r="D412" s="321"/>
      <c r="E412" s="642"/>
      <c r="F412" s="314"/>
      <c r="G412" s="314"/>
    </row>
    <row r="413" ht="15.75" customHeight="1">
      <c r="B413" s="637"/>
      <c r="D413" s="321"/>
      <c r="E413" s="642"/>
      <c r="F413" s="314"/>
      <c r="G413" s="314"/>
    </row>
    <row r="414" ht="15.75" customHeight="1">
      <c r="B414" s="637"/>
      <c r="D414" s="321"/>
      <c r="E414" s="642"/>
      <c r="F414" s="314"/>
      <c r="G414" s="314"/>
    </row>
    <row r="415" ht="15.75" customHeight="1">
      <c r="B415" s="637"/>
      <c r="D415" s="321"/>
      <c r="E415" s="642"/>
      <c r="F415" s="314"/>
      <c r="G415" s="314"/>
    </row>
    <row r="416" ht="15.75" customHeight="1">
      <c r="B416" s="637"/>
      <c r="D416" s="321"/>
      <c r="E416" s="642"/>
      <c r="F416" s="314"/>
      <c r="G416" s="314"/>
    </row>
    <row r="417" ht="15.75" customHeight="1">
      <c r="B417" s="637"/>
      <c r="D417" s="321"/>
      <c r="E417" s="642"/>
      <c r="F417" s="314"/>
      <c r="G417" s="314"/>
    </row>
    <row r="418" ht="15.75" customHeight="1">
      <c r="B418" s="637"/>
      <c r="D418" s="321"/>
      <c r="E418" s="642"/>
      <c r="F418" s="314"/>
      <c r="G418" s="314"/>
    </row>
    <row r="419" ht="15.75" customHeight="1">
      <c r="B419" s="637"/>
      <c r="D419" s="321"/>
      <c r="E419" s="642"/>
      <c r="F419" s="314"/>
      <c r="G419" s="314"/>
    </row>
    <row r="420" ht="15.75" customHeight="1">
      <c r="B420" s="637"/>
      <c r="D420" s="321"/>
      <c r="E420" s="642"/>
      <c r="F420" s="314"/>
      <c r="G420" s="314"/>
    </row>
    <row r="421" ht="15.75" customHeight="1">
      <c r="B421" s="637"/>
      <c r="D421" s="321"/>
      <c r="E421" s="642"/>
      <c r="F421" s="314"/>
      <c r="G421" s="314"/>
    </row>
    <row r="422" ht="15.75" customHeight="1">
      <c r="B422" s="637"/>
      <c r="D422" s="321"/>
      <c r="E422" s="642"/>
      <c r="F422" s="314"/>
      <c r="G422" s="314"/>
    </row>
    <row r="423" ht="15.75" customHeight="1">
      <c r="B423" s="637"/>
      <c r="D423" s="321"/>
      <c r="E423" s="642"/>
      <c r="F423" s="314"/>
      <c r="G423" s="314"/>
    </row>
    <row r="424" ht="15.75" customHeight="1">
      <c r="B424" s="637"/>
      <c r="D424" s="321"/>
      <c r="E424" s="642"/>
      <c r="F424" s="314"/>
      <c r="G424" s="314"/>
    </row>
    <row r="425" ht="15.75" customHeight="1">
      <c r="B425" s="637"/>
      <c r="D425" s="321"/>
      <c r="E425" s="642"/>
      <c r="F425" s="314"/>
      <c r="G425" s="314"/>
    </row>
    <row r="426" ht="15.75" customHeight="1">
      <c r="B426" s="637"/>
      <c r="D426" s="321"/>
      <c r="E426" s="642"/>
      <c r="F426" s="314"/>
      <c r="G426" s="314"/>
    </row>
    <row r="427" ht="15.75" customHeight="1">
      <c r="B427" s="637"/>
      <c r="D427" s="321"/>
      <c r="E427" s="642"/>
      <c r="F427" s="314"/>
      <c r="G427" s="314"/>
    </row>
    <row r="428" ht="15.75" customHeight="1">
      <c r="B428" s="637"/>
      <c r="D428" s="321"/>
      <c r="E428" s="642"/>
      <c r="F428" s="314"/>
      <c r="G428" s="314"/>
    </row>
    <row r="429" ht="15.75" customHeight="1">
      <c r="B429" s="637"/>
      <c r="D429" s="321"/>
      <c r="E429" s="642"/>
      <c r="F429" s="314"/>
      <c r="G429" s="314"/>
    </row>
    <row r="430" ht="15.75" customHeight="1">
      <c r="B430" s="637"/>
      <c r="D430" s="321"/>
      <c r="E430" s="642"/>
      <c r="F430" s="314"/>
      <c r="G430" s="314"/>
    </row>
    <row r="431" ht="15.75" customHeight="1">
      <c r="B431" s="637"/>
      <c r="D431" s="321"/>
      <c r="E431" s="642"/>
      <c r="F431" s="314"/>
      <c r="G431" s="314"/>
    </row>
    <row r="432" ht="15.75" customHeight="1">
      <c r="B432" s="637"/>
      <c r="D432" s="321"/>
      <c r="E432" s="642"/>
      <c r="F432" s="314"/>
      <c r="G432" s="314"/>
    </row>
    <row r="433" ht="15.75" customHeight="1">
      <c r="B433" s="637"/>
      <c r="D433" s="321"/>
      <c r="E433" s="642"/>
      <c r="F433" s="314"/>
      <c r="G433" s="314"/>
    </row>
    <row r="434" ht="15.75" customHeight="1">
      <c r="B434" s="637"/>
      <c r="D434" s="321"/>
      <c r="E434" s="642"/>
      <c r="F434" s="314"/>
      <c r="G434" s="314"/>
    </row>
    <row r="435" ht="15.75" customHeight="1">
      <c r="B435" s="637"/>
      <c r="D435" s="321"/>
      <c r="E435" s="642"/>
      <c r="F435" s="314"/>
      <c r="G435" s="314"/>
    </row>
    <row r="436" ht="15.75" customHeight="1">
      <c r="B436" s="637"/>
      <c r="D436" s="321"/>
      <c r="E436" s="642"/>
      <c r="F436" s="314"/>
      <c r="G436" s="314"/>
    </row>
    <row r="437" ht="15.75" customHeight="1">
      <c r="B437" s="637"/>
      <c r="D437" s="321"/>
      <c r="E437" s="642"/>
      <c r="F437" s="314"/>
      <c r="G437" s="314"/>
    </row>
    <row r="438" ht="15.75" customHeight="1">
      <c r="B438" s="637"/>
      <c r="D438" s="321"/>
      <c r="E438" s="642"/>
      <c r="F438" s="314"/>
      <c r="G438" s="314"/>
    </row>
    <row r="439" ht="15.75" customHeight="1">
      <c r="B439" s="637"/>
      <c r="D439" s="321"/>
      <c r="E439" s="642"/>
      <c r="F439" s="314"/>
      <c r="G439" s="314"/>
    </row>
    <row r="440" ht="15.75" customHeight="1">
      <c r="B440" s="637"/>
      <c r="D440" s="321"/>
      <c r="E440" s="642"/>
      <c r="F440" s="314"/>
      <c r="G440" s="314"/>
    </row>
    <row r="441" ht="15.75" customHeight="1">
      <c r="B441" s="637"/>
      <c r="D441" s="321"/>
      <c r="E441" s="642"/>
      <c r="F441" s="314"/>
      <c r="G441" s="314"/>
    </row>
    <row r="442" ht="15.75" customHeight="1">
      <c r="B442" s="637"/>
      <c r="D442" s="321"/>
      <c r="E442" s="642"/>
      <c r="F442" s="314"/>
      <c r="G442" s="314"/>
    </row>
    <row r="443" ht="15.75" customHeight="1">
      <c r="B443" s="637"/>
      <c r="D443" s="321"/>
      <c r="E443" s="642"/>
      <c r="F443" s="314"/>
      <c r="G443" s="314"/>
    </row>
    <row r="444" ht="15.75" customHeight="1">
      <c r="B444" s="637"/>
      <c r="D444" s="321"/>
      <c r="E444" s="642"/>
      <c r="F444" s="314"/>
      <c r="G444" s="314"/>
    </row>
    <row r="445" ht="15.75" customHeight="1">
      <c r="B445" s="637"/>
      <c r="D445" s="321"/>
      <c r="E445" s="642"/>
      <c r="F445" s="314"/>
      <c r="G445" s="314"/>
    </row>
    <row r="446" ht="15.75" customHeight="1">
      <c r="B446" s="637"/>
      <c r="D446" s="321"/>
      <c r="E446" s="642"/>
      <c r="F446" s="314"/>
      <c r="G446" s="314"/>
    </row>
    <row r="447" ht="15.75" customHeight="1">
      <c r="B447" s="637"/>
      <c r="D447" s="321"/>
      <c r="E447" s="642"/>
      <c r="F447" s="314"/>
      <c r="G447" s="314"/>
    </row>
    <row r="448" ht="15.75" customHeight="1">
      <c r="B448" s="637"/>
      <c r="D448" s="321"/>
      <c r="E448" s="642"/>
      <c r="F448" s="314"/>
      <c r="G448" s="314"/>
    </row>
    <row r="449" ht="15.75" customHeight="1">
      <c r="B449" s="637"/>
      <c r="D449" s="321"/>
      <c r="E449" s="642"/>
      <c r="F449" s="314"/>
      <c r="G449" s="314"/>
    </row>
    <row r="450" ht="15.75" customHeight="1">
      <c r="B450" s="637"/>
      <c r="D450" s="321"/>
      <c r="E450" s="642"/>
      <c r="F450" s="314"/>
      <c r="G450" s="314"/>
    </row>
    <row r="451" ht="15.75" customHeight="1">
      <c r="B451" s="637"/>
      <c r="D451" s="321"/>
      <c r="E451" s="642"/>
      <c r="F451" s="314"/>
      <c r="G451" s="314"/>
    </row>
    <row r="452" ht="15.75" customHeight="1">
      <c r="B452" s="637"/>
      <c r="D452" s="321"/>
      <c r="E452" s="642"/>
      <c r="F452" s="314"/>
      <c r="G452" s="314"/>
    </row>
    <row r="453" ht="15.75" customHeight="1">
      <c r="B453" s="637"/>
      <c r="D453" s="321"/>
      <c r="E453" s="642"/>
      <c r="F453" s="314"/>
      <c r="G453" s="314"/>
    </row>
    <row r="454" ht="15.75" customHeight="1">
      <c r="B454" s="637"/>
      <c r="D454" s="321"/>
      <c r="E454" s="642"/>
      <c r="F454" s="314"/>
      <c r="G454" s="314"/>
    </row>
    <row r="455" ht="15.75" customHeight="1">
      <c r="B455" s="637"/>
      <c r="D455" s="321"/>
      <c r="E455" s="642"/>
      <c r="F455" s="314"/>
      <c r="G455" s="314"/>
    </row>
    <row r="456" ht="15.75" customHeight="1">
      <c r="B456" s="637"/>
      <c r="D456" s="321"/>
      <c r="E456" s="642"/>
      <c r="F456" s="314"/>
      <c r="G456" s="314"/>
    </row>
    <row r="457" ht="15.75" customHeight="1">
      <c r="B457" s="637"/>
      <c r="D457" s="321"/>
      <c r="E457" s="642"/>
      <c r="F457" s="314"/>
      <c r="G457" s="314"/>
    </row>
    <row r="458" ht="15.75" customHeight="1">
      <c r="B458" s="637"/>
      <c r="D458" s="321"/>
      <c r="E458" s="642"/>
      <c r="F458" s="314"/>
      <c r="G458" s="314"/>
    </row>
    <row r="459" ht="15.75" customHeight="1">
      <c r="B459" s="637"/>
      <c r="D459" s="321"/>
      <c r="E459" s="642"/>
      <c r="F459" s="314"/>
      <c r="G459" s="314"/>
    </row>
    <row r="460" ht="15.75" customHeight="1">
      <c r="B460" s="637"/>
      <c r="D460" s="321"/>
      <c r="E460" s="642"/>
      <c r="F460" s="314"/>
      <c r="G460" s="314"/>
    </row>
    <row r="461" ht="15.75" customHeight="1">
      <c r="B461" s="637"/>
      <c r="D461" s="321"/>
      <c r="E461" s="642"/>
      <c r="F461" s="314"/>
      <c r="G461" s="314"/>
    </row>
    <row r="462" ht="15.75" customHeight="1">
      <c r="B462" s="637"/>
      <c r="D462" s="321"/>
      <c r="E462" s="642"/>
      <c r="F462" s="314"/>
      <c r="G462" s="314"/>
    </row>
    <row r="463" ht="15.75" customHeight="1">
      <c r="B463" s="637"/>
      <c r="D463" s="321"/>
      <c r="E463" s="642"/>
      <c r="F463" s="314"/>
      <c r="G463" s="314"/>
    </row>
    <row r="464" ht="15.75" customHeight="1">
      <c r="B464" s="637"/>
      <c r="D464" s="321"/>
      <c r="E464" s="642"/>
      <c r="F464" s="314"/>
      <c r="G464" s="314"/>
    </row>
    <row r="465" ht="15.75" customHeight="1">
      <c r="B465" s="637"/>
      <c r="D465" s="321"/>
      <c r="E465" s="642"/>
      <c r="F465" s="314"/>
      <c r="G465" s="314"/>
    </row>
    <row r="466" ht="15.75" customHeight="1">
      <c r="B466" s="637"/>
      <c r="D466" s="321"/>
      <c r="E466" s="642"/>
      <c r="F466" s="314"/>
      <c r="G466" s="314"/>
    </row>
    <row r="467" ht="15.75" customHeight="1">
      <c r="B467" s="637"/>
      <c r="D467" s="321"/>
      <c r="E467" s="642"/>
      <c r="F467" s="314"/>
      <c r="G467" s="314"/>
    </row>
    <row r="468" ht="15.75" customHeight="1">
      <c r="B468" s="637"/>
      <c r="D468" s="321"/>
      <c r="E468" s="642"/>
      <c r="F468" s="314"/>
      <c r="G468" s="314"/>
    </row>
    <row r="469" ht="15.75" customHeight="1">
      <c r="B469" s="637"/>
      <c r="D469" s="321"/>
      <c r="E469" s="642"/>
      <c r="F469" s="314"/>
      <c r="G469" s="314"/>
    </row>
    <row r="470" ht="15.75" customHeight="1">
      <c r="B470" s="637"/>
      <c r="D470" s="321"/>
      <c r="E470" s="642"/>
      <c r="F470" s="314"/>
      <c r="G470" s="314"/>
    </row>
    <row r="471" ht="15.75" customHeight="1">
      <c r="B471" s="637"/>
      <c r="D471" s="321"/>
      <c r="E471" s="642"/>
      <c r="F471" s="314"/>
      <c r="G471" s="314"/>
    </row>
    <row r="472" ht="15.75" customHeight="1">
      <c r="B472" s="637"/>
      <c r="D472" s="321"/>
      <c r="E472" s="642"/>
      <c r="F472" s="314"/>
      <c r="G472" s="314"/>
    </row>
    <row r="473" ht="15.75" customHeight="1">
      <c r="B473" s="637"/>
      <c r="D473" s="321"/>
      <c r="E473" s="642"/>
      <c r="F473" s="314"/>
      <c r="G473" s="314"/>
    </row>
    <row r="474" ht="15.75" customHeight="1">
      <c r="B474" s="637"/>
      <c r="D474" s="321"/>
      <c r="E474" s="642"/>
      <c r="F474" s="314"/>
      <c r="G474" s="314"/>
    </row>
    <row r="475" ht="15.75" customHeight="1">
      <c r="B475" s="637"/>
      <c r="D475" s="321"/>
      <c r="E475" s="642"/>
      <c r="F475" s="314"/>
      <c r="G475" s="314"/>
    </row>
    <row r="476" ht="15.75" customHeight="1">
      <c r="B476" s="637"/>
      <c r="D476" s="321"/>
      <c r="E476" s="642"/>
      <c r="F476" s="314"/>
      <c r="G476" s="314"/>
    </row>
    <row r="477" ht="15.75" customHeight="1">
      <c r="B477" s="637"/>
      <c r="D477" s="321"/>
      <c r="E477" s="642"/>
      <c r="F477" s="314"/>
      <c r="G477" s="314"/>
    </row>
    <row r="478" ht="15.75" customHeight="1">
      <c r="B478" s="637"/>
      <c r="D478" s="321"/>
      <c r="E478" s="642"/>
      <c r="F478" s="314"/>
      <c r="G478" s="314"/>
    </row>
    <row r="479" ht="15.75" customHeight="1">
      <c r="B479" s="637"/>
      <c r="D479" s="321"/>
      <c r="E479" s="642"/>
      <c r="F479" s="314"/>
      <c r="G479" s="314"/>
    </row>
    <row r="480" ht="15.75" customHeight="1">
      <c r="B480" s="637"/>
      <c r="D480" s="321"/>
      <c r="E480" s="642"/>
      <c r="F480" s="314"/>
      <c r="G480" s="314"/>
    </row>
    <row r="481" ht="15.75" customHeight="1">
      <c r="B481" s="637"/>
      <c r="D481" s="321"/>
      <c r="E481" s="642"/>
      <c r="F481" s="314"/>
      <c r="G481" s="314"/>
    </row>
    <row r="482" ht="15.75" customHeight="1">
      <c r="B482" s="637"/>
      <c r="D482" s="321"/>
      <c r="E482" s="642"/>
      <c r="F482" s="314"/>
      <c r="G482" s="314"/>
    </row>
    <row r="483" ht="15.75" customHeight="1">
      <c r="B483" s="637"/>
      <c r="D483" s="321"/>
      <c r="E483" s="642"/>
      <c r="F483" s="314"/>
      <c r="G483" s="314"/>
    </row>
    <row r="484" ht="15.75" customHeight="1">
      <c r="B484" s="637"/>
      <c r="D484" s="321"/>
      <c r="E484" s="642"/>
      <c r="F484" s="314"/>
      <c r="G484" s="314"/>
    </row>
    <row r="485" ht="15.75" customHeight="1">
      <c r="B485" s="637"/>
      <c r="D485" s="321"/>
      <c r="E485" s="642"/>
      <c r="F485" s="314"/>
      <c r="G485" s="314"/>
    </row>
    <row r="486" ht="15.75" customHeight="1">
      <c r="B486" s="637"/>
      <c r="D486" s="321"/>
      <c r="E486" s="642"/>
      <c r="F486" s="314"/>
      <c r="G486" s="314"/>
    </row>
    <row r="487" ht="15.75" customHeight="1">
      <c r="B487" s="637"/>
      <c r="D487" s="321"/>
      <c r="E487" s="642"/>
      <c r="F487" s="314"/>
      <c r="G487" s="314"/>
    </row>
    <row r="488" ht="15.75" customHeight="1">
      <c r="B488" s="637"/>
      <c r="D488" s="321"/>
      <c r="E488" s="642"/>
      <c r="F488" s="314"/>
      <c r="G488" s="314"/>
    </row>
    <row r="489" ht="15.75" customHeight="1">
      <c r="B489" s="637"/>
      <c r="D489" s="321"/>
      <c r="E489" s="642"/>
      <c r="F489" s="314"/>
      <c r="G489" s="314"/>
    </row>
    <row r="490" ht="15.75" customHeight="1">
      <c r="B490" s="637"/>
      <c r="D490" s="321"/>
      <c r="E490" s="642"/>
      <c r="F490" s="314"/>
      <c r="G490" s="314"/>
    </row>
    <row r="491" ht="15.75" customHeight="1">
      <c r="B491" s="637"/>
      <c r="D491" s="321"/>
      <c r="E491" s="642"/>
      <c r="F491" s="314"/>
      <c r="G491" s="314"/>
    </row>
    <row r="492" ht="15.75" customHeight="1">
      <c r="B492" s="637"/>
      <c r="D492" s="321"/>
      <c r="E492" s="642"/>
      <c r="F492" s="314"/>
      <c r="G492" s="314"/>
    </row>
    <row r="493" ht="15.75" customHeight="1">
      <c r="B493" s="637"/>
      <c r="D493" s="321"/>
      <c r="E493" s="642"/>
      <c r="F493" s="314"/>
      <c r="G493" s="314"/>
    </row>
    <row r="494" ht="15.75" customHeight="1">
      <c r="B494" s="637"/>
      <c r="D494" s="321"/>
      <c r="E494" s="642"/>
      <c r="F494" s="314"/>
      <c r="G494" s="314"/>
    </row>
    <row r="495" ht="15.75" customHeight="1">
      <c r="B495" s="637"/>
      <c r="D495" s="321"/>
      <c r="E495" s="642"/>
      <c r="F495" s="314"/>
      <c r="G495" s="314"/>
    </row>
    <row r="496" ht="15.75" customHeight="1">
      <c r="B496" s="637"/>
      <c r="D496" s="321"/>
      <c r="E496" s="642"/>
      <c r="F496" s="314"/>
      <c r="G496" s="314"/>
    </row>
    <row r="497" ht="15.75" customHeight="1">
      <c r="B497" s="637"/>
      <c r="D497" s="321"/>
      <c r="E497" s="642"/>
      <c r="F497" s="314"/>
      <c r="G497" s="314"/>
    </row>
    <row r="498" ht="15.75" customHeight="1">
      <c r="B498" s="637"/>
      <c r="D498" s="321"/>
      <c r="E498" s="642"/>
      <c r="F498" s="314"/>
      <c r="G498" s="314"/>
    </row>
    <row r="499" ht="15.75" customHeight="1">
      <c r="B499" s="637"/>
      <c r="D499" s="321"/>
      <c r="E499" s="642"/>
      <c r="F499" s="314"/>
      <c r="G499" s="314"/>
    </row>
    <row r="500" ht="15.75" customHeight="1">
      <c r="B500" s="637"/>
      <c r="D500" s="321"/>
      <c r="E500" s="642"/>
      <c r="F500" s="314"/>
      <c r="G500" s="314"/>
    </row>
    <row r="501" ht="15.75" customHeight="1">
      <c r="B501" s="637"/>
      <c r="D501" s="321"/>
      <c r="E501" s="642"/>
      <c r="F501" s="314"/>
      <c r="G501" s="314"/>
    </row>
    <row r="502" ht="15.75" customHeight="1">
      <c r="B502" s="637"/>
      <c r="D502" s="321"/>
      <c r="E502" s="642"/>
      <c r="F502" s="314"/>
      <c r="G502" s="314"/>
    </row>
    <row r="503" ht="15.75" customHeight="1">
      <c r="B503" s="637"/>
      <c r="D503" s="321"/>
      <c r="E503" s="642"/>
      <c r="F503" s="314"/>
      <c r="G503" s="314"/>
    </row>
    <row r="504" ht="15.75" customHeight="1">
      <c r="B504" s="637"/>
      <c r="D504" s="321"/>
      <c r="E504" s="642"/>
      <c r="F504" s="314"/>
      <c r="G504" s="314"/>
    </row>
    <row r="505" ht="15.75" customHeight="1">
      <c r="B505" s="637"/>
      <c r="D505" s="321"/>
      <c r="E505" s="642"/>
      <c r="F505" s="314"/>
      <c r="G505" s="314"/>
    </row>
    <row r="506" ht="15.75" customHeight="1">
      <c r="B506" s="637"/>
      <c r="D506" s="321"/>
      <c r="E506" s="642"/>
      <c r="F506" s="314"/>
      <c r="G506" s="314"/>
    </row>
    <row r="507" ht="15.75" customHeight="1">
      <c r="B507" s="637"/>
      <c r="D507" s="321"/>
      <c r="E507" s="642"/>
      <c r="F507" s="314"/>
      <c r="G507" s="314"/>
    </row>
    <row r="508" ht="15.75" customHeight="1">
      <c r="B508" s="637"/>
      <c r="D508" s="321"/>
      <c r="E508" s="642"/>
      <c r="F508" s="314"/>
      <c r="G508" s="314"/>
    </row>
    <row r="509" ht="15.75" customHeight="1">
      <c r="B509" s="637"/>
      <c r="D509" s="321"/>
      <c r="E509" s="642"/>
      <c r="F509" s="314"/>
      <c r="G509" s="314"/>
    </row>
    <row r="510" ht="15.75" customHeight="1">
      <c r="B510" s="637"/>
      <c r="D510" s="321"/>
      <c r="E510" s="642"/>
      <c r="F510" s="314"/>
      <c r="G510" s="314"/>
    </row>
    <row r="511" ht="15.75" customHeight="1">
      <c r="B511" s="637"/>
      <c r="D511" s="321"/>
      <c r="E511" s="642"/>
      <c r="F511" s="314"/>
      <c r="G511" s="314"/>
    </row>
    <row r="512" ht="15.75" customHeight="1">
      <c r="B512" s="637"/>
      <c r="D512" s="321"/>
      <c r="E512" s="642"/>
      <c r="F512" s="314"/>
      <c r="G512" s="314"/>
    </row>
    <row r="513" ht="15.75" customHeight="1">
      <c r="B513" s="637"/>
      <c r="D513" s="321"/>
      <c r="E513" s="642"/>
      <c r="F513" s="314"/>
      <c r="G513" s="314"/>
    </row>
    <row r="514" ht="15.75" customHeight="1">
      <c r="B514" s="637"/>
      <c r="D514" s="321"/>
      <c r="E514" s="642"/>
      <c r="F514" s="314"/>
      <c r="G514" s="314"/>
    </row>
    <row r="515" ht="15.75" customHeight="1">
      <c r="B515" s="637"/>
      <c r="D515" s="321"/>
      <c r="E515" s="642"/>
      <c r="F515" s="314"/>
      <c r="G515" s="314"/>
    </row>
    <row r="516" ht="15.75" customHeight="1">
      <c r="B516" s="637"/>
      <c r="D516" s="321"/>
      <c r="E516" s="642"/>
      <c r="F516" s="314"/>
      <c r="G516" s="314"/>
    </row>
    <row r="517" ht="15.75" customHeight="1">
      <c r="B517" s="637"/>
      <c r="D517" s="321"/>
      <c r="E517" s="642"/>
      <c r="F517" s="314"/>
      <c r="G517" s="314"/>
    </row>
    <row r="518" ht="15.75" customHeight="1">
      <c r="B518" s="637"/>
      <c r="D518" s="321"/>
      <c r="E518" s="642"/>
      <c r="F518" s="314"/>
      <c r="G518" s="314"/>
    </row>
    <row r="519" ht="15.75" customHeight="1">
      <c r="B519" s="637"/>
      <c r="D519" s="321"/>
      <c r="E519" s="642"/>
      <c r="F519" s="314"/>
      <c r="G519" s="314"/>
    </row>
    <row r="520" ht="15.75" customHeight="1">
      <c r="B520" s="637"/>
      <c r="D520" s="321"/>
      <c r="E520" s="642"/>
      <c r="F520" s="314"/>
      <c r="G520" s="314"/>
    </row>
    <row r="521" ht="15.75" customHeight="1">
      <c r="B521" s="637"/>
      <c r="D521" s="321"/>
      <c r="E521" s="642"/>
      <c r="F521" s="314"/>
      <c r="G521" s="314"/>
    </row>
    <row r="522" ht="15.75" customHeight="1">
      <c r="B522" s="637"/>
      <c r="D522" s="321"/>
      <c r="E522" s="642"/>
      <c r="F522" s="314"/>
      <c r="G522" s="314"/>
    </row>
    <row r="523" ht="15.75" customHeight="1">
      <c r="B523" s="637"/>
      <c r="D523" s="321"/>
      <c r="E523" s="642"/>
      <c r="F523" s="314"/>
      <c r="G523" s="314"/>
    </row>
    <row r="524" ht="15.75" customHeight="1">
      <c r="B524" s="637"/>
      <c r="D524" s="321"/>
      <c r="E524" s="642"/>
      <c r="F524" s="314"/>
      <c r="G524" s="314"/>
    </row>
    <row r="525" ht="15.75" customHeight="1">
      <c r="B525" s="637"/>
      <c r="D525" s="321"/>
      <c r="E525" s="642"/>
      <c r="F525" s="314"/>
      <c r="G525" s="314"/>
    </row>
    <row r="526" ht="15.75" customHeight="1">
      <c r="B526" s="637"/>
      <c r="D526" s="321"/>
      <c r="E526" s="642"/>
      <c r="F526" s="314"/>
      <c r="G526" s="314"/>
    </row>
    <row r="527" ht="15.75" customHeight="1">
      <c r="B527" s="637"/>
      <c r="D527" s="321"/>
      <c r="E527" s="642"/>
      <c r="F527" s="314"/>
      <c r="G527" s="314"/>
    </row>
    <row r="528" ht="15.75" customHeight="1">
      <c r="B528" s="637"/>
      <c r="D528" s="321"/>
      <c r="E528" s="642"/>
      <c r="F528" s="314"/>
      <c r="G528" s="314"/>
    </row>
    <row r="529" ht="15.75" customHeight="1">
      <c r="B529" s="637"/>
      <c r="D529" s="321"/>
      <c r="E529" s="642"/>
      <c r="F529" s="314"/>
      <c r="G529" s="314"/>
    </row>
    <row r="530" ht="15.75" customHeight="1">
      <c r="B530" s="637"/>
      <c r="D530" s="321"/>
      <c r="E530" s="642"/>
      <c r="F530" s="314"/>
      <c r="G530" s="314"/>
    </row>
    <row r="531" ht="15.75" customHeight="1">
      <c r="B531" s="637"/>
      <c r="D531" s="321"/>
      <c r="E531" s="642"/>
      <c r="F531" s="314"/>
      <c r="G531" s="314"/>
    </row>
    <row r="532" ht="15.75" customHeight="1">
      <c r="B532" s="637"/>
      <c r="D532" s="321"/>
      <c r="E532" s="642"/>
      <c r="F532" s="314"/>
      <c r="G532" s="314"/>
    </row>
    <row r="533" ht="15.75" customHeight="1">
      <c r="B533" s="637"/>
      <c r="D533" s="321"/>
      <c r="E533" s="642"/>
      <c r="F533" s="314"/>
      <c r="G533" s="314"/>
    </row>
    <row r="534" ht="15.75" customHeight="1">
      <c r="B534" s="637"/>
      <c r="D534" s="321"/>
      <c r="E534" s="642"/>
      <c r="F534" s="314"/>
      <c r="G534" s="314"/>
    </row>
    <row r="535" ht="15.75" customHeight="1">
      <c r="B535" s="637"/>
      <c r="D535" s="321"/>
      <c r="E535" s="642"/>
      <c r="F535" s="314"/>
      <c r="G535" s="314"/>
    </row>
    <row r="536" ht="15.75" customHeight="1">
      <c r="B536" s="637"/>
      <c r="D536" s="321"/>
      <c r="E536" s="642"/>
      <c r="F536" s="314"/>
      <c r="G536" s="314"/>
    </row>
    <row r="537" ht="15.75" customHeight="1">
      <c r="B537" s="637"/>
      <c r="D537" s="321"/>
      <c r="E537" s="642"/>
      <c r="F537" s="314"/>
      <c r="G537" s="314"/>
    </row>
    <row r="538" ht="15.75" customHeight="1">
      <c r="B538" s="637"/>
      <c r="D538" s="321"/>
      <c r="E538" s="642"/>
      <c r="F538" s="314"/>
      <c r="G538" s="314"/>
    </row>
    <row r="539" ht="15.75" customHeight="1">
      <c r="B539" s="637"/>
      <c r="D539" s="321"/>
      <c r="E539" s="642"/>
      <c r="F539" s="314"/>
      <c r="G539" s="314"/>
    </row>
    <row r="540" ht="15.75" customHeight="1">
      <c r="B540" s="637"/>
      <c r="D540" s="321"/>
      <c r="E540" s="642"/>
      <c r="F540" s="314"/>
      <c r="G540" s="314"/>
    </row>
    <row r="541" ht="15.75" customHeight="1">
      <c r="B541" s="637"/>
      <c r="D541" s="321"/>
      <c r="E541" s="642"/>
      <c r="F541" s="314"/>
      <c r="G541" s="314"/>
    </row>
    <row r="542" ht="15.75" customHeight="1">
      <c r="B542" s="637"/>
      <c r="D542" s="321"/>
      <c r="E542" s="642"/>
      <c r="F542" s="314"/>
      <c r="G542" s="314"/>
    </row>
    <row r="543" ht="15.75" customHeight="1">
      <c r="B543" s="637"/>
      <c r="D543" s="321"/>
      <c r="E543" s="642"/>
      <c r="F543" s="314"/>
      <c r="G543" s="314"/>
    </row>
    <row r="544" ht="15.75" customHeight="1">
      <c r="B544" s="637"/>
      <c r="D544" s="321"/>
      <c r="E544" s="642"/>
      <c r="F544" s="314"/>
      <c r="G544" s="314"/>
    </row>
    <row r="545" ht="15.75" customHeight="1">
      <c r="B545" s="637"/>
      <c r="D545" s="321"/>
      <c r="E545" s="642"/>
      <c r="F545" s="314"/>
      <c r="G545" s="314"/>
    </row>
    <row r="546" ht="15.75" customHeight="1">
      <c r="B546" s="637"/>
      <c r="D546" s="321"/>
      <c r="E546" s="642"/>
      <c r="F546" s="314"/>
      <c r="G546" s="314"/>
    </row>
    <row r="547" ht="15.75" customHeight="1">
      <c r="B547" s="637"/>
      <c r="D547" s="321"/>
      <c r="E547" s="642"/>
      <c r="F547" s="314"/>
      <c r="G547" s="314"/>
    </row>
    <row r="548" ht="15.75" customHeight="1">
      <c r="B548" s="637"/>
      <c r="D548" s="321"/>
      <c r="E548" s="642"/>
      <c r="F548" s="314"/>
      <c r="G548" s="314"/>
    </row>
    <row r="549" ht="15.75" customHeight="1">
      <c r="B549" s="637"/>
      <c r="D549" s="321"/>
      <c r="E549" s="642"/>
      <c r="F549" s="314"/>
      <c r="G549" s="314"/>
    </row>
    <row r="550" ht="15.75" customHeight="1">
      <c r="B550" s="637"/>
      <c r="D550" s="321"/>
      <c r="E550" s="642"/>
      <c r="F550" s="314"/>
      <c r="G550" s="314"/>
    </row>
    <row r="551" ht="15.75" customHeight="1">
      <c r="B551" s="637"/>
      <c r="D551" s="321"/>
      <c r="E551" s="642"/>
      <c r="F551" s="314"/>
      <c r="G551" s="314"/>
    </row>
    <row r="552" ht="15.75" customHeight="1">
      <c r="B552" s="637"/>
      <c r="D552" s="321"/>
      <c r="E552" s="642"/>
      <c r="F552" s="314"/>
      <c r="G552" s="314"/>
    </row>
    <row r="553" ht="15.75" customHeight="1">
      <c r="B553" s="637"/>
      <c r="D553" s="321"/>
      <c r="E553" s="642"/>
      <c r="F553" s="314"/>
      <c r="G553" s="314"/>
    </row>
    <row r="554" ht="15.75" customHeight="1">
      <c r="B554" s="637"/>
      <c r="D554" s="321"/>
      <c r="E554" s="642"/>
      <c r="F554" s="314"/>
      <c r="G554" s="314"/>
    </row>
    <row r="555" ht="15.75" customHeight="1">
      <c r="B555" s="637"/>
      <c r="D555" s="321"/>
      <c r="E555" s="642"/>
      <c r="F555" s="314"/>
      <c r="G555" s="314"/>
    </row>
    <row r="556" ht="15.75" customHeight="1">
      <c r="B556" s="637"/>
      <c r="D556" s="321"/>
      <c r="E556" s="642"/>
      <c r="F556" s="314"/>
      <c r="G556" s="314"/>
    </row>
    <row r="557" ht="15.75" customHeight="1">
      <c r="B557" s="637"/>
      <c r="D557" s="321"/>
      <c r="E557" s="642"/>
      <c r="F557" s="314"/>
      <c r="G557" s="314"/>
    </row>
    <row r="558" ht="15.75" customHeight="1">
      <c r="B558" s="637"/>
      <c r="D558" s="321"/>
      <c r="E558" s="642"/>
      <c r="F558" s="314"/>
      <c r="G558" s="314"/>
    </row>
    <row r="559" ht="15.75" customHeight="1">
      <c r="B559" s="637"/>
      <c r="D559" s="321"/>
      <c r="E559" s="642"/>
      <c r="F559" s="314"/>
      <c r="G559" s="314"/>
    </row>
    <row r="560" ht="15.75" customHeight="1">
      <c r="B560" s="637"/>
      <c r="D560" s="321"/>
      <c r="E560" s="642"/>
      <c r="F560" s="314"/>
      <c r="G560" s="314"/>
    </row>
    <row r="561" ht="15.75" customHeight="1">
      <c r="B561" s="637"/>
      <c r="D561" s="321"/>
      <c r="E561" s="642"/>
      <c r="F561" s="314"/>
      <c r="G561" s="314"/>
    </row>
    <row r="562" ht="15.75" customHeight="1">
      <c r="B562" s="637"/>
      <c r="D562" s="321"/>
      <c r="E562" s="642"/>
      <c r="F562" s="314"/>
      <c r="G562" s="314"/>
    </row>
    <row r="563" ht="15.75" customHeight="1">
      <c r="B563" s="637"/>
      <c r="D563" s="321"/>
      <c r="E563" s="642"/>
      <c r="F563" s="314"/>
      <c r="G563" s="314"/>
    </row>
    <row r="564" ht="15.75" customHeight="1">
      <c r="B564" s="637"/>
      <c r="D564" s="321"/>
      <c r="E564" s="642"/>
      <c r="F564" s="314"/>
      <c r="G564" s="314"/>
    </row>
    <row r="565" ht="15.75" customHeight="1">
      <c r="B565" s="637"/>
      <c r="D565" s="321"/>
      <c r="E565" s="642"/>
      <c r="F565" s="314"/>
      <c r="G565" s="314"/>
    </row>
    <row r="566" ht="15.75" customHeight="1">
      <c r="B566" s="637"/>
      <c r="D566" s="321"/>
      <c r="E566" s="642"/>
      <c r="F566" s="314"/>
      <c r="G566" s="314"/>
    </row>
    <row r="567" ht="15.75" customHeight="1">
      <c r="B567" s="637"/>
      <c r="D567" s="321"/>
      <c r="E567" s="642"/>
      <c r="F567" s="314"/>
      <c r="G567" s="314"/>
    </row>
    <row r="568" ht="15.75" customHeight="1">
      <c r="B568" s="637"/>
      <c r="D568" s="321"/>
      <c r="E568" s="642"/>
      <c r="F568" s="314"/>
      <c r="G568" s="314"/>
    </row>
    <row r="569" ht="15.75" customHeight="1">
      <c r="B569" s="637"/>
      <c r="D569" s="321"/>
      <c r="E569" s="642"/>
      <c r="F569" s="314"/>
      <c r="G569" s="314"/>
    </row>
    <row r="570" ht="15.75" customHeight="1">
      <c r="B570" s="637"/>
      <c r="D570" s="321"/>
      <c r="E570" s="642"/>
      <c r="F570" s="314"/>
      <c r="G570" s="314"/>
    </row>
    <row r="571" ht="15.75" customHeight="1">
      <c r="B571" s="637"/>
      <c r="D571" s="321"/>
      <c r="E571" s="642"/>
      <c r="F571" s="314"/>
      <c r="G571" s="314"/>
    </row>
    <row r="572" ht="15.75" customHeight="1">
      <c r="B572" s="637"/>
      <c r="D572" s="321"/>
      <c r="E572" s="642"/>
      <c r="F572" s="314"/>
      <c r="G572" s="314"/>
    </row>
    <row r="573" ht="15.75" customHeight="1">
      <c r="B573" s="637"/>
      <c r="D573" s="321"/>
      <c r="E573" s="642"/>
      <c r="F573" s="314"/>
      <c r="G573" s="314"/>
    </row>
    <row r="574" ht="15.75" customHeight="1">
      <c r="B574" s="637"/>
      <c r="D574" s="321"/>
      <c r="E574" s="642"/>
      <c r="F574" s="314"/>
      <c r="G574" s="314"/>
    </row>
    <row r="575" ht="15.75" customHeight="1">
      <c r="B575" s="637"/>
      <c r="D575" s="321"/>
      <c r="E575" s="642"/>
      <c r="F575" s="314"/>
      <c r="G575" s="314"/>
    </row>
    <row r="576" ht="15.75" customHeight="1">
      <c r="B576" s="637"/>
      <c r="D576" s="321"/>
      <c r="E576" s="642"/>
      <c r="F576" s="314"/>
      <c r="G576" s="314"/>
    </row>
    <row r="577" ht="15.75" customHeight="1">
      <c r="B577" s="637"/>
      <c r="D577" s="321"/>
      <c r="E577" s="642"/>
      <c r="F577" s="314"/>
      <c r="G577" s="314"/>
    </row>
    <row r="578" ht="15.75" customHeight="1">
      <c r="B578" s="637"/>
      <c r="D578" s="321"/>
      <c r="E578" s="642"/>
      <c r="F578" s="314"/>
      <c r="G578" s="314"/>
    </row>
    <row r="579" ht="15.75" customHeight="1">
      <c r="B579" s="637"/>
      <c r="D579" s="321"/>
      <c r="E579" s="642"/>
      <c r="F579" s="314"/>
      <c r="G579" s="314"/>
    </row>
    <row r="580" ht="15.75" customHeight="1">
      <c r="B580" s="637"/>
      <c r="D580" s="321"/>
      <c r="E580" s="642"/>
      <c r="F580" s="314"/>
      <c r="G580" s="314"/>
    </row>
    <row r="581" ht="15.75" customHeight="1">
      <c r="B581" s="637"/>
      <c r="D581" s="321"/>
      <c r="E581" s="642"/>
      <c r="F581" s="314"/>
      <c r="G581" s="314"/>
    </row>
    <row r="582" ht="15.75" customHeight="1">
      <c r="B582" s="637"/>
      <c r="D582" s="321"/>
      <c r="E582" s="642"/>
      <c r="F582" s="314"/>
      <c r="G582" s="314"/>
    </row>
    <row r="583" ht="15.75" customHeight="1">
      <c r="B583" s="637"/>
      <c r="D583" s="321"/>
      <c r="E583" s="642"/>
      <c r="F583" s="314"/>
      <c r="G583" s="314"/>
    </row>
    <row r="584" ht="15.75" customHeight="1">
      <c r="B584" s="637"/>
      <c r="D584" s="321"/>
      <c r="E584" s="642"/>
      <c r="F584" s="314"/>
      <c r="G584" s="314"/>
    </row>
    <row r="585" ht="15.75" customHeight="1">
      <c r="B585" s="637"/>
      <c r="D585" s="321"/>
      <c r="E585" s="642"/>
      <c r="F585" s="314"/>
      <c r="G585" s="314"/>
    </row>
    <row r="586" ht="15.75" customHeight="1">
      <c r="B586" s="637"/>
      <c r="D586" s="321"/>
      <c r="E586" s="642"/>
      <c r="F586" s="314"/>
      <c r="G586" s="314"/>
    </row>
    <row r="587" ht="15.75" customHeight="1">
      <c r="B587" s="637"/>
      <c r="D587" s="321"/>
      <c r="E587" s="642"/>
      <c r="F587" s="314"/>
      <c r="G587" s="314"/>
    </row>
    <row r="588" ht="15.75" customHeight="1">
      <c r="B588" s="637"/>
      <c r="D588" s="321"/>
      <c r="E588" s="642"/>
      <c r="F588" s="314"/>
      <c r="G588" s="314"/>
    </row>
    <row r="589" ht="15.75" customHeight="1">
      <c r="B589" s="637"/>
      <c r="D589" s="321"/>
      <c r="E589" s="642"/>
      <c r="F589" s="314"/>
      <c r="G589" s="314"/>
    </row>
    <row r="590" ht="15.75" customHeight="1">
      <c r="B590" s="637"/>
      <c r="D590" s="321"/>
      <c r="E590" s="642"/>
      <c r="F590" s="314"/>
      <c r="G590" s="314"/>
    </row>
    <row r="591" ht="15.75" customHeight="1">
      <c r="B591" s="637"/>
      <c r="D591" s="321"/>
      <c r="E591" s="642"/>
      <c r="F591" s="314"/>
      <c r="G591" s="314"/>
    </row>
    <row r="592" ht="15.75" customHeight="1">
      <c r="B592" s="637"/>
      <c r="D592" s="321"/>
      <c r="E592" s="642"/>
      <c r="F592" s="314"/>
      <c r="G592" s="314"/>
    </row>
    <row r="593" ht="15.75" customHeight="1">
      <c r="B593" s="637"/>
      <c r="D593" s="321"/>
      <c r="E593" s="642"/>
      <c r="F593" s="314"/>
      <c r="G593" s="314"/>
    </row>
    <row r="594" ht="15.75" customHeight="1">
      <c r="B594" s="637"/>
      <c r="D594" s="321"/>
      <c r="E594" s="642"/>
      <c r="F594" s="314"/>
      <c r="G594" s="314"/>
    </row>
    <row r="595" ht="15.75" customHeight="1">
      <c r="B595" s="637"/>
      <c r="D595" s="321"/>
      <c r="E595" s="642"/>
      <c r="F595" s="314"/>
      <c r="G595" s="314"/>
    </row>
    <row r="596" ht="15.75" customHeight="1">
      <c r="B596" s="637"/>
      <c r="D596" s="321"/>
      <c r="E596" s="642"/>
      <c r="F596" s="314"/>
      <c r="G596" s="314"/>
    </row>
    <row r="597" ht="15.75" customHeight="1">
      <c r="B597" s="637"/>
      <c r="D597" s="321"/>
      <c r="E597" s="642"/>
      <c r="F597" s="314"/>
      <c r="G597" s="314"/>
    </row>
    <row r="598" ht="15.75" customHeight="1">
      <c r="B598" s="637"/>
      <c r="D598" s="321"/>
      <c r="E598" s="642"/>
      <c r="F598" s="314"/>
      <c r="G598" s="314"/>
    </row>
    <row r="599" ht="15.75" customHeight="1">
      <c r="B599" s="637"/>
      <c r="D599" s="321"/>
      <c r="E599" s="642"/>
      <c r="F599" s="314"/>
      <c r="G599" s="314"/>
    </row>
    <row r="600" ht="15.75" customHeight="1">
      <c r="B600" s="637"/>
      <c r="D600" s="321"/>
      <c r="E600" s="642"/>
      <c r="F600" s="314"/>
      <c r="G600" s="314"/>
    </row>
    <row r="601" ht="15.75" customHeight="1">
      <c r="B601" s="637"/>
      <c r="D601" s="321"/>
      <c r="E601" s="642"/>
      <c r="F601" s="314"/>
      <c r="G601" s="314"/>
    </row>
    <row r="602" ht="15.75" customHeight="1">
      <c r="B602" s="637"/>
      <c r="D602" s="321"/>
      <c r="E602" s="642"/>
      <c r="F602" s="314"/>
      <c r="G602" s="314"/>
    </row>
    <row r="603" ht="15.75" customHeight="1">
      <c r="B603" s="637"/>
      <c r="D603" s="321"/>
      <c r="E603" s="642"/>
      <c r="F603" s="314"/>
      <c r="G603" s="314"/>
    </row>
    <row r="604" ht="15.75" customHeight="1">
      <c r="B604" s="637"/>
      <c r="D604" s="321"/>
      <c r="E604" s="642"/>
      <c r="F604" s="314"/>
      <c r="G604" s="314"/>
    </row>
    <row r="605" ht="15.75" customHeight="1">
      <c r="B605" s="637"/>
      <c r="D605" s="321"/>
      <c r="E605" s="642"/>
      <c r="F605" s="314"/>
      <c r="G605" s="314"/>
    </row>
    <row r="606" ht="15.75" customHeight="1">
      <c r="B606" s="637"/>
      <c r="D606" s="321"/>
      <c r="E606" s="642"/>
      <c r="F606" s="314"/>
      <c r="G606" s="314"/>
    </row>
    <row r="607" ht="15.75" customHeight="1">
      <c r="B607" s="637"/>
      <c r="D607" s="321"/>
      <c r="E607" s="642"/>
      <c r="F607" s="314"/>
      <c r="G607" s="314"/>
    </row>
    <row r="608" ht="15.75" customHeight="1">
      <c r="B608" s="637"/>
      <c r="D608" s="321"/>
      <c r="E608" s="642"/>
      <c r="F608" s="314"/>
      <c r="G608" s="314"/>
    </row>
    <row r="609" ht="15.75" customHeight="1">
      <c r="B609" s="637"/>
      <c r="D609" s="321"/>
      <c r="E609" s="642"/>
      <c r="F609" s="314"/>
      <c r="G609" s="314"/>
    </row>
    <row r="610" ht="15.75" customHeight="1">
      <c r="B610" s="637"/>
      <c r="D610" s="321"/>
      <c r="E610" s="642"/>
      <c r="F610" s="314"/>
      <c r="G610" s="314"/>
    </row>
    <row r="611" ht="15.75" customHeight="1">
      <c r="B611" s="637"/>
      <c r="D611" s="321"/>
      <c r="E611" s="642"/>
      <c r="F611" s="314"/>
      <c r="G611" s="314"/>
    </row>
    <row r="612" ht="15.75" customHeight="1">
      <c r="B612" s="637"/>
      <c r="D612" s="321"/>
      <c r="E612" s="642"/>
      <c r="F612" s="314"/>
      <c r="G612" s="314"/>
    </row>
    <row r="613" ht="15.75" customHeight="1">
      <c r="B613" s="637"/>
      <c r="D613" s="321"/>
      <c r="E613" s="642"/>
      <c r="F613" s="314"/>
      <c r="G613" s="314"/>
    </row>
    <row r="614" ht="15.75" customHeight="1">
      <c r="B614" s="637"/>
      <c r="D614" s="321"/>
      <c r="E614" s="642"/>
      <c r="F614" s="314"/>
      <c r="G614" s="314"/>
    </row>
    <row r="615" ht="15.75" customHeight="1">
      <c r="B615" s="637"/>
      <c r="D615" s="321"/>
      <c r="E615" s="642"/>
      <c r="F615" s="314"/>
      <c r="G615" s="314"/>
    </row>
    <row r="616" ht="15.75" customHeight="1">
      <c r="B616" s="637"/>
      <c r="D616" s="321"/>
      <c r="E616" s="642"/>
      <c r="F616" s="314"/>
      <c r="G616" s="314"/>
    </row>
    <row r="617" ht="15.75" customHeight="1">
      <c r="B617" s="637"/>
      <c r="D617" s="321"/>
      <c r="E617" s="642"/>
      <c r="F617" s="314"/>
      <c r="G617" s="314"/>
    </row>
    <row r="618" ht="15.75" customHeight="1">
      <c r="B618" s="637"/>
      <c r="D618" s="321"/>
      <c r="E618" s="642"/>
      <c r="F618" s="314"/>
      <c r="G618" s="314"/>
    </row>
    <row r="619" ht="15.75" customHeight="1">
      <c r="B619" s="637"/>
      <c r="D619" s="321"/>
      <c r="E619" s="642"/>
      <c r="F619" s="314"/>
      <c r="G619" s="314"/>
    </row>
    <row r="620" ht="15.75" customHeight="1">
      <c r="B620" s="637"/>
      <c r="D620" s="321"/>
      <c r="E620" s="642"/>
      <c r="F620" s="314"/>
      <c r="G620" s="314"/>
    </row>
    <row r="621" ht="15.75" customHeight="1">
      <c r="B621" s="637"/>
      <c r="D621" s="321"/>
      <c r="E621" s="642"/>
      <c r="F621" s="314"/>
      <c r="G621" s="314"/>
    </row>
    <row r="622" ht="15.75" customHeight="1">
      <c r="B622" s="637"/>
      <c r="D622" s="321"/>
      <c r="E622" s="642"/>
      <c r="F622" s="314"/>
      <c r="G622" s="314"/>
    </row>
    <row r="623" ht="15.75" customHeight="1">
      <c r="B623" s="637"/>
      <c r="D623" s="321"/>
      <c r="E623" s="642"/>
      <c r="F623" s="314"/>
      <c r="G623" s="314"/>
    </row>
    <row r="624" ht="15.75" customHeight="1">
      <c r="B624" s="637"/>
      <c r="D624" s="321"/>
      <c r="E624" s="642"/>
      <c r="F624" s="314"/>
      <c r="G624" s="314"/>
    </row>
    <row r="625" ht="15.75" customHeight="1">
      <c r="B625" s="637"/>
      <c r="D625" s="321"/>
      <c r="E625" s="642"/>
      <c r="F625" s="314"/>
      <c r="G625" s="314"/>
    </row>
    <row r="626" ht="15.75" customHeight="1">
      <c r="B626" s="637"/>
      <c r="D626" s="321"/>
      <c r="E626" s="642"/>
      <c r="F626" s="314"/>
      <c r="G626" s="314"/>
    </row>
    <row r="627" ht="15.75" customHeight="1">
      <c r="B627" s="637"/>
      <c r="D627" s="321"/>
      <c r="E627" s="642"/>
      <c r="F627" s="314"/>
      <c r="G627" s="314"/>
    </row>
    <row r="628" ht="15.75" customHeight="1">
      <c r="B628" s="637"/>
      <c r="D628" s="321"/>
      <c r="E628" s="642"/>
      <c r="F628" s="314"/>
      <c r="G628" s="314"/>
    </row>
    <row r="629" ht="15.75" customHeight="1">
      <c r="B629" s="637"/>
      <c r="D629" s="321"/>
      <c r="E629" s="642"/>
      <c r="F629" s="314"/>
      <c r="G629" s="314"/>
    </row>
    <row r="630" ht="15.75" customHeight="1">
      <c r="B630" s="637"/>
      <c r="D630" s="321"/>
      <c r="E630" s="642"/>
      <c r="F630" s="314"/>
      <c r="G630" s="314"/>
    </row>
    <row r="631" ht="15.75" customHeight="1">
      <c r="B631" s="637"/>
      <c r="D631" s="321"/>
      <c r="E631" s="642"/>
      <c r="F631" s="314"/>
      <c r="G631" s="314"/>
    </row>
    <row r="632" ht="15.75" customHeight="1">
      <c r="B632" s="637"/>
      <c r="D632" s="321"/>
      <c r="E632" s="642"/>
      <c r="F632" s="314"/>
      <c r="G632" s="314"/>
    </row>
    <row r="633" ht="15.75" customHeight="1">
      <c r="B633" s="637"/>
      <c r="D633" s="321"/>
      <c r="E633" s="642"/>
      <c r="F633" s="314"/>
      <c r="G633" s="314"/>
    </row>
    <row r="634" ht="15.75" customHeight="1">
      <c r="B634" s="637"/>
      <c r="D634" s="321"/>
      <c r="E634" s="642"/>
      <c r="F634" s="314"/>
      <c r="G634" s="314"/>
    </row>
    <row r="635" ht="15.75" customHeight="1">
      <c r="B635" s="637"/>
      <c r="D635" s="321"/>
      <c r="E635" s="642"/>
      <c r="F635" s="314"/>
      <c r="G635" s="314"/>
    </row>
    <row r="636" ht="15.75" customHeight="1">
      <c r="B636" s="637"/>
      <c r="D636" s="321"/>
      <c r="E636" s="642"/>
      <c r="F636" s="314"/>
      <c r="G636" s="314"/>
    </row>
    <row r="637" ht="15.75" customHeight="1">
      <c r="B637" s="637"/>
      <c r="D637" s="321"/>
      <c r="E637" s="642"/>
      <c r="F637" s="314"/>
      <c r="G637" s="314"/>
    </row>
    <row r="638" ht="15.75" customHeight="1">
      <c r="B638" s="637"/>
      <c r="D638" s="321"/>
      <c r="E638" s="642"/>
      <c r="F638" s="314"/>
      <c r="G638" s="314"/>
    </row>
    <row r="639" ht="15.75" customHeight="1">
      <c r="B639" s="637"/>
      <c r="D639" s="321"/>
      <c r="E639" s="642"/>
      <c r="F639" s="314"/>
      <c r="G639" s="314"/>
    </row>
    <row r="640" ht="15.75" customHeight="1">
      <c r="B640" s="637"/>
      <c r="D640" s="321"/>
      <c r="E640" s="642"/>
      <c r="F640" s="314"/>
      <c r="G640" s="314"/>
    </row>
    <row r="641" ht="15.75" customHeight="1">
      <c r="B641" s="637"/>
      <c r="D641" s="321"/>
      <c r="E641" s="642"/>
      <c r="F641" s="314"/>
      <c r="G641" s="314"/>
    </row>
    <row r="642" ht="15.75" customHeight="1">
      <c r="B642" s="637"/>
      <c r="D642" s="321"/>
      <c r="E642" s="642"/>
      <c r="F642" s="314"/>
      <c r="G642" s="314"/>
    </row>
    <row r="643" ht="15.75" customHeight="1">
      <c r="B643" s="637"/>
      <c r="D643" s="321"/>
      <c r="E643" s="642"/>
      <c r="F643" s="314"/>
      <c r="G643" s="314"/>
    </row>
    <row r="644" ht="15.75" customHeight="1">
      <c r="B644" s="637"/>
      <c r="D644" s="321"/>
      <c r="E644" s="642"/>
      <c r="F644" s="314"/>
      <c r="G644" s="314"/>
    </row>
    <row r="645" ht="15.75" customHeight="1">
      <c r="B645" s="637"/>
      <c r="D645" s="321"/>
      <c r="E645" s="642"/>
      <c r="F645" s="314"/>
      <c r="G645" s="314"/>
    </row>
    <row r="646" ht="15.75" customHeight="1">
      <c r="B646" s="637"/>
      <c r="D646" s="321"/>
      <c r="E646" s="642"/>
      <c r="F646" s="314"/>
      <c r="G646" s="314"/>
    </row>
    <row r="647" ht="15.75" customHeight="1">
      <c r="B647" s="637"/>
      <c r="D647" s="321"/>
      <c r="E647" s="642"/>
      <c r="F647" s="314"/>
      <c r="G647" s="314"/>
    </row>
    <row r="648" ht="15.75" customHeight="1">
      <c r="B648" s="637"/>
      <c r="D648" s="321"/>
      <c r="E648" s="642"/>
      <c r="F648" s="314"/>
      <c r="G648" s="314"/>
    </row>
    <row r="649" ht="15.75" customHeight="1">
      <c r="B649" s="637"/>
      <c r="D649" s="321"/>
      <c r="E649" s="642"/>
      <c r="F649" s="314"/>
      <c r="G649" s="314"/>
    </row>
    <row r="650" ht="15.75" customHeight="1">
      <c r="B650" s="637"/>
      <c r="D650" s="321"/>
      <c r="E650" s="642"/>
      <c r="F650" s="314"/>
      <c r="G650" s="314"/>
    </row>
    <row r="651" ht="15.75" customHeight="1">
      <c r="B651" s="637"/>
      <c r="D651" s="321"/>
      <c r="E651" s="642"/>
      <c r="F651" s="314"/>
      <c r="G651" s="314"/>
    </row>
    <row r="652" ht="15.75" customHeight="1">
      <c r="B652" s="637"/>
      <c r="D652" s="321"/>
      <c r="E652" s="642"/>
      <c r="F652" s="314"/>
      <c r="G652" s="314"/>
    </row>
    <row r="653" ht="15.75" customHeight="1">
      <c r="B653" s="637"/>
      <c r="D653" s="321"/>
      <c r="E653" s="642"/>
      <c r="F653" s="314"/>
      <c r="G653" s="314"/>
    </row>
    <row r="654" ht="15.75" customHeight="1">
      <c r="B654" s="637"/>
      <c r="D654" s="321"/>
      <c r="E654" s="642"/>
      <c r="F654" s="314"/>
      <c r="G654" s="314"/>
    </row>
    <row r="655" ht="15.75" customHeight="1">
      <c r="B655" s="637"/>
      <c r="D655" s="321"/>
      <c r="E655" s="642"/>
      <c r="F655" s="314"/>
      <c r="G655" s="314"/>
    </row>
    <row r="656" ht="15.75" customHeight="1">
      <c r="B656" s="637"/>
      <c r="D656" s="321"/>
      <c r="E656" s="642"/>
      <c r="F656" s="314"/>
      <c r="G656" s="314"/>
    </row>
    <row r="657" ht="15.75" customHeight="1">
      <c r="B657" s="637"/>
      <c r="D657" s="321"/>
      <c r="E657" s="642"/>
      <c r="F657" s="314"/>
      <c r="G657" s="314"/>
    </row>
    <row r="658" ht="15.75" customHeight="1">
      <c r="B658" s="637"/>
      <c r="D658" s="321"/>
      <c r="E658" s="642"/>
      <c r="F658" s="314"/>
      <c r="G658" s="314"/>
    </row>
    <row r="659" ht="15.75" customHeight="1">
      <c r="B659" s="637"/>
      <c r="D659" s="321"/>
      <c r="E659" s="642"/>
      <c r="F659" s="314"/>
      <c r="G659" s="314"/>
    </row>
    <row r="660" ht="15.75" customHeight="1">
      <c r="B660" s="637"/>
      <c r="D660" s="321"/>
      <c r="E660" s="642"/>
      <c r="F660" s="314"/>
      <c r="G660" s="314"/>
    </row>
    <row r="661" ht="15.75" customHeight="1">
      <c r="B661" s="637"/>
      <c r="D661" s="321"/>
      <c r="E661" s="642"/>
      <c r="F661" s="314"/>
      <c r="G661" s="314"/>
    </row>
    <row r="662" ht="15.75" customHeight="1">
      <c r="B662" s="637"/>
      <c r="D662" s="321"/>
      <c r="E662" s="642"/>
      <c r="F662" s="314"/>
      <c r="G662" s="314"/>
    </row>
    <row r="663" ht="15.75" customHeight="1">
      <c r="B663" s="637"/>
      <c r="D663" s="321"/>
      <c r="E663" s="642"/>
      <c r="F663" s="314"/>
      <c r="G663" s="314"/>
    </row>
    <row r="664" ht="15.75" customHeight="1">
      <c r="B664" s="637"/>
      <c r="D664" s="321"/>
      <c r="E664" s="642"/>
      <c r="F664" s="314"/>
      <c r="G664" s="314"/>
    </row>
    <row r="665" ht="15.75" customHeight="1">
      <c r="B665" s="637"/>
      <c r="D665" s="321"/>
      <c r="E665" s="642"/>
      <c r="F665" s="314"/>
      <c r="G665" s="314"/>
    </row>
    <row r="666" ht="15.75" customHeight="1">
      <c r="B666" s="637"/>
      <c r="D666" s="321"/>
      <c r="E666" s="642"/>
      <c r="F666" s="314"/>
      <c r="G666" s="314"/>
    </row>
    <row r="667" ht="15.75" customHeight="1">
      <c r="B667" s="637"/>
      <c r="D667" s="321"/>
      <c r="E667" s="642"/>
      <c r="F667" s="314"/>
      <c r="G667" s="314"/>
    </row>
    <row r="668" ht="15.75" customHeight="1">
      <c r="B668" s="637"/>
      <c r="D668" s="321"/>
      <c r="E668" s="642"/>
      <c r="F668" s="314"/>
      <c r="G668" s="314"/>
    </row>
    <row r="669" ht="15.75" customHeight="1">
      <c r="B669" s="637"/>
      <c r="D669" s="321"/>
      <c r="E669" s="642"/>
      <c r="F669" s="314"/>
      <c r="G669" s="314"/>
    </row>
    <row r="670" ht="15.75" customHeight="1">
      <c r="B670" s="637"/>
      <c r="D670" s="321"/>
      <c r="E670" s="642"/>
      <c r="F670" s="314"/>
      <c r="G670" s="314"/>
    </row>
    <row r="671" ht="15.75" customHeight="1">
      <c r="B671" s="637"/>
      <c r="D671" s="321"/>
      <c r="E671" s="642"/>
      <c r="F671" s="314"/>
      <c r="G671" s="314"/>
    </row>
    <row r="672" ht="15.75" customHeight="1">
      <c r="B672" s="637"/>
      <c r="D672" s="321"/>
      <c r="E672" s="642"/>
      <c r="F672" s="314"/>
      <c r="G672" s="314"/>
    </row>
    <row r="673" ht="15.75" customHeight="1">
      <c r="B673" s="637"/>
      <c r="D673" s="321"/>
      <c r="E673" s="642"/>
      <c r="F673" s="314"/>
      <c r="G673" s="314"/>
    </row>
    <row r="674" ht="15.75" customHeight="1">
      <c r="B674" s="637"/>
      <c r="D674" s="321"/>
      <c r="E674" s="642"/>
      <c r="F674" s="314"/>
      <c r="G674" s="314"/>
    </row>
    <row r="675" ht="15.75" customHeight="1">
      <c r="B675" s="637"/>
      <c r="D675" s="321"/>
      <c r="E675" s="642"/>
      <c r="F675" s="314"/>
      <c r="G675" s="314"/>
    </row>
    <row r="676" ht="15.75" customHeight="1">
      <c r="B676" s="637"/>
      <c r="D676" s="321"/>
      <c r="E676" s="642"/>
      <c r="F676" s="314"/>
      <c r="G676" s="314"/>
    </row>
    <row r="677" ht="15.75" customHeight="1">
      <c r="B677" s="637"/>
      <c r="D677" s="321"/>
      <c r="E677" s="642"/>
      <c r="F677" s="314"/>
      <c r="G677" s="314"/>
    </row>
    <row r="678" ht="15.75" customHeight="1">
      <c r="B678" s="637"/>
      <c r="D678" s="321"/>
      <c r="E678" s="642"/>
      <c r="F678" s="314"/>
      <c r="G678" s="314"/>
    </row>
    <row r="679" ht="15.75" customHeight="1">
      <c r="B679" s="637"/>
      <c r="D679" s="321"/>
      <c r="E679" s="642"/>
      <c r="F679" s="314"/>
      <c r="G679" s="314"/>
    </row>
    <row r="680" ht="15.75" customHeight="1">
      <c r="B680" s="637"/>
      <c r="D680" s="321"/>
      <c r="E680" s="642"/>
      <c r="F680" s="314"/>
      <c r="G680" s="314"/>
    </row>
    <row r="681" ht="15.75" customHeight="1">
      <c r="B681" s="637"/>
      <c r="D681" s="321"/>
      <c r="E681" s="642"/>
      <c r="F681" s="314"/>
      <c r="G681" s="314"/>
    </row>
    <row r="682" ht="15.75" customHeight="1">
      <c r="B682" s="637"/>
      <c r="D682" s="321"/>
      <c r="E682" s="642"/>
      <c r="F682" s="314"/>
      <c r="G682" s="314"/>
    </row>
    <row r="683" ht="15.75" customHeight="1">
      <c r="B683" s="637"/>
      <c r="D683" s="321"/>
      <c r="E683" s="642"/>
      <c r="F683" s="314"/>
      <c r="G683" s="314"/>
    </row>
    <row r="684" ht="15.75" customHeight="1">
      <c r="B684" s="637"/>
      <c r="D684" s="321"/>
      <c r="E684" s="642"/>
      <c r="F684" s="314"/>
      <c r="G684" s="314"/>
    </row>
    <row r="685" ht="15.75" customHeight="1">
      <c r="B685" s="637"/>
      <c r="D685" s="321"/>
      <c r="E685" s="642"/>
      <c r="F685" s="314"/>
      <c r="G685" s="314"/>
    </row>
    <row r="686" ht="15.75" customHeight="1">
      <c r="B686" s="637"/>
      <c r="D686" s="321"/>
      <c r="E686" s="642"/>
      <c r="F686" s="314"/>
      <c r="G686" s="314"/>
    </row>
    <row r="687" ht="15.75" customHeight="1">
      <c r="B687" s="637"/>
      <c r="D687" s="321"/>
      <c r="E687" s="642"/>
      <c r="F687" s="314"/>
      <c r="G687" s="314"/>
    </row>
    <row r="688" ht="15.75" customHeight="1">
      <c r="B688" s="637"/>
      <c r="D688" s="321"/>
      <c r="E688" s="642"/>
      <c r="F688" s="314"/>
      <c r="G688" s="314"/>
    </row>
    <row r="689" ht="15.75" customHeight="1">
      <c r="B689" s="637"/>
      <c r="D689" s="321"/>
      <c r="E689" s="642"/>
      <c r="F689" s="314"/>
      <c r="G689" s="314"/>
    </row>
    <row r="690" ht="15.75" customHeight="1">
      <c r="B690" s="637"/>
      <c r="D690" s="321"/>
      <c r="E690" s="642"/>
      <c r="F690" s="314"/>
      <c r="G690" s="314"/>
    </row>
    <row r="691" ht="15.75" customHeight="1">
      <c r="B691" s="637"/>
      <c r="D691" s="321"/>
      <c r="E691" s="642"/>
      <c r="F691" s="314"/>
      <c r="G691" s="314"/>
    </row>
    <row r="692" ht="15.75" customHeight="1">
      <c r="B692" s="637"/>
      <c r="D692" s="321"/>
      <c r="E692" s="642"/>
      <c r="F692" s="314"/>
      <c r="G692" s="314"/>
    </row>
    <row r="693" ht="15.75" customHeight="1">
      <c r="B693" s="637"/>
      <c r="D693" s="321"/>
      <c r="E693" s="642"/>
      <c r="F693" s="314"/>
      <c r="G693" s="314"/>
    </row>
    <row r="694" ht="15.75" customHeight="1">
      <c r="B694" s="637"/>
      <c r="D694" s="321"/>
      <c r="E694" s="642"/>
      <c r="F694" s="314"/>
      <c r="G694" s="314"/>
    </row>
    <row r="695" ht="15.75" customHeight="1">
      <c r="B695" s="637"/>
      <c r="D695" s="321"/>
      <c r="E695" s="642"/>
      <c r="F695" s="314"/>
      <c r="G695" s="314"/>
    </row>
    <row r="696" ht="15.75" customHeight="1">
      <c r="B696" s="637"/>
      <c r="D696" s="321"/>
      <c r="E696" s="642"/>
      <c r="F696" s="314"/>
      <c r="G696" s="314"/>
    </row>
    <row r="697" ht="15.75" customHeight="1">
      <c r="B697" s="637"/>
      <c r="D697" s="321"/>
      <c r="E697" s="642"/>
      <c r="F697" s="314"/>
      <c r="G697" s="314"/>
    </row>
    <row r="698" ht="15.75" customHeight="1">
      <c r="B698" s="637"/>
      <c r="D698" s="321"/>
      <c r="E698" s="642"/>
      <c r="F698" s="314"/>
      <c r="G698" s="314"/>
    </row>
    <row r="699" ht="15.75" customHeight="1">
      <c r="B699" s="637"/>
      <c r="D699" s="321"/>
      <c r="E699" s="642"/>
      <c r="F699" s="314"/>
      <c r="G699" s="314"/>
    </row>
    <row r="700" ht="15.75" customHeight="1">
      <c r="B700" s="637"/>
      <c r="D700" s="321"/>
      <c r="E700" s="642"/>
      <c r="F700" s="314"/>
      <c r="G700" s="314"/>
    </row>
    <row r="701" ht="15.75" customHeight="1">
      <c r="B701" s="637"/>
      <c r="D701" s="321"/>
      <c r="E701" s="642"/>
      <c r="F701" s="314"/>
      <c r="G701" s="314"/>
    </row>
    <row r="702" ht="15.75" customHeight="1">
      <c r="B702" s="637"/>
      <c r="D702" s="321"/>
      <c r="E702" s="642"/>
      <c r="F702" s="314"/>
      <c r="G702" s="314"/>
    </row>
    <row r="703" ht="15.75" customHeight="1">
      <c r="B703" s="637"/>
      <c r="D703" s="321"/>
      <c r="E703" s="642"/>
      <c r="F703" s="314"/>
      <c r="G703" s="314"/>
    </row>
    <row r="704" ht="15.75" customHeight="1">
      <c r="B704" s="637"/>
      <c r="D704" s="321"/>
      <c r="E704" s="642"/>
      <c r="F704" s="314"/>
      <c r="G704" s="314"/>
    </row>
    <row r="705" ht="15.75" customHeight="1">
      <c r="B705" s="637"/>
      <c r="D705" s="321"/>
      <c r="E705" s="642"/>
      <c r="F705" s="314"/>
      <c r="G705" s="314"/>
    </row>
    <row r="706" ht="15.75" customHeight="1">
      <c r="B706" s="637"/>
      <c r="D706" s="321"/>
      <c r="E706" s="642"/>
      <c r="F706" s="314"/>
      <c r="G706" s="314"/>
    </row>
    <row r="707" ht="15.75" customHeight="1">
      <c r="B707" s="637"/>
      <c r="D707" s="321"/>
      <c r="E707" s="642"/>
      <c r="F707" s="314"/>
      <c r="G707" s="314"/>
    </row>
    <row r="708" ht="15.75" customHeight="1">
      <c r="B708" s="637"/>
      <c r="D708" s="321"/>
      <c r="E708" s="642"/>
      <c r="F708" s="314"/>
      <c r="G708" s="314"/>
    </row>
    <row r="709" ht="15.75" customHeight="1">
      <c r="B709" s="637"/>
      <c r="D709" s="321"/>
      <c r="E709" s="642"/>
      <c r="F709" s="314"/>
      <c r="G709" s="314"/>
    </row>
    <row r="710" ht="15.75" customHeight="1">
      <c r="B710" s="637"/>
      <c r="D710" s="321"/>
      <c r="E710" s="642"/>
      <c r="F710" s="314"/>
      <c r="G710" s="314"/>
    </row>
    <row r="711" ht="15.75" customHeight="1">
      <c r="B711" s="637"/>
      <c r="D711" s="321"/>
      <c r="E711" s="642"/>
      <c r="F711" s="314"/>
      <c r="G711" s="314"/>
    </row>
    <row r="712" ht="15.75" customHeight="1">
      <c r="B712" s="637"/>
      <c r="D712" s="321"/>
      <c r="E712" s="642"/>
      <c r="F712" s="314"/>
      <c r="G712" s="314"/>
    </row>
    <row r="713" ht="15.75" customHeight="1">
      <c r="B713" s="637"/>
      <c r="D713" s="321"/>
      <c r="E713" s="642"/>
      <c r="F713" s="314"/>
      <c r="G713" s="314"/>
    </row>
    <row r="714" ht="15.75" customHeight="1">
      <c r="B714" s="637"/>
      <c r="D714" s="321"/>
      <c r="E714" s="642"/>
      <c r="F714" s="314"/>
      <c r="G714" s="314"/>
    </row>
    <row r="715" ht="15.75" customHeight="1">
      <c r="B715" s="637"/>
      <c r="D715" s="321"/>
      <c r="E715" s="642"/>
      <c r="F715" s="314"/>
      <c r="G715" s="314"/>
    </row>
    <row r="716" ht="15.75" customHeight="1">
      <c r="B716" s="637"/>
      <c r="D716" s="321"/>
      <c r="E716" s="642"/>
      <c r="F716" s="314"/>
      <c r="G716" s="314"/>
    </row>
    <row r="717" ht="15.75" customHeight="1">
      <c r="B717" s="637"/>
      <c r="D717" s="321"/>
      <c r="E717" s="642"/>
      <c r="F717" s="314"/>
      <c r="G717" s="314"/>
    </row>
    <row r="718" ht="15.75" customHeight="1">
      <c r="B718" s="637"/>
      <c r="D718" s="321"/>
      <c r="E718" s="642"/>
      <c r="F718" s="314"/>
      <c r="G718" s="314"/>
    </row>
    <row r="719" ht="15.75" customHeight="1">
      <c r="B719" s="637"/>
      <c r="D719" s="321"/>
      <c r="E719" s="642"/>
      <c r="F719" s="314"/>
      <c r="G719" s="314"/>
    </row>
    <row r="720" ht="15.75" customHeight="1">
      <c r="B720" s="637"/>
      <c r="D720" s="321"/>
      <c r="E720" s="642"/>
      <c r="F720" s="314"/>
      <c r="G720" s="314"/>
    </row>
    <row r="721" ht="15.75" customHeight="1">
      <c r="B721" s="637"/>
      <c r="D721" s="321"/>
      <c r="E721" s="642"/>
      <c r="F721" s="314"/>
      <c r="G721" s="314"/>
    </row>
    <row r="722" ht="15.75" customHeight="1">
      <c r="B722" s="637"/>
      <c r="D722" s="321"/>
      <c r="E722" s="642"/>
      <c r="F722" s="314"/>
      <c r="G722" s="314"/>
    </row>
    <row r="723" ht="15.75" customHeight="1">
      <c r="B723" s="637"/>
      <c r="D723" s="321"/>
      <c r="E723" s="642"/>
      <c r="F723" s="314"/>
      <c r="G723" s="314"/>
    </row>
    <row r="724" ht="15.75" customHeight="1">
      <c r="B724" s="637"/>
      <c r="D724" s="321"/>
      <c r="E724" s="642"/>
      <c r="F724" s="314"/>
      <c r="G724" s="314"/>
    </row>
    <row r="725" ht="15.75" customHeight="1">
      <c r="B725" s="637"/>
      <c r="D725" s="321"/>
      <c r="E725" s="642"/>
      <c r="F725" s="314"/>
      <c r="G725" s="314"/>
    </row>
    <row r="726" ht="15.75" customHeight="1">
      <c r="B726" s="637"/>
      <c r="D726" s="321"/>
      <c r="E726" s="642"/>
      <c r="F726" s="314"/>
      <c r="G726" s="314"/>
    </row>
    <row r="727" ht="15.75" customHeight="1">
      <c r="B727" s="637"/>
      <c r="D727" s="321"/>
      <c r="E727" s="642"/>
      <c r="F727" s="314"/>
      <c r="G727" s="314"/>
    </row>
    <row r="728" ht="15.75" customHeight="1">
      <c r="B728" s="637"/>
      <c r="D728" s="321"/>
      <c r="E728" s="642"/>
      <c r="F728" s="314"/>
      <c r="G728" s="314"/>
    </row>
    <row r="729" ht="15.75" customHeight="1">
      <c r="B729" s="637"/>
      <c r="D729" s="321"/>
      <c r="E729" s="642"/>
      <c r="F729" s="314"/>
      <c r="G729" s="314"/>
    </row>
    <row r="730" ht="15.75" customHeight="1">
      <c r="B730" s="637"/>
      <c r="D730" s="321"/>
      <c r="E730" s="642"/>
      <c r="F730" s="314"/>
      <c r="G730" s="314"/>
    </row>
    <row r="731" ht="15.75" customHeight="1">
      <c r="B731" s="637"/>
      <c r="D731" s="321"/>
      <c r="E731" s="642"/>
      <c r="F731" s="314"/>
      <c r="G731" s="314"/>
    </row>
    <row r="732" ht="15.75" customHeight="1">
      <c r="B732" s="637"/>
      <c r="D732" s="321"/>
      <c r="E732" s="642"/>
      <c r="F732" s="314"/>
      <c r="G732" s="314"/>
    </row>
    <row r="733" ht="15.75" customHeight="1">
      <c r="B733" s="637"/>
      <c r="D733" s="321"/>
      <c r="E733" s="642"/>
      <c r="F733" s="314"/>
      <c r="G733" s="314"/>
    </row>
    <row r="734" ht="15.75" customHeight="1">
      <c r="B734" s="637"/>
      <c r="D734" s="321"/>
      <c r="E734" s="642"/>
      <c r="F734" s="314"/>
      <c r="G734" s="314"/>
    </row>
    <row r="735" ht="15.75" customHeight="1">
      <c r="B735" s="637"/>
      <c r="D735" s="321"/>
      <c r="E735" s="642"/>
      <c r="F735" s="314"/>
      <c r="G735" s="314"/>
    </row>
    <row r="736" ht="15.75" customHeight="1">
      <c r="B736" s="637"/>
      <c r="D736" s="321"/>
      <c r="E736" s="642"/>
      <c r="F736" s="314"/>
      <c r="G736" s="314"/>
    </row>
    <row r="737" ht="15.75" customHeight="1">
      <c r="B737" s="637"/>
      <c r="D737" s="321"/>
      <c r="E737" s="642"/>
      <c r="F737" s="314"/>
      <c r="G737" s="314"/>
    </row>
    <row r="738" ht="15.75" customHeight="1">
      <c r="B738" s="637"/>
      <c r="D738" s="321"/>
      <c r="E738" s="642"/>
      <c r="F738" s="314"/>
      <c r="G738" s="314"/>
    </row>
    <row r="739" ht="15.75" customHeight="1">
      <c r="B739" s="637"/>
      <c r="D739" s="321"/>
      <c r="E739" s="642"/>
      <c r="F739" s="314"/>
      <c r="G739" s="314"/>
    </row>
    <row r="740" ht="15.75" customHeight="1">
      <c r="B740" s="637"/>
      <c r="D740" s="321"/>
      <c r="E740" s="642"/>
      <c r="F740" s="314"/>
      <c r="G740" s="314"/>
    </row>
    <row r="741" ht="15.75" customHeight="1">
      <c r="B741" s="637"/>
      <c r="D741" s="321"/>
      <c r="E741" s="642"/>
      <c r="F741" s="314"/>
      <c r="G741" s="314"/>
    </row>
    <row r="742" ht="15.75" customHeight="1">
      <c r="B742" s="637"/>
      <c r="D742" s="321"/>
      <c r="E742" s="642"/>
      <c r="F742" s="314"/>
      <c r="G742" s="314"/>
    </row>
    <row r="743" ht="15.75" customHeight="1">
      <c r="B743" s="637"/>
      <c r="D743" s="321"/>
      <c r="E743" s="642"/>
      <c r="F743" s="314"/>
      <c r="G743" s="314"/>
    </row>
    <row r="744" ht="15.75" customHeight="1">
      <c r="B744" s="637"/>
      <c r="D744" s="321"/>
      <c r="E744" s="642"/>
      <c r="F744" s="314"/>
      <c r="G744" s="314"/>
    </row>
    <row r="745" ht="15.75" customHeight="1">
      <c r="B745" s="637"/>
      <c r="D745" s="321"/>
      <c r="E745" s="642"/>
      <c r="F745" s="314"/>
      <c r="G745" s="314"/>
    </row>
    <row r="746" ht="15.75" customHeight="1">
      <c r="B746" s="637"/>
      <c r="D746" s="321"/>
      <c r="E746" s="642"/>
      <c r="F746" s="314"/>
      <c r="G746" s="314"/>
    </row>
    <row r="747" ht="15.75" customHeight="1">
      <c r="B747" s="637"/>
      <c r="D747" s="321"/>
      <c r="E747" s="642"/>
      <c r="F747" s="314"/>
      <c r="G747" s="314"/>
    </row>
    <row r="748" ht="15.75" customHeight="1">
      <c r="B748" s="637"/>
      <c r="D748" s="321"/>
      <c r="E748" s="642"/>
      <c r="F748" s="314"/>
      <c r="G748" s="314"/>
    </row>
    <row r="749" ht="15.75" customHeight="1">
      <c r="B749" s="637"/>
      <c r="D749" s="321"/>
      <c r="E749" s="642"/>
      <c r="F749" s="314"/>
      <c r="G749" s="314"/>
    </row>
    <row r="750" ht="15.75" customHeight="1">
      <c r="B750" s="637"/>
      <c r="D750" s="321"/>
      <c r="E750" s="642"/>
      <c r="F750" s="314"/>
      <c r="G750" s="314"/>
    </row>
    <row r="751" ht="15.75" customHeight="1">
      <c r="B751" s="637"/>
      <c r="D751" s="321"/>
      <c r="E751" s="642"/>
      <c r="F751" s="314"/>
      <c r="G751" s="314"/>
    </row>
    <row r="752" ht="15.75" customHeight="1">
      <c r="B752" s="637"/>
      <c r="D752" s="321"/>
      <c r="E752" s="642"/>
      <c r="F752" s="314"/>
      <c r="G752" s="314"/>
    </row>
    <row r="753" ht="15.75" customHeight="1">
      <c r="B753" s="637"/>
      <c r="D753" s="321"/>
      <c r="E753" s="642"/>
      <c r="F753" s="314"/>
      <c r="G753" s="314"/>
    </row>
    <row r="754" ht="15.75" customHeight="1">
      <c r="B754" s="637"/>
      <c r="D754" s="321"/>
      <c r="E754" s="642"/>
      <c r="F754" s="314"/>
      <c r="G754" s="314"/>
    </row>
    <row r="755" ht="15.75" customHeight="1">
      <c r="B755" s="637"/>
      <c r="D755" s="321"/>
      <c r="E755" s="642"/>
      <c r="F755" s="314"/>
      <c r="G755" s="314"/>
    </row>
    <row r="756" ht="15.75" customHeight="1">
      <c r="B756" s="637"/>
      <c r="D756" s="321"/>
      <c r="E756" s="642"/>
      <c r="F756" s="314"/>
      <c r="G756" s="314"/>
    </row>
    <row r="757" ht="15.75" customHeight="1">
      <c r="B757" s="637"/>
      <c r="D757" s="321"/>
      <c r="E757" s="642"/>
      <c r="F757" s="314"/>
      <c r="G757" s="314"/>
    </row>
    <row r="758" ht="15.75" customHeight="1">
      <c r="B758" s="637"/>
      <c r="D758" s="321"/>
      <c r="E758" s="642"/>
      <c r="F758" s="314"/>
      <c r="G758" s="314"/>
    </row>
    <row r="759" ht="15.75" customHeight="1">
      <c r="B759" s="637"/>
      <c r="D759" s="321"/>
      <c r="E759" s="642"/>
      <c r="F759" s="314"/>
      <c r="G759" s="314"/>
    </row>
    <row r="760" ht="15.75" customHeight="1">
      <c r="B760" s="637"/>
      <c r="D760" s="321"/>
      <c r="E760" s="642"/>
      <c r="F760" s="314"/>
      <c r="G760" s="314"/>
    </row>
    <row r="761" ht="15.75" customHeight="1">
      <c r="B761" s="637"/>
      <c r="D761" s="321"/>
      <c r="E761" s="642"/>
      <c r="F761" s="314"/>
      <c r="G761" s="314"/>
    </row>
    <row r="762" ht="15.75" customHeight="1">
      <c r="B762" s="637"/>
      <c r="D762" s="321"/>
      <c r="E762" s="642"/>
      <c r="F762" s="314"/>
      <c r="G762" s="314"/>
    </row>
    <row r="763" ht="15.75" customHeight="1">
      <c r="B763" s="637"/>
      <c r="D763" s="321"/>
      <c r="E763" s="642"/>
      <c r="F763" s="314"/>
      <c r="G763" s="314"/>
    </row>
    <row r="764" ht="15.75" customHeight="1">
      <c r="B764" s="637"/>
      <c r="D764" s="321"/>
      <c r="E764" s="642"/>
      <c r="F764" s="314"/>
      <c r="G764" s="314"/>
    </row>
    <row r="765" ht="15.75" customHeight="1">
      <c r="B765" s="637"/>
      <c r="D765" s="321"/>
      <c r="E765" s="642"/>
      <c r="F765" s="314"/>
      <c r="G765" s="314"/>
    </row>
    <row r="766" ht="15.75" customHeight="1">
      <c r="B766" s="637"/>
      <c r="D766" s="321"/>
      <c r="E766" s="642"/>
      <c r="F766" s="314"/>
      <c r="G766" s="314"/>
    </row>
    <row r="767" ht="15.75" customHeight="1">
      <c r="B767" s="637"/>
      <c r="D767" s="321"/>
      <c r="E767" s="642"/>
      <c r="F767" s="314"/>
      <c r="G767" s="314"/>
    </row>
    <row r="768" ht="15.75" customHeight="1">
      <c r="B768" s="637"/>
      <c r="D768" s="321"/>
      <c r="E768" s="642"/>
      <c r="F768" s="314"/>
      <c r="G768" s="314"/>
    </row>
    <row r="769" ht="15.75" customHeight="1">
      <c r="B769" s="637"/>
      <c r="D769" s="321"/>
      <c r="E769" s="642"/>
      <c r="F769" s="314"/>
      <c r="G769" s="314"/>
    </row>
    <row r="770" ht="15.75" customHeight="1">
      <c r="B770" s="637"/>
      <c r="D770" s="321"/>
      <c r="E770" s="642"/>
      <c r="F770" s="314"/>
      <c r="G770" s="314"/>
    </row>
    <row r="771" ht="15.75" customHeight="1">
      <c r="B771" s="637"/>
      <c r="D771" s="321"/>
      <c r="E771" s="642"/>
      <c r="F771" s="314"/>
      <c r="G771" s="314"/>
    </row>
    <row r="772" ht="15.75" customHeight="1">
      <c r="B772" s="637"/>
      <c r="D772" s="321"/>
      <c r="E772" s="642"/>
      <c r="F772" s="314"/>
      <c r="G772" s="314"/>
    </row>
    <row r="773" ht="15.75" customHeight="1">
      <c r="B773" s="637"/>
      <c r="D773" s="321"/>
      <c r="E773" s="642"/>
      <c r="F773" s="314"/>
      <c r="G773" s="314"/>
    </row>
    <row r="774" ht="15.75" customHeight="1">
      <c r="B774" s="637"/>
      <c r="D774" s="321"/>
      <c r="E774" s="642"/>
      <c r="F774" s="314"/>
      <c r="G774" s="314"/>
    </row>
    <row r="775" ht="15.75" customHeight="1">
      <c r="B775" s="637"/>
      <c r="D775" s="321"/>
      <c r="E775" s="642"/>
      <c r="F775" s="314"/>
      <c r="G775" s="314"/>
    </row>
    <row r="776" ht="15.75" customHeight="1">
      <c r="B776" s="637"/>
      <c r="D776" s="321"/>
      <c r="E776" s="642"/>
      <c r="F776" s="314"/>
      <c r="G776" s="314"/>
    </row>
    <row r="777" ht="15.75" customHeight="1">
      <c r="B777" s="637"/>
      <c r="D777" s="321"/>
      <c r="E777" s="642"/>
      <c r="F777" s="314"/>
      <c r="G777" s="314"/>
    </row>
    <row r="778" ht="15.75" customHeight="1">
      <c r="B778" s="637"/>
      <c r="D778" s="321"/>
      <c r="E778" s="642"/>
      <c r="F778" s="314"/>
      <c r="G778" s="314"/>
    </row>
    <row r="779" ht="15.75" customHeight="1">
      <c r="B779" s="637"/>
      <c r="D779" s="321"/>
      <c r="E779" s="642"/>
      <c r="F779" s="314"/>
      <c r="G779" s="314"/>
    </row>
    <row r="780" ht="15.75" customHeight="1">
      <c r="B780" s="637"/>
      <c r="D780" s="321"/>
      <c r="E780" s="642"/>
      <c r="F780" s="314"/>
      <c r="G780" s="314"/>
    </row>
    <row r="781" ht="15.75" customHeight="1">
      <c r="B781" s="637"/>
      <c r="D781" s="321"/>
      <c r="E781" s="642"/>
      <c r="F781" s="314"/>
      <c r="G781" s="314"/>
    </row>
    <row r="782" ht="15.75" customHeight="1">
      <c r="B782" s="637"/>
      <c r="D782" s="321"/>
      <c r="E782" s="642"/>
      <c r="F782" s="314"/>
      <c r="G782" s="314"/>
    </row>
    <row r="783" ht="15.75" customHeight="1">
      <c r="B783" s="637"/>
      <c r="D783" s="321"/>
      <c r="E783" s="642"/>
      <c r="F783" s="314"/>
      <c r="G783" s="314"/>
    </row>
    <row r="784" ht="15.75" customHeight="1">
      <c r="B784" s="637"/>
      <c r="D784" s="321"/>
      <c r="E784" s="642"/>
      <c r="F784" s="314"/>
      <c r="G784" s="314"/>
    </row>
    <row r="785" ht="15.75" customHeight="1">
      <c r="B785" s="637"/>
      <c r="D785" s="321"/>
      <c r="E785" s="642"/>
      <c r="F785" s="314"/>
      <c r="G785" s="314"/>
    </row>
    <row r="786" ht="15.75" customHeight="1">
      <c r="B786" s="637"/>
      <c r="D786" s="321"/>
      <c r="E786" s="642"/>
      <c r="F786" s="314"/>
      <c r="G786" s="314"/>
    </row>
    <row r="787" ht="15.75" customHeight="1">
      <c r="B787" s="637"/>
      <c r="D787" s="321"/>
      <c r="E787" s="642"/>
      <c r="F787" s="314"/>
      <c r="G787" s="314"/>
    </row>
    <row r="788" ht="15.75" customHeight="1">
      <c r="B788" s="637"/>
      <c r="D788" s="321"/>
      <c r="E788" s="642"/>
      <c r="F788" s="314"/>
      <c r="G788" s="314"/>
    </row>
    <row r="789" ht="15.75" customHeight="1">
      <c r="B789" s="637"/>
      <c r="D789" s="321"/>
      <c r="E789" s="642"/>
      <c r="F789" s="314"/>
      <c r="G789" s="314"/>
    </row>
    <row r="790" ht="15.75" customHeight="1">
      <c r="B790" s="637"/>
      <c r="D790" s="321"/>
      <c r="E790" s="642"/>
      <c r="F790" s="314"/>
      <c r="G790" s="314"/>
    </row>
    <row r="791" ht="15.75" customHeight="1">
      <c r="B791" s="637"/>
      <c r="D791" s="321"/>
      <c r="E791" s="642"/>
      <c r="F791" s="314"/>
      <c r="G791" s="314"/>
    </row>
    <row r="792" ht="15.75" customHeight="1">
      <c r="B792" s="637"/>
      <c r="D792" s="321"/>
      <c r="E792" s="642"/>
      <c r="F792" s="314"/>
      <c r="G792" s="314"/>
    </row>
    <row r="793" ht="15.75" customHeight="1">
      <c r="B793" s="637"/>
      <c r="D793" s="321"/>
      <c r="E793" s="642"/>
      <c r="F793" s="314"/>
      <c r="G793" s="314"/>
    </row>
    <row r="794" ht="15.75" customHeight="1">
      <c r="B794" s="637"/>
      <c r="D794" s="321"/>
      <c r="E794" s="642"/>
      <c r="F794" s="314"/>
      <c r="G794" s="314"/>
    </row>
    <row r="795" ht="15.75" customHeight="1">
      <c r="B795" s="637"/>
      <c r="D795" s="321"/>
      <c r="E795" s="642"/>
      <c r="F795" s="314"/>
      <c r="G795" s="314"/>
    </row>
    <row r="796" ht="15.75" customHeight="1">
      <c r="B796" s="637"/>
      <c r="D796" s="321"/>
      <c r="E796" s="642"/>
      <c r="F796" s="314"/>
      <c r="G796" s="314"/>
    </row>
    <row r="797" ht="15.75" customHeight="1">
      <c r="B797" s="637"/>
      <c r="D797" s="321"/>
      <c r="E797" s="642"/>
      <c r="F797" s="314"/>
      <c r="G797" s="314"/>
    </row>
    <row r="798" ht="15.75" customHeight="1">
      <c r="B798" s="637"/>
      <c r="D798" s="321"/>
      <c r="E798" s="642"/>
      <c r="F798" s="314"/>
      <c r="G798" s="314"/>
    </row>
    <row r="799" ht="15.75" customHeight="1">
      <c r="B799" s="637"/>
      <c r="D799" s="321"/>
      <c r="E799" s="642"/>
      <c r="F799" s="314"/>
      <c r="G799" s="314"/>
    </row>
    <row r="800" ht="15.75" customHeight="1">
      <c r="B800" s="637"/>
      <c r="D800" s="321"/>
      <c r="E800" s="642"/>
      <c r="F800" s="314"/>
      <c r="G800" s="314"/>
    </row>
    <row r="801" ht="15.75" customHeight="1">
      <c r="B801" s="637"/>
      <c r="D801" s="321"/>
      <c r="E801" s="642"/>
      <c r="F801" s="314"/>
      <c r="G801" s="314"/>
    </row>
    <row r="802" ht="15.75" customHeight="1">
      <c r="B802" s="637"/>
      <c r="D802" s="321"/>
      <c r="E802" s="642"/>
      <c r="F802" s="314"/>
      <c r="G802" s="314"/>
    </row>
    <row r="803" ht="15.75" customHeight="1">
      <c r="B803" s="637"/>
      <c r="D803" s="321"/>
      <c r="E803" s="642"/>
      <c r="F803" s="314"/>
      <c r="G803" s="314"/>
    </row>
    <row r="804" ht="15.75" customHeight="1">
      <c r="B804" s="637"/>
      <c r="D804" s="321"/>
      <c r="E804" s="642"/>
      <c r="F804" s="314"/>
      <c r="G804" s="314"/>
    </row>
    <row r="805" ht="15.75" customHeight="1">
      <c r="B805" s="637"/>
      <c r="D805" s="321"/>
      <c r="E805" s="642"/>
      <c r="F805" s="314"/>
      <c r="G805" s="314"/>
    </row>
    <row r="806" ht="15.75" customHeight="1">
      <c r="B806" s="637"/>
      <c r="D806" s="321"/>
      <c r="E806" s="642"/>
      <c r="F806" s="314"/>
      <c r="G806" s="314"/>
    </row>
    <row r="807" ht="15.75" customHeight="1">
      <c r="B807" s="637"/>
      <c r="D807" s="321"/>
      <c r="E807" s="642"/>
      <c r="F807" s="314"/>
      <c r="G807" s="314"/>
    </row>
    <row r="808" ht="15.75" customHeight="1">
      <c r="B808" s="637"/>
      <c r="D808" s="321"/>
      <c r="E808" s="642"/>
      <c r="F808" s="314"/>
      <c r="G808" s="314"/>
    </row>
    <row r="809" ht="15.75" customHeight="1">
      <c r="B809" s="637"/>
      <c r="D809" s="321"/>
      <c r="E809" s="642"/>
      <c r="F809" s="314"/>
      <c r="G809" s="314"/>
    </row>
    <row r="810" ht="15.75" customHeight="1">
      <c r="B810" s="637"/>
      <c r="D810" s="321"/>
      <c r="E810" s="642"/>
      <c r="F810" s="314"/>
      <c r="G810" s="314"/>
    </row>
    <row r="811" ht="15.75" customHeight="1">
      <c r="B811" s="637"/>
      <c r="D811" s="321"/>
      <c r="E811" s="642"/>
      <c r="F811" s="314"/>
      <c r="G811" s="314"/>
    </row>
    <row r="812" ht="15.75" customHeight="1">
      <c r="B812" s="637"/>
      <c r="D812" s="321"/>
      <c r="E812" s="642"/>
      <c r="F812" s="314"/>
      <c r="G812" s="314"/>
    </row>
    <row r="813" ht="15.75" customHeight="1">
      <c r="B813" s="637"/>
      <c r="D813" s="321"/>
      <c r="E813" s="642"/>
      <c r="F813" s="314"/>
      <c r="G813" s="314"/>
    </row>
    <row r="814" ht="15.75" customHeight="1">
      <c r="B814" s="637"/>
      <c r="D814" s="321"/>
      <c r="E814" s="642"/>
      <c r="F814" s="314"/>
      <c r="G814" s="314"/>
    </row>
    <row r="815" ht="15.75" customHeight="1">
      <c r="B815" s="637"/>
      <c r="D815" s="321"/>
      <c r="E815" s="642"/>
      <c r="F815" s="314"/>
      <c r="G815" s="314"/>
    </row>
    <row r="816" ht="15.75" customHeight="1">
      <c r="B816" s="637"/>
      <c r="D816" s="321"/>
      <c r="E816" s="642"/>
      <c r="F816" s="314"/>
      <c r="G816" s="314"/>
    </row>
    <row r="817" ht="15.75" customHeight="1">
      <c r="B817" s="637"/>
      <c r="D817" s="321"/>
      <c r="E817" s="642"/>
      <c r="F817" s="314"/>
      <c r="G817" s="314"/>
    </row>
    <row r="818" ht="15.75" customHeight="1">
      <c r="B818" s="637"/>
      <c r="D818" s="321"/>
      <c r="E818" s="642"/>
      <c r="F818" s="314"/>
      <c r="G818" s="314"/>
    </row>
    <row r="819" ht="15.75" customHeight="1">
      <c r="B819" s="637"/>
      <c r="D819" s="321"/>
      <c r="E819" s="642"/>
      <c r="F819" s="314"/>
      <c r="G819" s="314"/>
    </row>
    <row r="820" ht="15.75" customHeight="1">
      <c r="B820" s="637"/>
      <c r="D820" s="321"/>
      <c r="E820" s="642"/>
      <c r="F820" s="314"/>
      <c r="G820" s="314"/>
    </row>
    <row r="821" ht="15.75" customHeight="1">
      <c r="B821" s="637"/>
      <c r="D821" s="321"/>
      <c r="E821" s="642"/>
      <c r="F821" s="314"/>
      <c r="G821" s="314"/>
    </row>
    <row r="822" ht="15.75" customHeight="1">
      <c r="B822" s="637"/>
      <c r="D822" s="321"/>
      <c r="E822" s="642"/>
      <c r="F822" s="314"/>
      <c r="G822" s="314"/>
    </row>
    <row r="823" ht="15.75" customHeight="1">
      <c r="B823" s="637"/>
      <c r="D823" s="321"/>
      <c r="E823" s="642"/>
      <c r="F823" s="314"/>
      <c r="G823" s="314"/>
    </row>
    <row r="824" ht="15.75" customHeight="1">
      <c r="B824" s="637"/>
      <c r="D824" s="321"/>
      <c r="E824" s="642"/>
      <c r="F824" s="314"/>
      <c r="G824" s="314"/>
    </row>
    <row r="825" ht="15.75" customHeight="1">
      <c r="B825" s="637"/>
      <c r="D825" s="321"/>
      <c r="E825" s="642"/>
      <c r="F825" s="314"/>
      <c r="G825" s="314"/>
    </row>
    <row r="826" ht="15.75" customHeight="1">
      <c r="B826" s="637"/>
      <c r="D826" s="321"/>
      <c r="E826" s="642"/>
      <c r="F826" s="314"/>
      <c r="G826" s="314"/>
    </row>
    <row r="827" ht="15.75" customHeight="1">
      <c r="B827" s="637"/>
      <c r="D827" s="321"/>
      <c r="E827" s="642"/>
      <c r="F827" s="314"/>
      <c r="G827" s="314"/>
    </row>
    <row r="828" ht="15.75" customHeight="1">
      <c r="B828" s="637"/>
      <c r="D828" s="321"/>
      <c r="E828" s="642"/>
      <c r="F828" s="314"/>
      <c r="G828" s="314"/>
    </row>
    <row r="829" ht="15.75" customHeight="1">
      <c r="B829" s="637"/>
      <c r="D829" s="321"/>
      <c r="E829" s="642"/>
      <c r="F829" s="314"/>
      <c r="G829" s="314"/>
    </row>
    <row r="830" ht="15.75" customHeight="1">
      <c r="B830" s="637"/>
      <c r="D830" s="321"/>
      <c r="E830" s="642"/>
      <c r="F830" s="314"/>
      <c r="G830" s="314"/>
    </row>
    <row r="831" ht="15.75" customHeight="1">
      <c r="B831" s="637"/>
      <c r="D831" s="321"/>
      <c r="E831" s="642"/>
      <c r="F831" s="314"/>
      <c r="G831" s="314"/>
    </row>
    <row r="832" ht="15.75" customHeight="1">
      <c r="B832" s="637"/>
      <c r="D832" s="321"/>
      <c r="E832" s="642"/>
      <c r="F832" s="314"/>
      <c r="G832" s="314"/>
    </row>
    <row r="833" ht="15.75" customHeight="1">
      <c r="B833" s="637"/>
      <c r="D833" s="321"/>
      <c r="E833" s="642"/>
      <c r="F833" s="314"/>
      <c r="G833" s="314"/>
    </row>
    <row r="834" ht="15.75" customHeight="1">
      <c r="B834" s="637"/>
      <c r="D834" s="321"/>
      <c r="E834" s="642"/>
      <c r="F834" s="314"/>
      <c r="G834" s="314"/>
    </row>
    <row r="835" ht="15.75" customHeight="1">
      <c r="B835" s="637"/>
      <c r="D835" s="321"/>
      <c r="E835" s="642"/>
      <c r="F835" s="314"/>
      <c r="G835" s="314"/>
    </row>
    <row r="836" ht="15.75" customHeight="1">
      <c r="B836" s="637"/>
      <c r="D836" s="321"/>
      <c r="E836" s="642"/>
      <c r="F836" s="314"/>
      <c r="G836" s="314"/>
    </row>
    <row r="837" ht="15.75" customHeight="1">
      <c r="B837" s="637"/>
      <c r="D837" s="321"/>
      <c r="E837" s="642"/>
      <c r="F837" s="314"/>
      <c r="G837" s="314"/>
    </row>
    <row r="838" ht="15.75" customHeight="1">
      <c r="B838" s="637"/>
      <c r="D838" s="321"/>
      <c r="E838" s="642"/>
      <c r="F838" s="314"/>
      <c r="G838" s="314"/>
    </row>
    <row r="839" ht="15.75" customHeight="1">
      <c r="B839" s="637"/>
      <c r="D839" s="321"/>
      <c r="E839" s="642"/>
      <c r="F839" s="314"/>
      <c r="G839" s="314"/>
    </row>
    <row r="840" ht="15.75" customHeight="1">
      <c r="B840" s="637"/>
      <c r="D840" s="321"/>
      <c r="E840" s="642"/>
      <c r="F840" s="314"/>
      <c r="G840" s="314"/>
    </row>
    <row r="841" ht="15.75" customHeight="1">
      <c r="B841" s="637"/>
      <c r="D841" s="321"/>
      <c r="E841" s="642"/>
      <c r="F841" s="314"/>
      <c r="G841" s="314"/>
    </row>
    <row r="842" ht="15.75" customHeight="1">
      <c r="B842" s="637"/>
      <c r="D842" s="321"/>
      <c r="E842" s="642"/>
      <c r="F842" s="314"/>
      <c r="G842" s="314"/>
    </row>
    <row r="843" ht="15.75" customHeight="1">
      <c r="B843" s="637"/>
      <c r="D843" s="321"/>
      <c r="E843" s="642"/>
      <c r="F843" s="314"/>
      <c r="G843" s="314"/>
    </row>
    <row r="844" ht="15.75" customHeight="1">
      <c r="B844" s="637"/>
      <c r="D844" s="321"/>
      <c r="E844" s="642"/>
      <c r="F844" s="314"/>
      <c r="G844" s="314"/>
    </row>
    <row r="845" ht="15.75" customHeight="1">
      <c r="B845" s="637"/>
      <c r="D845" s="321"/>
      <c r="E845" s="642"/>
      <c r="F845" s="314"/>
      <c r="G845" s="314"/>
    </row>
    <row r="846" ht="15.75" customHeight="1">
      <c r="B846" s="637"/>
      <c r="D846" s="321"/>
      <c r="E846" s="642"/>
      <c r="F846" s="314"/>
      <c r="G846" s="314"/>
    </row>
    <row r="847" ht="15.75" customHeight="1">
      <c r="B847" s="637"/>
      <c r="D847" s="321"/>
      <c r="E847" s="642"/>
      <c r="F847" s="314"/>
      <c r="G847" s="314"/>
    </row>
    <row r="848" ht="15.75" customHeight="1">
      <c r="B848" s="637"/>
      <c r="D848" s="321"/>
      <c r="E848" s="642"/>
      <c r="F848" s="314"/>
      <c r="G848" s="314"/>
    </row>
    <row r="849" ht="15.75" customHeight="1">
      <c r="B849" s="637"/>
      <c r="D849" s="321"/>
      <c r="E849" s="642"/>
      <c r="F849" s="314"/>
      <c r="G849" s="314"/>
    </row>
    <row r="850" ht="15.75" customHeight="1">
      <c r="B850" s="637"/>
      <c r="D850" s="321"/>
      <c r="E850" s="642"/>
      <c r="F850" s="314"/>
      <c r="G850" s="314"/>
    </row>
    <row r="851" ht="15.75" customHeight="1">
      <c r="B851" s="637"/>
      <c r="D851" s="321"/>
      <c r="E851" s="642"/>
      <c r="F851" s="314"/>
      <c r="G851" s="314"/>
    </row>
    <row r="852" ht="15.75" customHeight="1">
      <c r="B852" s="637"/>
      <c r="D852" s="321"/>
      <c r="E852" s="642"/>
      <c r="F852" s="314"/>
      <c r="G852" s="314"/>
    </row>
    <row r="853" ht="15.75" customHeight="1">
      <c r="B853" s="637"/>
      <c r="D853" s="321"/>
      <c r="E853" s="642"/>
      <c r="F853" s="314"/>
      <c r="G853" s="314"/>
    </row>
    <row r="854" ht="15.75" customHeight="1">
      <c r="B854" s="637"/>
      <c r="D854" s="321"/>
      <c r="E854" s="642"/>
      <c r="F854" s="314"/>
      <c r="G854" s="314"/>
    </row>
    <row r="855" ht="15.75" customHeight="1">
      <c r="B855" s="637"/>
      <c r="D855" s="321"/>
      <c r="E855" s="642"/>
      <c r="F855" s="314"/>
      <c r="G855" s="314"/>
    </row>
    <row r="856" ht="15.75" customHeight="1">
      <c r="B856" s="637"/>
      <c r="D856" s="321"/>
      <c r="E856" s="642"/>
      <c r="F856" s="314"/>
      <c r="G856" s="314"/>
    </row>
    <row r="857" ht="15.75" customHeight="1">
      <c r="B857" s="637"/>
      <c r="D857" s="321"/>
      <c r="E857" s="642"/>
      <c r="F857" s="314"/>
      <c r="G857" s="314"/>
    </row>
    <row r="858" ht="15.75" customHeight="1">
      <c r="B858" s="637"/>
      <c r="D858" s="321"/>
      <c r="E858" s="642"/>
      <c r="F858" s="314"/>
      <c r="G858" s="314"/>
    </row>
    <row r="859" ht="15.75" customHeight="1">
      <c r="B859" s="637"/>
      <c r="D859" s="321"/>
      <c r="E859" s="642"/>
      <c r="F859" s="314"/>
      <c r="G859" s="314"/>
    </row>
    <row r="860" ht="15.75" customHeight="1">
      <c r="B860" s="637"/>
      <c r="D860" s="321"/>
      <c r="E860" s="642"/>
      <c r="F860" s="314"/>
      <c r="G860" s="314"/>
    </row>
    <row r="861" ht="15.75" customHeight="1">
      <c r="B861" s="637"/>
      <c r="D861" s="321"/>
      <c r="E861" s="642"/>
      <c r="F861" s="314"/>
      <c r="G861" s="314"/>
    </row>
    <row r="862" ht="15.75" customHeight="1">
      <c r="B862" s="637"/>
      <c r="D862" s="321"/>
      <c r="E862" s="642"/>
      <c r="F862" s="314"/>
      <c r="G862" s="314"/>
    </row>
    <row r="863" ht="15.75" customHeight="1">
      <c r="B863" s="637"/>
      <c r="D863" s="321"/>
      <c r="E863" s="642"/>
      <c r="F863" s="314"/>
      <c r="G863" s="314"/>
    </row>
    <row r="864" ht="15.75" customHeight="1">
      <c r="B864" s="637"/>
      <c r="D864" s="321"/>
      <c r="E864" s="642"/>
      <c r="F864" s="314"/>
      <c r="G864" s="314"/>
    </row>
    <row r="865" ht="15.75" customHeight="1">
      <c r="B865" s="637"/>
      <c r="D865" s="321"/>
      <c r="E865" s="642"/>
      <c r="F865" s="314"/>
      <c r="G865" s="314"/>
    </row>
    <row r="866" ht="15.75" customHeight="1">
      <c r="B866" s="637"/>
      <c r="D866" s="321"/>
      <c r="E866" s="642"/>
      <c r="F866" s="314"/>
      <c r="G866" s="314"/>
    </row>
    <row r="867" ht="15.75" customHeight="1">
      <c r="B867" s="637"/>
      <c r="D867" s="321"/>
      <c r="E867" s="642"/>
      <c r="F867" s="314"/>
      <c r="G867" s="314"/>
    </row>
    <row r="868" ht="15.75" customHeight="1">
      <c r="B868" s="637"/>
      <c r="D868" s="321"/>
      <c r="E868" s="642"/>
      <c r="F868" s="314"/>
      <c r="G868" s="314"/>
    </row>
    <row r="869" ht="15.75" customHeight="1">
      <c r="B869" s="637"/>
      <c r="D869" s="321"/>
      <c r="E869" s="642"/>
      <c r="F869" s="314"/>
      <c r="G869" s="314"/>
    </row>
    <row r="870" ht="15.75" customHeight="1">
      <c r="B870" s="637"/>
      <c r="D870" s="321"/>
      <c r="E870" s="642"/>
      <c r="F870" s="314"/>
      <c r="G870" s="314"/>
    </row>
    <row r="871" ht="15.75" customHeight="1">
      <c r="B871" s="637"/>
      <c r="D871" s="321"/>
      <c r="E871" s="642"/>
      <c r="F871" s="314"/>
      <c r="G871" s="314"/>
    </row>
    <row r="872" ht="15.75" customHeight="1">
      <c r="B872" s="637"/>
      <c r="D872" s="321"/>
      <c r="E872" s="642"/>
      <c r="F872" s="314"/>
      <c r="G872" s="314"/>
    </row>
    <row r="873" ht="15.75" customHeight="1">
      <c r="B873" s="637"/>
      <c r="D873" s="321"/>
      <c r="E873" s="642"/>
      <c r="F873" s="314"/>
      <c r="G873" s="314"/>
    </row>
    <row r="874" ht="15.75" customHeight="1">
      <c r="B874" s="637"/>
      <c r="D874" s="321"/>
      <c r="E874" s="642"/>
      <c r="F874" s="314"/>
      <c r="G874" s="314"/>
    </row>
    <row r="875" ht="15.75" customHeight="1">
      <c r="B875" s="637"/>
      <c r="D875" s="321"/>
      <c r="E875" s="642"/>
      <c r="F875" s="314"/>
      <c r="G875" s="314"/>
    </row>
    <row r="876" ht="15.75" customHeight="1">
      <c r="B876" s="637"/>
      <c r="D876" s="321"/>
      <c r="E876" s="642"/>
      <c r="F876" s="314"/>
      <c r="G876" s="314"/>
    </row>
    <row r="877" ht="15.75" customHeight="1">
      <c r="B877" s="637"/>
      <c r="D877" s="321"/>
      <c r="E877" s="642"/>
      <c r="F877" s="314"/>
      <c r="G877" s="314"/>
    </row>
    <row r="878" ht="15.75" customHeight="1">
      <c r="B878" s="637"/>
      <c r="D878" s="321"/>
      <c r="E878" s="642"/>
      <c r="F878" s="314"/>
      <c r="G878" s="314"/>
    </row>
    <row r="879" ht="15.75" customHeight="1">
      <c r="B879" s="637"/>
      <c r="D879" s="321"/>
      <c r="E879" s="642"/>
      <c r="F879" s="314"/>
      <c r="G879" s="314"/>
    </row>
    <row r="880" ht="15.75" customHeight="1">
      <c r="B880" s="637"/>
      <c r="D880" s="321"/>
      <c r="E880" s="642"/>
      <c r="F880" s="314"/>
      <c r="G880" s="314"/>
    </row>
    <row r="881" ht="15.75" customHeight="1">
      <c r="B881" s="637"/>
      <c r="D881" s="321"/>
      <c r="E881" s="642"/>
      <c r="F881" s="314"/>
      <c r="G881" s="314"/>
    </row>
    <row r="882" ht="15.75" customHeight="1">
      <c r="B882" s="637"/>
      <c r="D882" s="321"/>
      <c r="E882" s="642"/>
      <c r="F882" s="314"/>
      <c r="G882" s="314"/>
    </row>
    <row r="883" ht="15.75" customHeight="1">
      <c r="B883" s="637"/>
      <c r="D883" s="321"/>
      <c r="E883" s="642"/>
      <c r="F883" s="314"/>
      <c r="G883" s="314"/>
    </row>
    <row r="884" ht="15.75" customHeight="1">
      <c r="B884" s="637"/>
      <c r="D884" s="321"/>
      <c r="E884" s="642"/>
      <c r="F884" s="314"/>
      <c r="G884" s="314"/>
    </row>
    <row r="885" ht="15.75" customHeight="1">
      <c r="B885" s="637"/>
      <c r="D885" s="321"/>
      <c r="E885" s="642"/>
      <c r="F885" s="314"/>
      <c r="G885" s="314"/>
    </row>
    <row r="886" ht="15.75" customHeight="1">
      <c r="B886" s="637"/>
      <c r="D886" s="321"/>
      <c r="E886" s="642"/>
      <c r="F886" s="314"/>
      <c r="G886" s="314"/>
    </row>
    <row r="887" ht="15.75" customHeight="1">
      <c r="B887" s="637"/>
      <c r="D887" s="321"/>
      <c r="E887" s="642"/>
      <c r="F887" s="314"/>
      <c r="G887" s="314"/>
    </row>
    <row r="888" ht="15.75" customHeight="1">
      <c r="B888" s="637"/>
      <c r="D888" s="321"/>
      <c r="E888" s="642"/>
      <c r="F888" s="314"/>
      <c r="G888" s="314"/>
    </row>
    <row r="889" ht="15.75" customHeight="1">
      <c r="B889" s="637"/>
      <c r="D889" s="321"/>
      <c r="E889" s="642"/>
      <c r="F889" s="314"/>
      <c r="G889" s="314"/>
    </row>
    <row r="890" ht="15.75" customHeight="1">
      <c r="B890" s="637"/>
      <c r="D890" s="321"/>
      <c r="E890" s="642"/>
      <c r="F890" s="314"/>
      <c r="G890" s="314"/>
    </row>
    <row r="891" ht="15.75" customHeight="1">
      <c r="B891" s="637"/>
      <c r="D891" s="321"/>
      <c r="E891" s="642"/>
      <c r="F891" s="314"/>
      <c r="G891" s="314"/>
    </row>
    <row r="892" ht="15.75" customHeight="1">
      <c r="B892" s="637"/>
      <c r="D892" s="321"/>
      <c r="E892" s="642"/>
      <c r="F892" s="314"/>
      <c r="G892" s="314"/>
    </row>
    <row r="893" ht="15.75" customHeight="1">
      <c r="B893" s="637"/>
      <c r="D893" s="321"/>
      <c r="E893" s="642"/>
      <c r="F893" s="314"/>
      <c r="G893" s="314"/>
    </row>
    <row r="894" ht="15.75" customHeight="1">
      <c r="B894" s="637"/>
      <c r="D894" s="321"/>
      <c r="E894" s="642"/>
      <c r="F894" s="314"/>
      <c r="G894" s="314"/>
    </row>
    <row r="895" ht="15.75" customHeight="1">
      <c r="B895" s="637"/>
      <c r="D895" s="321"/>
      <c r="E895" s="642"/>
      <c r="F895" s="314"/>
      <c r="G895" s="314"/>
    </row>
    <row r="896" ht="15.75" customHeight="1">
      <c r="B896" s="637"/>
      <c r="D896" s="321"/>
      <c r="E896" s="642"/>
      <c r="F896" s="314"/>
      <c r="G896" s="314"/>
    </row>
    <row r="897" ht="15.75" customHeight="1">
      <c r="B897" s="637"/>
      <c r="D897" s="321"/>
      <c r="E897" s="642"/>
      <c r="F897" s="314"/>
      <c r="G897" s="314"/>
    </row>
    <row r="898" ht="15.75" customHeight="1">
      <c r="B898" s="637"/>
      <c r="D898" s="321"/>
      <c r="E898" s="642"/>
      <c r="F898" s="314"/>
      <c r="G898" s="314"/>
    </row>
    <row r="899" ht="15.75" customHeight="1">
      <c r="B899" s="637"/>
      <c r="D899" s="321"/>
      <c r="E899" s="642"/>
      <c r="F899" s="314"/>
      <c r="G899" s="314"/>
    </row>
    <row r="900" ht="15.75" customHeight="1">
      <c r="B900" s="637"/>
      <c r="D900" s="321"/>
      <c r="E900" s="642"/>
      <c r="F900" s="314"/>
      <c r="G900" s="314"/>
    </row>
    <row r="901" ht="15.75" customHeight="1">
      <c r="B901" s="637"/>
      <c r="D901" s="321"/>
      <c r="E901" s="642"/>
      <c r="F901" s="314"/>
      <c r="G901" s="314"/>
    </row>
    <row r="902" ht="15.75" customHeight="1">
      <c r="B902" s="637"/>
      <c r="D902" s="321"/>
      <c r="E902" s="642"/>
      <c r="F902" s="314"/>
      <c r="G902" s="314"/>
    </row>
    <row r="903" ht="15.75" customHeight="1">
      <c r="B903" s="637"/>
      <c r="D903" s="321"/>
      <c r="E903" s="642"/>
      <c r="F903" s="314"/>
      <c r="G903" s="314"/>
    </row>
    <row r="904" ht="15.75" customHeight="1">
      <c r="B904" s="637"/>
      <c r="D904" s="321"/>
      <c r="E904" s="642"/>
      <c r="F904" s="314"/>
      <c r="G904" s="314"/>
    </row>
    <row r="905" ht="15.75" customHeight="1">
      <c r="B905" s="637"/>
      <c r="D905" s="321"/>
      <c r="E905" s="642"/>
      <c r="F905" s="314"/>
      <c r="G905" s="314"/>
    </row>
    <row r="906" ht="15.75" customHeight="1">
      <c r="B906" s="637"/>
      <c r="D906" s="321"/>
      <c r="E906" s="642"/>
      <c r="F906" s="314"/>
      <c r="G906" s="314"/>
    </row>
    <row r="907" ht="15.75" customHeight="1">
      <c r="B907" s="637"/>
      <c r="D907" s="321"/>
      <c r="E907" s="642"/>
      <c r="F907" s="314"/>
      <c r="G907" s="314"/>
    </row>
    <row r="908" ht="15.75" customHeight="1">
      <c r="B908" s="637"/>
      <c r="D908" s="321"/>
      <c r="E908" s="642"/>
      <c r="F908" s="314"/>
      <c r="G908" s="314"/>
    </row>
    <row r="909" ht="15.75" customHeight="1">
      <c r="B909" s="637"/>
      <c r="D909" s="321"/>
      <c r="E909" s="642"/>
      <c r="F909" s="314"/>
      <c r="G909" s="314"/>
    </row>
    <row r="910" ht="15.75" customHeight="1">
      <c r="B910" s="637"/>
      <c r="D910" s="321"/>
      <c r="E910" s="642"/>
      <c r="F910" s="314"/>
      <c r="G910" s="314"/>
    </row>
    <row r="911" ht="15.75" customHeight="1">
      <c r="B911" s="637"/>
      <c r="D911" s="321"/>
      <c r="E911" s="642"/>
      <c r="F911" s="314"/>
      <c r="G911" s="314"/>
    </row>
    <row r="912" ht="15.75" customHeight="1">
      <c r="B912" s="637"/>
      <c r="D912" s="321"/>
      <c r="E912" s="642"/>
      <c r="F912" s="314"/>
      <c r="G912" s="314"/>
    </row>
    <row r="913" ht="15.75" customHeight="1">
      <c r="B913" s="637"/>
      <c r="D913" s="321"/>
      <c r="E913" s="642"/>
      <c r="F913" s="314"/>
      <c r="G913" s="314"/>
    </row>
    <row r="914" ht="15.75" customHeight="1">
      <c r="B914" s="637"/>
      <c r="D914" s="321"/>
      <c r="E914" s="642"/>
      <c r="F914" s="314"/>
      <c r="G914" s="314"/>
    </row>
    <row r="915" ht="15.75" customHeight="1">
      <c r="B915" s="637"/>
      <c r="D915" s="321"/>
      <c r="E915" s="642"/>
      <c r="F915" s="314"/>
      <c r="G915" s="314"/>
    </row>
    <row r="916" ht="15.75" customHeight="1">
      <c r="B916" s="637"/>
      <c r="D916" s="321"/>
      <c r="E916" s="642"/>
      <c r="F916" s="314"/>
      <c r="G916" s="314"/>
    </row>
    <row r="917" ht="15.75" customHeight="1">
      <c r="B917" s="637"/>
      <c r="D917" s="321"/>
      <c r="E917" s="642"/>
      <c r="F917" s="314"/>
      <c r="G917" s="314"/>
    </row>
    <row r="918" ht="15.75" customHeight="1">
      <c r="B918" s="637"/>
      <c r="D918" s="321"/>
      <c r="E918" s="642"/>
      <c r="F918" s="314"/>
      <c r="G918" s="314"/>
    </row>
    <row r="919" ht="15.75" customHeight="1">
      <c r="B919" s="637"/>
      <c r="D919" s="321"/>
      <c r="E919" s="642"/>
      <c r="F919" s="314"/>
      <c r="G919" s="314"/>
    </row>
    <row r="920" ht="15.75" customHeight="1">
      <c r="B920" s="637"/>
      <c r="D920" s="321"/>
      <c r="E920" s="642"/>
      <c r="F920" s="314"/>
      <c r="G920" s="314"/>
    </row>
    <row r="921" ht="15.75" customHeight="1">
      <c r="B921" s="637"/>
      <c r="D921" s="321"/>
      <c r="E921" s="642"/>
      <c r="F921" s="314"/>
      <c r="G921" s="314"/>
    </row>
    <row r="922" ht="15.75" customHeight="1">
      <c r="B922" s="637"/>
      <c r="D922" s="321"/>
      <c r="E922" s="642"/>
      <c r="F922" s="314"/>
      <c r="G922" s="314"/>
    </row>
    <row r="923" ht="15.75" customHeight="1">
      <c r="B923" s="637"/>
      <c r="D923" s="321"/>
      <c r="E923" s="642"/>
      <c r="F923" s="314"/>
      <c r="G923" s="314"/>
    </row>
    <row r="924" ht="15.75" customHeight="1">
      <c r="B924" s="637"/>
      <c r="D924" s="321"/>
      <c r="E924" s="642"/>
      <c r="F924" s="314"/>
      <c r="G924" s="314"/>
    </row>
    <row r="925" ht="15.75" customHeight="1">
      <c r="B925" s="637"/>
      <c r="D925" s="321"/>
      <c r="E925" s="642"/>
      <c r="F925" s="314"/>
      <c r="G925" s="314"/>
    </row>
    <row r="926" ht="15.75" customHeight="1">
      <c r="B926" s="637"/>
      <c r="D926" s="321"/>
      <c r="E926" s="642"/>
      <c r="F926" s="314"/>
      <c r="G926" s="314"/>
    </row>
    <row r="927" ht="15.75" customHeight="1">
      <c r="B927" s="637"/>
      <c r="D927" s="321"/>
      <c r="E927" s="642"/>
      <c r="F927" s="314"/>
      <c r="G927" s="314"/>
    </row>
    <row r="928" ht="15.75" customHeight="1">
      <c r="B928" s="637"/>
      <c r="D928" s="321"/>
      <c r="E928" s="642"/>
      <c r="F928" s="314"/>
      <c r="G928" s="314"/>
    </row>
    <row r="929" ht="15.75" customHeight="1">
      <c r="B929" s="637"/>
      <c r="D929" s="321"/>
      <c r="E929" s="642"/>
      <c r="F929" s="314"/>
      <c r="G929" s="314"/>
    </row>
    <row r="930" ht="15.75" customHeight="1">
      <c r="B930" s="637"/>
      <c r="D930" s="321"/>
      <c r="E930" s="642"/>
      <c r="F930" s="314"/>
      <c r="G930" s="314"/>
    </row>
    <row r="931" ht="15.75" customHeight="1">
      <c r="B931" s="637"/>
      <c r="D931" s="321"/>
      <c r="E931" s="642"/>
      <c r="F931" s="314"/>
      <c r="G931" s="314"/>
    </row>
    <row r="932" ht="15.75" customHeight="1">
      <c r="B932" s="637"/>
      <c r="D932" s="321"/>
      <c r="E932" s="642"/>
      <c r="F932" s="314"/>
      <c r="G932" s="314"/>
    </row>
    <row r="933" ht="15.75" customHeight="1">
      <c r="B933" s="637"/>
      <c r="D933" s="321"/>
      <c r="E933" s="642"/>
      <c r="F933" s="314"/>
      <c r="G933" s="314"/>
    </row>
    <row r="934" ht="15.75" customHeight="1">
      <c r="B934" s="637"/>
      <c r="D934" s="321"/>
      <c r="E934" s="642"/>
      <c r="F934" s="314"/>
      <c r="G934" s="314"/>
    </row>
    <row r="935" ht="15.75" customHeight="1">
      <c r="B935" s="637"/>
      <c r="D935" s="321"/>
      <c r="E935" s="642"/>
      <c r="F935" s="314"/>
      <c r="G935" s="314"/>
    </row>
    <row r="936" ht="15.75" customHeight="1">
      <c r="B936" s="637"/>
      <c r="D936" s="321"/>
      <c r="E936" s="642"/>
      <c r="F936" s="314"/>
      <c r="G936" s="314"/>
    </row>
    <row r="937" ht="15.75" customHeight="1">
      <c r="B937" s="637"/>
      <c r="D937" s="321"/>
      <c r="E937" s="642"/>
      <c r="F937" s="314"/>
      <c r="G937" s="314"/>
    </row>
    <row r="938" ht="15.75" customHeight="1">
      <c r="B938" s="637"/>
      <c r="D938" s="321"/>
      <c r="E938" s="642"/>
      <c r="F938" s="314"/>
      <c r="G938" s="314"/>
    </row>
    <row r="939" ht="15.75" customHeight="1">
      <c r="B939" s="637"/>
      <c r="D939" s="321"/>
      <c r="E939" s="642"/>
      <c r="F939" s="314"/>
      <c r="G939" s="314"/>
    </row>
    <row r="940" ht="15.75" customHeight="1">
      <c r="B940" s="637"/>
      <c r="D940" s="321"/>
      <c r="E940" s="642"/>
      <c r="F940" s="314"/>
      <c r="G940" s="314"/>
    </row>
    <row r="941" ht="15.75" customHeight="1">
      <c r="B941" s="637"/>
      <c r="D941" s="321"/>
      <c r="E941" s="642"/>
      <c r="F941" s="314"/>
      <c r="G941" s="314"/>
    </row>
    <row r="942" ht="15.75" customHeight="1">
      <c r="B942" s="637"/>
      <c r="D942" s="321"/>
      <c r="E942" s="642"/>
      <c r="F942" s="314"/>
      <c r="G942" s="314"/>
    </row>
    <row r="943" ht="15.75" customHeight="1">
      <c r="B943" s="637"/>
      <c r="D943" s="321"/>
      <c r="E943" s="642"/>
      <c r="F943" s="314"/>
      <c r="G943" s="314"/>
    </row>
    <row r="944" ht="15.75" customHeight="1">
      <c r="B944" s="637"/>
      <c r="D944" s="321"/>
      <c r="E944" s="642"/>
      <c r="F944" s="314"/>
      <c r="G944" s="314"/>
    </row>
    <row r="945" ht="15.75" customHeight="1">
      <c r="B945" s="637"/>
      <c r="D945" s="321"/>
      <c r="E945" s="642"/>
      <c r="F945" s="314"/>
      <c r="G945" s="314"/>
    </row>
    <row r="946" ht="15.75" customHeight="1">
      <c r="B946" s="637"/>
      <c r="D946" s="321"/>
      <c r="E946" s="642"/>
      <c r="F946" s="314"/>
      <c r="G946" s="314"/>
    </row>
    <row r="947" ht="15.75" customHeight="1">
      <c r="B947" s="637"/>
      <c r="D947" s="321"/>
      <c r="E947" s="642"/>
      <c r="F947" s="314"/>
      <c r="G947" s="314"/>
    </row>
    <row r="948" ht="15.75" customHeight="1">
      <c r="B948" s="637"/>
      <c r="D948" s="321"/>
      <c r="E948" s="642"/>
      <c r="F948" s="314"/>
      <c r="G948" s="314"/>
    </row>
    <row r="949" ht="15.75" customHeight="1">
      <c r="B949" s="637"/>
      <c r="D949" s="321"/>
      <c r="E949" s="642"/>
      <c r="F949" s="314"/>
      <c r="G949" s="314"/>
    </row>
    <row r="950" ht="15.75" customHeight="1">
      <c r="B950" s="637"/>
      <c r="D950" s="321"/>
      <c r="E950" s="642"/>
      <c r="F950" s="314"/>
      <c r="G950" s="314"/>
    </row>
    <row r="951" ht="15.75" customHeight="1">
      <c r="B951" s="637"/>
      <c r="D951" s="321"/>
      <c r="E951" s="642"/>
      <c r="F951" s="314"/>
      <c r="G951" s="314"/>
    </row>
    <row r="952" ht="15.75" customHeight="1">
      <c r="B952" s="637"/>
      <c r="D952" s="321"/>
      <c r="E952" s="642"/>
      <c r="F952" s="314"/>
      <c r="G952" s="314"/>
    </row>
    <row r="953" ht="15.75" customHeight="1">
      <c r="B953" s="637"/>
      <c r="D953" s="321"/>
      <c r="E953" s="642"/>
      <c r="F953" s="314"/>
      <c r="G953" s="314"/>
    </row>
    <row r="954" ht="15.75" customHeight="1">
      <c r="B954" s="637"/>
      <c r="D954" s="321"/>
      <c r="E954" s="642"/>
      <c r="F954" s="314"/>
      <c r="G954" s="314"/>
    </row>
    <row r="955" ht="15.75" customHeight="1">
      <c r="B955" s="637"/>
      <c r="D955" s="321"/>
      <c r="E955" s="642"/>
      <c r="F955" s="314"/>
      <c r="G955" s="314"/>
    </row>
    <row r="956" ht="15.75" customHeight="1">
      <c r="B956" s="637"/>
      <c r="D956" s="321"/>
      <c r="E956" s="642"/>
      <c r="F956" s="314"/>
      <c r="G956" s="314"/>
    </row>
    <row r="957" ht="15.75" customHeight="1">
      <c r="B957" s="637"/>
      <c r="D957" s="321"/>
      <c r="E957" s="642"/>
      <c r="F957" s="314"/>
      <c r="G957" s="314"/>
    </row>
    <row r="958" ht="15.75" customHeight="1">
      <c r="B958" s="637"/>
      <c r="D958" s="321"/>
      <c r="E958" s="642"/>
      <c r="F958" s="314"/>
      <c r="G958" s="314"/>
    </row>
    <row r="959" ht="15.75" customHeight="1">
      <c r="B959" s="637"/>
      <c r="D959" s="321"/>
      <c r="E959" s="642"/>
      <c r="F959" s="314"/>
      <c r="G959" s="314"/>
    </row>
    <row r="960" ht="15.75" customHeight="1">
      <c r="B960" s="637"/>
      <c r="D960" s="321"/>
      <c r="E960" s="642"/>
      <c r="F960" s="314"/>
      <c r="G960" s="314"/>
    </row>
    <row r="961" ht="15.75" customHeight="1">
      <c r="B961" s="637"/>
      <c r="D961" s="321"/>
      <c r="E961" s="642"/>
      <c r="F961" s="314"/>
      <c r="G961" s="314"/>
    </row>
    <row r="962" ht="15.75" customHeight="1">
      <c r="B962" s="637"/>
      <c r="D962" s="321"/>
      <c r="E962" s="642"/>
      <c r="F962" s="314"/>
      <c r="G962" s="314"/>
    </row>
    <row r="963" ht="15.75" customHeight="1">
      <c r="B963" s="637"/>
      <c r="D963" s="321"/>
      <c r="E963" s="642"/>
      <c r="F963" s="314"/>
      <c r="G963" s="314"/>
    </row>
    <row r="964" ht="15.75" customHeight="1">
      <c r="B964" s="637"/>
      <c r="D964" s="321"/>
      <c r="E964" s="642"/>
      <c r="F964" s="314"/>
      <c r="G964" s="314"/>
    </row>
    <row r="965" ht="15.75" customHeight="1">
      <c r="B965" s="637"/>
      <c r="D965" s="321"/>
      <c r="E965" s="642"/>
      <c r="F965" s="314"/>
      <c r="G965" s="314"/>
    </row>
    <row r="966" ht="15.75" customHeight="1">
      <c r="B966" s="637"/>
      <c r="D966" s="321"/>
      <c r="E966" s="642"/>
      <c r="F966" s="314"/>
      <c r="G966" s="314"/>
    </row>
    <row r="967" ht="15.75" customHeight="1">
      <c r="B967" s="637"/>
      <c r="D967" s="321"/>
      <c r="E967" s="642"/>
      <c r="F967" s="314"/>
      <c r="G967" s="314"/>
    </row>
    <row r="968" ht="15.75" customHeight="1">
      <c r="B968" s="637"/>
      <c r="D968" s="321"/>
      <c r="E968" s="642"/>
      <c r="F968" s="314"/>
      <c r="G968" s="314"/>
    </row>
    <row r="969" ht="15.75" customHeight="1">
      <c r="B969" s="637"/>
      <c r="D969" s="321"/>
      <c r="E969" s="642"/>
      <c r="F969" s="314"/>
      <c r="G969" s="314"/>
    </row>
    <row r="970" ht="15.75" customHeight="1">
      <c r="B970" s="637"/>
      <c r="D970" s="321"/>
      <c r="E970" s="642"/>
      <c r="F970" s="314"/>
      <c r="G970" s="314"/>
    </row>
    <row r="971" ht="15.75" customHeight="1">
      <c r="B971" s="637"/>
      <c r="D971" s="321"/>
      <c r="E971" s="642"/>
      <c r="F971" s="314"/>
      <c r="G971" s="314"/>
    </row>
    <row r="972" ht="15.75" customHeight="1">
      <c r="B972" s="637"/>
      <c r="D972" s="321"/>
      <c r="E972" s="642"/>
      <c r="F972" s="314"/>
      <c r="G972" s="314"/>
    </row>
    <row r="973" ht="15.75" customHeight="1">
      <c r="B973" s="637"/>
      <c r="D973" s="321"/>
      <c r="E973" s="642"/>
      <c r="F973" s="314"/>
      <c r="G973" s="314"/>
    </row>
    <row r="974" ht="15.75" customHeight="1">
      <c r="B974" s="637"/>
      <c r="D974" s="321"/>
      <c r="E974" s="642"/>
      <c r="F974" s="314"/>
      <c r="G974" s="314"/>
    </row>
    <row r="975" ht="15.75" customHeight="1">
      <c r="B975" s="637"/>
      <c r="D975" s="321"/>
      <c r="E975" s="642"/>
      <c r="F975" s="314"/>
      <c r="G975" s="314"/>
    </row>
    <row r="976" ht="15.75" customHeight="1">
      <c r="B976" s="637"/>
      <c r="D976" s="321"/>
      <c r="E976" s="642"/>
      <c r="F976" s="314"/>
      <c r="G976" s="314"/>
    </row>
    <row r="977" ht="15.75" customHeight="1">
      <c r="B977" s="637"/>
      <c r="D977" s="321"/>
      <c r="E977" s="642"/>
      <c r="F977" s="314"/>
      <c r="G977" s="314"/>
    </row>
    <row r="978" ht="15.75" customHeight="1">
      <c r="B978" s="637"/>
      <c r="D978" s="321"/>
      <c r="E978" s="642"/>
      <c r="F978" s="314"/>
      <c r="G978" s="314"/>
    </row>
    <row r="979" ht="15.75" customHeight="1">
      <c r="B979" s="637"/>
      <c r="D979" s="321"/>
      <c r="E979" s="642"/>
      <c r="F979" s="314"/>
      <c r="G979" s="314"/>
    </row>
    <row r="980" ht="15.75" customHeight="1">
      <c r="B980" s="637"/>
      <c r="D980" s="321"/>
      <c r="E980" s="642"/>
      <c r="F980" s="314"/>
      <c r="G980" s="314"/>
    </row>
    <row r="981" ht="15.75" customHeight="1">
      <c r="B981" s="637"/>
      <c r="D981" s="321"/>
      <c r="E981" s="642"/>
      <c r="F981" s="314"/>
      <c r="G981" s="314"/>
    </row>
    <row r="982" ht="15.75" customHeight="1">
      <c r="B982" s="637"/>
      <c r="D982" s="321"/>
      <c r="E982" s="642"/>
      <c r="F982" s="314"/>
      <c r="G982" s="314"/>
    </row>
    <row r="983" ht="15.75" customHeight="1">
      <c r="B983" s="637"/>
      <c r="D983" s="321"/>
      <c r="E983" s="642"/>
      <c r="F983" s="314"/>
      <c r="G983" s="314"/>
    </row>
    <row r="984" ht="15.75" customHeight="1">
      <c r="B984" s="637"/>
      <c r="D984" s="321"/>
      <c r="E984" s="642"/>
      <c r="F984" s="314"/>
      <c r="G984" s="314"/>
    </row>
    <row r="985" ht="15.75" customHeight="1">
      <c r="B985" s="637"/>
      <c r="D985" s="321"/>
      <c r="E985" s="642"/>
      <c r="F985" s="314"/>
      <c r="G985" s="314"/>
    </row>
    <row r="986" ht="15.75" customHeight="1">
      <c r="B986" s="637"/>
      <c r="D986" s="321"/>
      <c r="E986" s="642"/>
      <c r="F986" s="314"/>
      <c r="G986" s="314"/>
    </row>
    <row r="987" ht="15.75" customHeight="1">
      <c r="B987" s="637"/>
      <c r="D987" s="321"/>
      <c r="E987" s="642"/>
      <c r="F987" s="314"/>
      <c r="G987" s="314"/>
    </row>
    <row r="988" ht="15.75" customHeight="1">
      <c r="B988" s="637"/>
      <c r="D988" s="321"/>
      <c r="E988" s="642"/>
      <c r="F988" s="314"/>
      <c r="G988" s="314"/>
    </row>
    <row r="989" ht="15.75" customHeight="1">
      <c r="B989" s="637"/>
      <c r="D989" s="321"/>
      <c r="E989" s="642"/>
      <c r="F989" s="314"/>
      <c r="G989" s="314"/>
    </row>
    <row r="990" ht="15.75" customHeight="1">
      <c r="B990" s="637"/>
      <c r="D990" s="321"/>
      <c r="E990" s="642"/>
      <c r="F990" s="314"/>
      <c r="G990" s="314"/>
    </row>
    <row r="991" ht="15.75" customHeight="1">
      <c r="B991" s="637"/>
      <c r="D991" s="321"/>
      <c r="E991" s="642"/>
      <c r="F991" s="314"/>
      <c r="G991" s="314"/>
    </row>
    <row r="992" ht="15.75" customHeight="1">
      <c r="B992" s="637"/>
      <c r="D992" s="321"/>
      <c r="E992" s="642"/>
      <c r="F992" s="314"/>
      <c r="G992" s="314"/>
    </row>
    <row r="993" ht="15.75" customHeight="1">
      <c r="B993" s="637"/>
      <c r="D993" s="321"/>
      <c r="E993" s="642"/>
      <c r="F993" s="314"/>
      <c r="G993" s="314"/>
    </row>
    <row r="994" ht="15.75" customHeight="1">
      <c r="B994" s="637"/>
      <c r="D994" s="321"/>
      <c r="E994" s="642"/>
      <c r="F994" s="314"/>
      <c r="G994" s="314"/>
    </row>
    <row r="995" ht="15.75" customHeight="1">
      <c r="B995" s="637"/>
      <c r="D995" s="321"/>
      <c r="E995" s="642"/>
      <c r="F995" s="314"/>
      <c r="G995" s="314"/>
    </row>
    <row r="996" ht="15.75" customHeight="1">
      <c r="B996" s="637"/>
      <c r="D996" s="321"/>
      <c r="E996" s="642"/>
      <c r="F996" s="314"/>
      <c r="G996" s="314"/>
    </row>
    <row r="997" ht="15.75" customHeight="1">
      <c r="B997" s="637"/>
      <c r="D997" s="321"/>
      <c r="E997" s="642"/>
      <c r="F997" s="314"/>
      <c r="G997" s="314"/>
    </row>
    <row r="998" ht="15.75" customHeight="1">
      <c r="B998" s="637"/>
      <c r="D998" s="321"/>
      <c r="E998" s="642"/>
      <c r="F998" s="314"/>
      <c r="G998" s="314"/>
    </row>
    <row r="999" ht="15.75" customHeight="1">
      <c r="B999" s="637"/>
      <c r="D999" s="321"/>
      <c r="E999" s="642"/>
      <c r="F999" s="314"/>
      <c r="G999" s="314"/>
    </row>
  </sheetData>
  <mergeCells count="6">
    <mergeCell ref="B1:H1"/>
    <mergeCell ref="B3:H3"/>
    <mergeCell ref="B19:H19"/>
    <mergeCell ref="B32:H32"/>
    <mergeCell ref="B55:H55"/>
    <mergeCell ref="B62:H62"/>
  </mergeCells>
  <printOptions/>
  <pageMargins bottom="0.75" footer="0.0" header="0.0" left="0.25" right="0.25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4.43" defaultRowHeight="15.0"/>
  <cols>
    <col customWidth="1" min="2" max="2" width="14.29"/>
    <col customWidth="1" min="3" max="3" width="19.14"/>
    <col customWidth="1" min="4" max="4" width="12.86"/>
    <col customWidth="1" min="5" max="5" width="13.57"/>
    <col customWidth="1" min="6" max="6" width="12.29"/>
    <col customWidth="1" min="7" max="7" width="20.14"/>
    <col customWidth="1" min="8" max="8" width="2.43"/>
    <col customWidth="1" min="9" max="9" width="20.86"/>
    <col customWidth="1" min="10" max="10" width="6.86"/>
    <col customWidth="1" min="11" max="11" width="12.14"/>
    <col customWidth="1" min="12" max="12" width="9.43"/>
  </cols>
  <sheetData>
    <row r="1">
      <c r="C1" s="526"/>
      <c r="E1" s="1006"/>
    </row>
    <row r="2">
      <c r="B2" s="625" t="s">
        <v>1486</v>
      </c>
      <c r="C2" s="526"/>
      <c r="E2" s="1006"/>
    </row>
    <row r="3">
      <c r="C3" s="526"/>
      <c r="E3" s="1006"/>
    </row>
    <row r="4">
      <c r="B4" s="1007" t="s">
        <v>283</v>
      </c>
      <c r="C4" s="1008" t="s">
        <v>1487</v>
      </c>
      <c r="D4" s="1007" t="s">
        <v>285</v>
      </c>
      <c r="E4" s="1009" t="s">
        <v>286</v>
      </c>
      <c r="F4" s="1010" t="s">
        <v>287</v>
      </c>
      <c r="G4" s="1011" t="s">
        <v>440</v>
      </c>
    </row>
    <row r="5">
      <c r="B5" s="1001"/>
      <c r="C5" s="1001"/>
      <c r="D5" s="681"/>
      <c r="E5" s="1012"/>
      <c r="F5" s="1001"/>
      <c r="G5" s="647"/>
    </row>
    <row r="6">
      <c r="B6" s="630" t="s">
        <v>1488</v>
      </c>
      <c r="C6" s="630">
        <v>350.0</v>
      </c>
      <c r="D6" s="269">
        <f t="shared" ref="D6:D7" si="1">E6/C6</f>
        <v>1.514285714</v>
      </c>
      <c r="E6" s="1013">
        <f t="shared" ref="E6:E7" si="2">F6-C6</f>
        <v>530</v>
      </c>
      <c r="F6" s="1014">
        <v>880.0</v>
      </c>
      <c r="G6" s="1015">
        <f t="shared" ref="G6:G7" si="3">F6*1.22</f>
        <v>1073.6</v>
      </c>
    </row>
    <row r="7">
      <c r="B7" s="630" t="s">
        <v>1489</v>
      </c>
      <c r="C7" s="630">
        <v>200.0</v>
      </c>
      <c r="D7" s="269">
        <f t="shared" si="1"/>
        <v>2.35</v>
      </c>
      <c r="E7" s="1013">
        <f t="shared" si="2"/>
        <v>470</v>
      </c>
      <c r="F7" s="1014">
        <v>670.0</v>
      </c>
      <c r="G7" s="1015">
        <f t="shared" si="3"/>
        <v>817.4</v>
      </c>
    </row>
    <row r="8">
      <c r="C8" s="526"/>
      <c r="E8" s="1006"/>
    </row>
    <row r="9">
      <c r="A9" s="526" t="s">
        <v>1490</v>
      </c>
      <c r="B9" s="652" t="s">
        <v>1491</v>
      </c>
      <c r="C9" s="1016">
        <v>45762.0</v>
      </c>
      <c r="D9" s="1017" t="s">
        <v>1492</v>
      </c>
      <c r="E9" s="1018">
        <v>800.0</v>
      </c>
      <c r="F9" s="559"/>
      <c r="G9" s="615"/>
    </row>
    <row r="10">
      <c r="A10" s="526" t="s">
        <v>1493</v>
      </c>
      <c r="B10" s="627"/>
      <c r="C10" s="526"/>
      <c r="E10" s="1006"/>
      <c r="G10" s="628"/>
    </row>
    <row r="11">
      <c r="B11" s="627"/>
      <c r="C11" s="526"/>
      <c r="E11" s="1006"/>
      <c r="G11" s="628"/>
    </row>
    <row r="12">
      <c r="B12" s="627"/>
      <c r="C12" s="526"/>
      <c r="E12" s="1006"/>
      <c r="G12" s="628"/>
    </row>
    <row r="13">
      <c r="B13" s="627"/>
      <c r="C13" s="526"/>
      <c r="E13" s="1006"/>
      <c r="G13" s="628"/>
    </row>
    <row r="14">
      <c r="B14" s="627"/>
      <c r="C14" s="526"/>
      <c r="E14" s="1006"/>
      <c r="G14" s="628"/>
    </row>
    <row r="15">
      <c r="B15" s="627"/>
      <c r="C15" s="526"/>
      <c r="E15" s="1006"/>
      <c r="G15" s="628"/>
    </row>
    <row r="16">
      <c r="B16" s="627"/>
      <c r="C16" s="526"/>
      <c r="E16" s="1006"/>
      <c r="G16" s="628"/>
    </row>
    <row r="17">
      <c r="B17" s="627"/>
      <c r="C17" s="526"/>
      <c r="E17" s="1006"/>
      <c r="G17" s="628"/>
    </row>
    <row r="18">
      <c r="B18" s="647"/>
      <c r="C18" s="611"/>
      <c r="D18" s="611"/>
      <c r="E18" s="1019"/>
      <c r="F18" s="611"/>
      <c r="G18" s="648"/>
    </row>
    <row r="19">
      <c r="C19" s="526"/>
      <c r="E19" s="1006">
        <f>SUM(E9:E18)</f>
        <v>800</v>
      </c>
    </row>
    <row r="20">
      <c r="C20" s="526"/>
      <c r="E20" s="1006"/>
    </row>
    <row r="21">
      <c r="A21" s="526" t="s">
        <v>1490</v>
      </c>
      <c r="B21" s="652">
        <v>0.0</v>
      </c>
      <c r="C21" s="559">
        <v>0.0</v>
      </c>
      <c r="D21" s="1017" t="s">
        <v>1492</v>
      </c>
      <c r="E21" s="1018">
        <v>0.0</v>
      </c>
      <c r="F21" s="559"/>
      <c r="G21" s="615"/>
    </row>
    <row r="22">
      <c r="A22" s="526" t="s">
        <v>1494</v>
      </c>
      <c r="B22" s="627"/>
      <c r="C22" s="526"/>
      <c r="E22" s="1006"/>
      <c r="G22" s="628"/>
    </row>
    <row r="23">
      <c r="B23" s="627"/>
      <c r="C23" s="526"/>
      <c r="E23" s="1006"/>
      <c r="G23" s="628"/>
    </row>
    <row r="24">
      <c r="B24" s="627"/>
      <c r="C24" s="526"/>
      <c r="E24" s="1006"/>
      <c r="G24" s="628"/>
    </row>
    <row r="25">
      <c r="B25" s="627"/>
      <c r="C25" s="526"/>
      <c r="E25" s="1006"/>
      <c r="G25" s="628"/>
    </row>
    <row r="26">
      <c r="B26" s="627"/>
      <c r="C26" s="526"/>
      <c r="E26" s="1006"/>
      <c r="G26" s="628"/>
    </row>
    <row r="27">
      <c r="B27" s="627"/>
      <c r="C27" s="526"/>
      <c r="E27" s="1006"/>
      <c r="G27" s="628"/>
    </row>
    <row r="28">
      <c r="B28" s="627"/>
      <c r="C28" s="526"/>
      <c r="E28" s="1006"/>
      <c r="G28" s="628"/>
    </row>
    <row r="29">
      <c r="B29" s="627"/>
      <c r="C29" s="526"/>
      <c r="E29" s="1006"/>
      <c r="G29" s="628"/>
    </row>
    <row r="30">
      <c r="B30" s="647"/>
      <c r="C30" s="611"/>
      <c r="D30" s="611"/>
      <c r="E30" s="1019"/>
      <c r="F30" s="611"/>
      <c r="G30" s="648"/>
    </row>
    <row r="31">
      <c r="C31" s="526"/>
      <c r="E31" s="1006">
        <f>SUM(E21:E30)</f>
        <v>0</v>
      </c>
    </row>
    <row r="32">
      <c r="C32" s="526"/>
      <c r="E32" s="1006"/>
    </row>
    <row r="33">
      <c r="C33" s="526"/>
      <c r="E33" s="1006"/>
    </row>
    <row r="34">
      <c r="C34" s="526"/>
      <c r="E34" s="1006"/>
    </row>
    <row r="35">
      <c r="C35" s="526" t="s">
        <v>1495</v>
      </c>
      <c r="E35" s="1006"/>
    </row>
    <row r="36">
      <c r="B36" s="526" t="s">
        <v>1496</v>
      </c>
      <c r="C36" s="526" t="s">
        <v>1497</v>
      </c>
      <c r="D36" s="526" t="s">
        <v>1498</v>
      </c>
      <c r="E36" s="1006"/>
    </row>
    <row r="37">
      <c r="B37" s="526" t="s">
        <v>1499</v>
      </c>
      <c r="C37" s="526" t="s">
        <v>1500</v>
      </c>
      <c r="D37" s="526" t="s">
        <v>1498</v>
      </c>
      <c r="E37" s="1006"/>
    </row>
    <row r="38">
      <c r="B38" s="526" t="s">
        <v>1501</v>
      </c>
      <c r="C38" s="526" t="s">
        <v>1502</v>
      </c>
      <c r="D38" s="526" t="s">
        <v>1498</v>
      </c>
      <c r="E38" s="1006"/>
    </row>
    <row r="39">
      <c r="B39" s="526" t="s">
        <v>1503</v>
      </c>
      <c r="C39" s="526" t="s">
        <v>1504</v>
      </c>
      <c r="D39" s="526" t="s">
        <v>1498</v>
      </c>
      <c r="E39" s="1006"/>
    </row>
    <row r="40">
      <c r="B40" s="526" t="s">
        <v>1251</v>
      </c>
      <c r="C40" s="526" t="s">
        <v>1505</v>
      </c>
      <c r="D40" s="526" t="s">
        <v>1498</v>
      </c>
      <c r="E40" s="1006"/>
    </row>
    <row r="41">
      <c r="E41" s="1006"/>
      <c r="G41" s="1020" t="s">
        <v>1506</v>
      </c>
    </row>
    <row r="42">
      <c r="B42" s="526" t="s">
        <v>1507</v>
      </c>
      <c r="C42" s="526" t="s">
        <v>1508</v>
      </c>
      <c r="D42" s="526" t="s">
        <v>1498</v>
      </c>
      <c r="E42" s="1006"/>
      <c r="G42" s="1020" t="s">
        <v>1509</v>
      </c>
      <c r="J42" s="1020"/>
    </row>
    <row r="43">
      <c r="A43" s="1021"/>
      <c r="B43" s="1022"/>
      <c r="C43" s="1022"/>
      <c r="D43" s="1022"/>
      <c r="E43" s="1023"/>
      <c r="F43" s="1022"/>
      <c r="G43" s="1024"/>
      <c r="H43" s="615"/>
      <c r="I43" s="1025"/>
    </row>
    <row r="44">
      <c r="A44" s="1026"/>
      <c r="B44" s="1007" t="s">
        <v>283</v>
      </c>
      <c r="C44" s="1008" t="s">
        <v>436</v>
      </c>
      <c r="D44" s="1007" t="s">
        <v>285</v>
      </c>
      <c r="E44" s="1009" t="s">
        <v>286</v>
      </c>
      <c r="F44" s="1010" t="s">
        <v>287</v>
      </c>
      <c r="G44" s="1027" t="s">
        <v>440</v>
      </c>
      <c r="H44" s="628"/>
      <c r="I44" s="374"/>
    </row>
    <row r="45">
      <c r="A45" s="1026"/>
      <c r="B45" s="1001"/>
      <c r="C45" s="1001"/>
      <c r="D45" s="681"/>
      <c r="E45" s="1012"/>
      <c r="F45" s="1001"/>
      <c r="G45" s="647"/>
      <c r="H45" s="628"/>
      <c r="I45" s="625"/>
      <c r="K45" s="559" t="s">
        <v>1510</v>
      </c>
      <c r="L45" s="615" t="s">
        <v>1511</v>
      </c>
    </row>
    <row r="46">
      <c r="A46" s="1026"/>
      <c r="B46" s="630" t="s">
        <v>1512</v>
      </c>
      <c r="C46" s="630">
        <v>36.4</v>
      </c>
      <c r="D46" s="269">
        <f t="shared" ref="D46:D47" si="4">E46/C46</f>
        <v>0.002747252747</v>
      </c>
      <c r="E46" s="1013">
        <f t="shared" ref="E46:E47" si="5">F46-C46</f>
        <v>0.1</v>
      </c>
      <c r="F46" s="1028">
        <v>36.5</v>
      </c>
      <c r="G46" s="1029">
        <f t="shared" ref="G46:G47" si="6">F46*1.22</f>
        <v>44.53</v>
      </c>
      <c r="H46" s="628"/>
      <c r="I46" s="374"/>
      <c r="K46" s="611">
        <f>36.6*5.5</f>
        <v>201.3</v>
      </c>
      <c r="L46" s="648">
        <f>K46*29</f>
        <v>5837.7</v>
      </c>
    </row>
    <row r="47">
      <c r="A47" s="1026"/>
      <c r="B47" s="630" t="s">
        <v>1499</v>
      </c>
      <c r="C47" s="630">
        <v>25.41</v>
      </c>
      <c r="D47" s="269">
        <f t="shared" si="4"/>
        <v>0.06454151909</v>
      </c>
      <c r="E47" s="1013">
        <f t="shared" si="5"/>
        <v>1.64</v>
      </c>
      <c r="F47" s="1028">
        <v>27.05</v>
      </c>
      <c r="G47" s="1029">
        <f t="shared" si="6"/>
        <v>33.001</v>
      </c>
      <c r="H47" s="628"/>
      <c r="I47" s="374"/>
      <c r="J47" s="1030"/>
    </row>
    <row r="48">
      <c r="A48" s="1026"/>
      <c r="B48" s="1007" t="s">
        <v>283</v>
      </c>
      <c r="C48" s="1008" t="s">
        <v>1513</v>
      </c>
      <c r="D48" s="1007" t="s">
        <v>285</v>
      </c>
      <c r="E48" s="1009" t="s">
        <v>286</v>
      </c>
      <c r="F48" s="1010" t="s">
        <v>287</v>
      </c>
      <c r="G48" s="1011" t="s">
        <v>1514</v>
      </c>
      <c r="H48" s="628"/>
      <c r="I48" s="327"/>
    </row>
    <row r="49">
      <c r="A49" s="1026"/>
      <c r="B49" s="630" t="s">
        <v>1515</v>
      </c>
      <c r="C49" s="630">
        <v>9.21</v>
      </c>
      <c r="D49" s="269">
        <f t="shared" ref="D49:D53" si="7">E49/C49</f>
        <v>1.605863192</v>
      </c>
      <c r="E49" s="1013">
        <f t="shared" ref="E49:E53" si="8">F49-C49</f>
        <v>14.79</v>
      </c>
      <c r="F49" s="680">
        <v>24.0</v>
      </c>
      <c r="G49" s="1029">
        <f t="shared" ref="G49:G53" si="9">F49*1.22</f>
        <v>29.28</v>
      </c>
      <c r="H49" s="628"/>
      <c r="I49" s="327"/>
    </row>
    <row r="50">
      <c r="A50" s="1026"/>
      <c r="B50" s="630" t="s">
        <v>1516</v>
      </c>
      <c r="C50" s="630">
        <v>17.1</v>
      </c>
      <c r="D50" s="269">
        <f t="shared" si="7"/>
        <v>0.7543859649</v>
      </c>
      <c r="E50" s="1013">
        <f t="shared" si="8"/>
        <v>12.9</v>
      </c>
      <c r="F50" s="680">
        <v>30.0</v>
      </c>
      <c r="G50" s="1029">
        <f t="shared" si="9"/>
        <v>36.6</v>
      </c>
      <c r="H50" s="628"/>
      <c r="I50" s="327"/>
    </row>
    <row r="51">
      <c r="A51" s="1026"/>
      <c r="B51" s="630" t="s">
        <v>1251</v>
      </c>
      <c r="C51" s="630">
        <v>25.5</v>
      </c>
      <c r="D51" s="269">
        <f t="shared" si="7"/>
        <v>0.15</v>
      </c>
      <c r="E51" s="1013">
        <f t="shared" si="8"/>
        <v>3.825</v>
      </c>
      <c r="F51" s="680">
        <f>C51*1.15</f>
        <v>29.325</v>
      </c>
      <c r="G51" s="1029">
        <f t="shared" si="9"/>
        <v>35.7765</v>
      </c>
      <c r="H51" s="628"/>
      <c r="I51" s="327"/>
    </row>
    <row r="52">
      <c r="A52" s="1026"/>
      <c r="B52" s="630" t="s">
        <v>1507</v>
      </c>
      <c r="C52" s="630">
        <v>0.36</v>
      </c>
      <c r="D52" s="269">
        <f t="shared" si="7"/>
        <v>0.5277777778</v>
      </c>
      <c r="E52" s="1013">
        <f t="shared" si="8"/>
        <v>0.19</v>
      </c>
      <c r="F52" s="680">
        <v>0.55</v>
      </c>
      <c r="G52" s="1029">
        <f t="shared" si="9"/>
        <v>0.671</v>
      </c>
      <c r="H52" s="628"/>
      <c r="K52" s="526">
        <f>C52*20</f>
        <v>7.2</v>
      </c>
    </row>
    <row r="53">
      <c r="A53" s="1026"/>
      <c r="B53" s="630" t="s">
        <v>1517</v>
      </c>
      <c r="C53" s="630">
        <v>12.0</v>
      </c>
      <c r="D53" s="269">
        <f t="shared" si="7"/>
        <v>1</v>
      </c>
      <c r="E53" s="1013">
        <f t="shared" si="8"/>
        <v>12</v>
      </c>
      <c r="F53" s="680">
        <v>24.0</v>
      </c>
      <c r="G53" s="1029">
        <f t="shared" si="9"/>
        <v>29.28</v>
      </c>
      <c r="H53" s="628"/>
    </row>
    <row r="54">
      <c r="A54" s="1031"/>
      <c r="B54" s="1032"/>
      <c r="C54" s="1032"/>
      <c r="D54" s="1032"/>
      <c r="E54" s="1033"/>
      <c r="F54" s="1032"/>
      <c r="G54" s="1032"/>
      <c r="H54" s="1034"/>
    </row>
    <row r="55">
      <c r="E55" s="1006"/>
    </row>
    <row r="56">
      <c r="B56" s="1035" t="s">
        <v>1518</v>
      </c>
      <c r="C56" s="1036"/>
      <c r="D56" s="1037" t="s">
        <v>1519</v>
      </c>
      <c r="E56" s="1038" t="s">
        <v>1520</v>
      </c>
    </row>
    <row r="57">
      <c r="B57" s="1039" t="s">
        <v>1521</v>
      </c>
      <c r="D57" s="321">
        <v>150.0</v>
      </c>
      <c r="E57" s="1040"/>
      <c r="G57" s="1041" t="s">
        <v>1522</v>
      </c>
      <c r="H57" s="559"/>
      <c r="I57" s="559"/>
      <c r="J57" s="615"/>
    </row>
    <row r="58">
      <c r="B58" s="1039" t="s">
        <v>1523</v>
      </c>
      <c r="D58" s="321">
        <v>750.0</v>
      </c>
      <c r="E58" s="1040"/>
      <c r="G58" s="1042">
        <v>44770.0</v>
      </c>
      <c r="I58" s="526" t="s">
        <v>1524</v>
      </c>
      <c r="J58" s="628"/>
    </row>
    <row r="59">
      <c r="B59" s="1039" t="s">
        <v>1525</v>
      </c>
      <c r="D59" s="321">
        <v>720.0</v>
      </c>
      <c r="E59" s="1040"/>
      <c r="G59" s="627"/>
      <c r="J59" s="628"/>
    </row>
    <row r="60">
      <c r="B60" s="1043" t="s">
        <v>1526</v>
      </c>
      <c r="C60" s="1044"/>
      <c r="D60" s="1045">
        <v>300.0</v>
      </c>
      <c r="E60" s="1046"/>
      <c r="G60" s="647"/>
      <c r="H60" s="611"/>
      <c r="I60" s="611"/>
      <c r="J60" s="648"/>
    </row>
    <row r="61">
      <c r="B61" s="526"/>
      <c r="D61" s="1047">
        <f>SUM(D57:D60)</f>
        <v>1920</v>
      </c>
      <c r="E61" s="1006"/>
    </row>
    <row r="62">
      <c r="C62" s="327"/>
      <c r="E62" s="1006"/>
    </row>
    <row r="63">
      <c r="B63" s="526"/>
      <c r="C63" s="314"/>
      <c r="E63" s="1006"/>
    </row>
    <row r="64">
      <c r="C64" s="314"/>
      <c r="E64" s="1006"/>
    </row>
    <row r="65">
      <c r="C65" s="314"/>
      <c r="E65" s="1006"/>
      <c r="G65" s="1048">
        <v>1.0</v>
      </c>
      <c r="I65" s="1049" t="s">
        <v>1527</v>
      </c>
    </row>
    <row r="66">
      <c r="E66" s="1009" t="s">
        <v>283</v>
      </c>
      <c r="F66" s="1010" t="s">
        <v>287</v>
      </c>
      <c r="G66" s="1050" t="s">
        <v>440</v>
      </c>
      <c r="I66" s="1051" t="s">
        <v>440</v>
      </c>
    </row>
    <row r="67">
      <c r="E67" s="1012"/>
      <c r="F67" s="1001"/>
      <c r="G67" s="1001"/>
      <c r="I67" s="1052"/>
    </row>
    <row r="68">
      <c r="E68" s="1053" t="s">
        <v>1512</v>
      </c>
      <c r="F68" s="1028">
        <v>34.43</v>
      </c>
      <c r="G68" s="1029">
        <f t="shared" ref="G68:G73" si="10">F68*1.22</f>
        <v>42.0046</v>
      </c>
      <c r="I68" s="1054">
        <f t="shared" ref="I68:I69" si="11">G68*1.2</f>
        <v>50.40552</v>
      </c>
    </row>
    <row r="69">
      <c r="E69" s="1053" t="s">
        <v>1499</v>
      </c>
      <c r="F69" s="1028">
        <v>27.87</v>
      </c>
      <c r="G69" s="1029">
        <f t="shared" si="10"/>
        <v>34.0014</v>
      </c>
      <c r="I69" s="1054">
        <f t="shared" si="11"/>
        <v>40.80168</v>
      </c>
    </row>
    <row r="70">
      <c r="E70" s="1053" t="s">
        <v>1515</v>
      </c>
      <c r="F70" s="680">
        <v>8.0</v>
      </c>
      <c r="G70" s="1029">
        <f t="shared" si="10"/>
        <v>9.76</v>
      </c>
    </row>
    <row r="71">
      <c r="E71" s="1053" t="s">
        <v>1528</v>
      </c>
      <c r="F71" s="680">
        <v>8.0</v>
      </c>
      <c r="G71" s="1029">
        <f t="shared" si="10"/>
        <v>9.76</v>
      </c>
    </row>
    <row r="72">
      <c r="E72" s="1053" t="s">
        <v>1251</v>
      </c>
      <c r="F72" s="680">
        <v>7.15</v>
      </c>
      <c r="G72" s="1029">
        <f t="shared" si="10"/>
        <v>8.723</v>
      </c>
      <c r="I72" s="526">
        <v>1.0</v>
      </c>
      <c r="J72" s="526">
        <v>10.0</v>
      </c>
      <c r="K72" s="526">
        <v>50.0</v>
      </c>
      <c r="L72" s="526">
        <v>100.0</v>
      </c>
    </row>
    <row r="73">
      <c r="E73" s="1006" t="s">
        <v>1529</v>
      </c>
      <c r="F73" s="526">
        <v>0.46</v>
      </c>
      <c r="G73" s="1029">
        <f t="shared" si="10"/>
        <v>0.5612</v>
      </c>
      <c r="I73" s="526" t="s">
        <v>1530</v>
      </c>
      <c r="J73" s="526">
        <v>47.6</v>
      </c>
      <c r="K73" s="526">
        <v>253.4</v>
      </c>
      <c r="L73" s="526">
        <v>506.0</v>
      </c>
    </row>
    <row r="74">
      <c r="E74" s="1006"/>
    </row>
    <row r="75">
      <c r="E75" s="1006"/>
    </row>
    <row r="76">
      <c r="E76" s="1006"/>
    </row>
    <row r="77">
      <c r="E77" s="1006"/>
    </row>
    <row r="78">
      <c r="E78" s="1006"/>
    </row>
    <row r="79">
      <c r="E79" s="1006"/>
    </row>
    <row r="80">
      <c r="E80" s="1006"/>
    </row>
    <row r="81">
      <c r="E81" s="1006"/>
    </row>
    <row r="82">
      <c r="E82" s="1006"/>
    </row>
    <row r="83">
      <c r="E83" s="1006"/>
    </row>
    <row r="84">
      <c r="E84" s="1006"/>
    </row>
    <row r="85">
      <c r="E85" s="1006"/>
    </row>
    <row r="86">
      <c r="E86" s="1006"/>
    </row>
    <row r="87">
      <c r="E87" s="1006"/>
    </row>
    <row r="88">
      <c r="E88" s="1006"/>
    </row>
    <row r="89">
      <c r="E89" s="1006"/>
    </row>
    <row r="90">
      <c r="E90" s="1006"/>
    </row>
    <row r="91">
      <c r="E91" s="1006"/>
    </row>
    <row r="92">
      <c r="E92" s="1006"/>
    </row>
    <row r="93">
      <c r="E93" s="1006"/>
    </row>
    <row r="94">
      <c r="E94" s="1006"/>
    </row>
    <row r="95">
      <c r="E95" s="1006"/>
    </row>
    <row r="96">
      <c r="E96" s="1006"/>
    </row>
    <row r="97">
      <c r="E97" s="1006"/>
    </row>
    <row r="98">
      <c r="E98" s="1006"/>
    </row>
    <row r="99">
      <c r="E99" s="1006"/>
    </row>
    <row r="100">
      <c r="E100" s="1006"/>
    </row>
    <row r="101">
      <c r="E101" s="1006"/>
    </row>
    <row r="102">
      <c r="E102" s="1006"/>
    </row>
    <row r="103">
      <c r="E103" s="1006"/>
    </row>
    <row r="104">
      <c r="E104" s="1006"/>
    </row>
    <row r="105">
      <c r="E105" s="1006"/>
    </row>
    <row r="106">
      <c r="E106" s="1006"/>
    </row>
    <row r="107">
      <c r="E107" s="1006"/>
    </row>
    <row r="108">
      <c r="E108" s="1006"/>
    </row>
    <row r="109">
      <c r="E109" s="1006"/>
    </row>
    <row r="110">
      <c r="E110" s="1006"/>
    </row>
    <row r="111">
      <c r="E111" s="1006"/>
    </row>
    <row r="112">
      <c r="E112" s="1006"/>
    </row>
    <row r="113">
      <c r="E113" s="1006"/>
    </row>
    <row r="114">
      <c r="E114" s="1006"/>
    </row>
    <row r="115">
      <c r="E115" s="1006"/>
    </row>
    <row r="116">
      <c r="E116" s="1006"/>
    </row>
    <row r="117">
      <c r="E117" s="1006"/>
    </row>
    <row r="118">
      <c r="E118" s="1006"/>
    </row>
    <row r="119">
      <c r="E119" s="1006"/>
    </row>
    <row r="120">
      <c r="E120" s="1006"/>
    </row>
    <row r="121">
      <c r="E121" s="1006"/>
    </row>
    <row r="122">
      <c r="E122" s="1006"/>
    </row>
    <row r="123">
      <c r="E123" s="1006"/>
    </row>
    <row r="124">
      <c r="E124" s="1006"/>
    </row>
    <row r="125">
      <c r="E125" s="1006"/>
    </row>
    <row r="126">
      <c r="E126" s="1006"/>
    </row>
    <row r="127">
      <c r="E127" s="1006"/>
    </row>
    <row r="128">
      <c r="E128" s="1006"/>
    </row>
    <row r="129">
      <c r="E129" s="1006"/>
    </row>
    <row r="130">
      <c r="E130" s="1006"/>
    </row>
    <row r="131">
      <c r="E131" s="1006"/>
    </row>
    <row r="132">
      <c r="E132" s="1006"/>
    </row>
    <row r="133">
      <c r="E133" s="1006"/>
    </row>
    <row r="134">
      <c r="E134" s="1006"/>
    </row>
    <row r="135">
      <c r="E135" s="1006"/>
    </row>
    <row r="136">
      <c r="E136" s="1006"/>
    </row>
    <row r="137">
      <c r="E137" s="1006"/>
    </row>
    <row r="138">
      <c r="E138" s="1006"/>
    </row>
    <row r="139">
      <c r="E139" s="1006"/>
    </row>
    <row r="140">
      <c r="E140" s="1006"/>
    </row>
    <row r="141">
      <c r="E141" s="1006"/>
    </row>
    <row r="142">
      <c r="E142" s="1006"/>
    </row>
    <row r="143">
      <c r="E143" s="1006"/>
    </row>
    <row r="144">
      <c r="E144" s="1006"/>
    </row>
    <row r="145">
      <c r="E145" s="1006"/>
    </row>
    <row r="146">
      <c r="E146" s="1006"/>
    </row>
    <row r="147">
      <c r="E147" s="1006"/>
    </row>
    <row r="148">
      <c r="E148" s="1006"/>
    </row>
    <row r="149">
      <c r="E149" s="1006"/>
    </row>
    <row r="150">
      <c r="E150" s="1006"/>
    </row>
    <row r="151">
      <c r="E151" s="1006"/>
    </row>
    <row r="152">
      <c r="E152" s="1006"/>
    </row>
    <row r="153">
      <c r="E153" s="1006"/>
    </row>
    <row r="154">
      <c r="E154" s="1006"/>
    </row>
    <row r="155">
      <c r="E155" s="1006"/>
    </row>
    <row r="156">
      <c r="E156" s="1006"/>
    </row>
    <row r="157">
      <c r="E157" s="1006"/>
    </row>
    <row r="158">
      <c r="E158" s="1006"/>
    </row>
    <row r="159">
      <c r="E159" s="1006"/>
    </row>
    <row r="160">
      <c r="E160" s="1006"/>
    </row>
    <row r="161">
      <c r="E161" s="1006"/>
    </row>
    <row r="162">
      <c r="E162" s="1006"/>
    </row>
    <row r="163">
      <c r="E163" s="1006"/>
    </row>
    <row r="164">
      <c r="E164" s="1006"/>
    </row>
    <row r="165">
      <c r="E165" s="1006"/>
    </row>
    <row r="166">
      <c r="E166" s="1006"/>
    </row>
    <row r="167">
      <c r="E167" s="1006"/>
    </row>
    <row r="168">
      <c r="E168" s="1006"/>
    </row>
    <row r="169">
      <c r="E169" s="1006"/>
    </row>
    <row r="170">
      <c r="E170" s="1006"/>
    </row>
    <row r="171">
      <c r="E171" s="1006"/>
    </row>
    <row r="172">
      <c r="E172" s="1006"/>
    </row>
    <row r="173">
      <c r="E173" s="1006"/>
    </row>
    <row r="174">
      <c r="E174" s="1006"/>
    </row>
    <row r="175">
      <c r="E175" s="1006"/>
    </row>
    <row r="176">
      <c r="E176" s="1006"/>
    </row>
    <row r="177">
      <c r="E177" s="1006"/>
    </row>
    <row r="178">
      <c r="E178" s="1006"/>
    </row>
    <row r="179">
      <c r="E179" s="1006"/>
    </row>
    <row r="180">
      <c r="E180" s="1006"/>
    </row>
    <row r="181">
      <c r="E181" s="1006"/>
    </row>
    <row r="182">
      <c r="E182" s="1006"/>
    </row>
    <row r="183">
      <c r="E183" s="1006"/>
    </row>
    <row r="184">
      <c r="E184" s="1006"/>
    </row>
    <row r="185">
      <c r="E185" s="1006"/>
    </row>
    <row r="186">
      <c r="E186" s="1006"/>
    </row>
    <row r="187">
      <c r="E187" s="1006"/>
    </row>
    <row r="188">
      <c r="E188" s="1006"/>
    </row>
    <row r="189">
      <c r="E189" s="1006"/>
    </row>
    <row r="190">
      <c r="E190" s="1006"/>
    </row>
    <row r="191">
      <c r="E191" s="1006"/>
    </row>
    <row r="192">
      <c r="E192" s="1006"/>
    </row>
    <row r="193">
      <c r="E193" s="1006"/>
    </row>
    <row r="194">
      <c r="E194" s="1006"/>
    </row>
    <row r="195">
      <c r="E195" s="1006"/>
    </row>
    <row r="196">
      <c r="E196" s="1006"/>
    </row>
    <row r="197">
      <c r="E197" s="1006"/>
    </row>
    <row r="198">
      <c r="E198" s="1006"/>
    </row>
    <row r="199">
      <c r="E199" s="1006"/>
    </row>
    <row r="200">
      <c r="E200" s="1006"/>
    </row>
    <row r="201">
      <c r="E201" s="1006"/>
    </row>
    <row r="202">
      <c r="E202" s="1006"/>
    </row>
    <row r="203">
      <c r="E203" s="1006"/>
    </row>
    <row r="204">
      <c r="E204" s="1006"/>
    </row>
    <row r="205">
      <c r="E205" s="1006"/>
    </row>
    <row r="206">
      <c r="E206" s="1006"/>
    </row>
    <row r="207">
      <c r="E207" s="1006"/>
    </row>
    <row r="208">
      <c r="E208" s="1006"/>
    </row>
    <row r="209">
      <c r="E209" s="1006"/>
    </row>
    <row r="210">
      <c r="E210" s="1006"/>
    </row>
    <row r="211">
      <c r="E211" s="1006"/>
    </row>
    <row r="212">
      <c r="E212" s="1006"/>
    </row>
    <row r="213">
      <c r="E213" s="1006"/>
    </row>
    <row r="214">
      <c r="E214" s="1006"/>
    </row>
    <row r="215">
      <c r="E215" s="1006"/>
    </row>
    <row r="216">
      <c r="E216" s="1006"/>
    </row>
    <row r="217">
      <c r="E217" s="1006"/>
    </row>
    <row r="218">
      <c r="E218" s="1006"/>
    </row>
    <row r="219">
      <c r="E219" s="1006"/>
    </row>
    <row r="220">
      <c r="E220" s="1006"/>
    </row>
    <row r="221">
      <c r="E221" s="1006"/>
    </row>
    <row r="222">
      <c r="E222" s="1006"/>
    </row>
    <row r="223">
      <c r="E223" s="1006"/>
    </row>
    <row r="224">
      <c r="E224" s="1006"/>
    </row>
    <row r="225">
      <c r="E225" s="1006"/>
    </row>
    <row r="226">
      <c r="E226" s="1006"/>
    </row>
    <row r="227">
      <c r="E227" s="1006"/>
    </row>
    <row r="228">
      <c r="E228" s="1006"/>
    </row>
    <row r="229">
      <c r="E229" s="1006"/>
    </row>
    <row r="230">
      <c r="E230" s="1006"/>
    </row>
    <row r="231">
      <c r="E231" s="1006"/>
    </row>
    <row r="232">
      <c r="E232" s="1006"/>
    </row>
    <row r="233">
      <c r="E233" s="1006"/>
    </row>
    <row r="234">
      <c r="E234" s="1006"/>
    </row>
    <row r="235">
      <c r="E235" s="1006"/>
    </row>
    <row r="236">
      <c r="E236" s="1006"/>
    </row>
    <row r="237">
      <c r="E237" s="1006"/>
    </row>
    <row r="238">
      <c r="E238" s="1006"/>
    </row>
    <row r="239">
      <c r="E239" s="1006"/>
    </row>
    <row r="240">
      <c r="E240" s="1006"/>
    </row>
    <row r="241">
      <c r="E241" s="1006"/>
    </row>
    <row r="242">
      <c r="E242" s="1006"/>
    </row>
    <row r="243">
      <c r="E243" s="1006"/>
    </row>
    <row r="244">
      <c r="E244" s="1006"/>
    </row>
    <row r="245">
      <c r="E245" s="1006"/>
    </row>
    <row r="246">
      <c r="E246" s="1006"/>
    </row>
    <row r="247">
      <c r="E247" s="1006"/>
    </row>
    <row r="248">
      <c r="E248" s="1006"/>
    </row>
    <row r="249">
      <c r="E249" s="1006"/>
    </row>
    <row r="250">
      <c r="E250" s="1006"/>
    </row>
    <row r="251">
      <c r="E251" s="1006"/>
    </row>
    <row r="252">
      <c r="E252" s="1006"/>
    </row>
    <row r="253">
      <c r="E253" s="1006"/>
    </row>
    <row r="254">
      <c r="E254" s="1006"/>
    </row>
    <row r="255">
      <c r="E255" s="1006"/>
    </row>
    <row r="256">
      <c r="E256" s="1006"/>
    </row>
    <row r="257">
      <c r="E257" s="1006"/>
    </row>
    <row r="258">
      <c r="E258" s="1006"/>
    </row>
    <row r="259">
      <c r="E259" s="1006"/>
    </row>
    <row r="260">
      <c r="E260" s="1006"/>
    </row>
    <row r="261">
      <c r="E261" s="1006"/>
    </row>
    <row r="262">
      <c r="E262" s="1006"/>
    </row>
    <row r="263">
      <c r="E263" s="1006"/>
    </row>
    <row r="264">
      <c r="E264" s="1006"/>
    </row>
    <row r="265">
      <c r="E265" s="1006"/>
    </row>
    <row r="266">
      <c r="E266" s="1006"/>
    </row>
    <row r="267">
      <c r="E267" s="1006"/>
    </row>
    <row r="268">
      <c r="E268" s="1006"/>
    </row>
    <row r="269">
      <c r="E269" s="1006"/>
    </row>
    <row r="270">
      <c r="E270" s="1006"/>
    </row>
    <row r="271">
      <c r="E271" s="1006"/>
    </row>
    <row r="272">
      <c r="E272" s="1006"/>
    </row>
    <row r="273">
      <c r="E273" s="1006"/>
    </row>
    <row r="274">
      <c r="E274" s="1006"/>
    </row>
    <row r="275">
      <c r="E275" s="1006"/>
    </row>
    <row r="276">
      <c r="E276" s="1006"/>
    </row>
    <row r="277">
      <c r="E277" s="1006"/>
    </row>
    <row r="278">
      <c r="E278" s="1006"/>
    </row>
    <row r="279">
      <c r="E279" s="1006"/>
    </row>
    <row r="280">
      <c r="E280" s="1006"/>
    </row>
    <row r="281">
      <c r="E281" s="1006"/>
    </row>
    <row r="282">
      <c r="E282" s="1006"/>
    </row>
    <row r="283">
      <c r="E283" s="1006"/>
    </row>
    <row r="284">
      <c r="E284" s="1006"/>
    </row>
    <row r="285">
      <c r="E285" s="1006"/>
    </row>
    <row r="286">
      <c r="E286" s="1006"/>
    </row>
    <row r="287">
      <c r="E287" s="1006"/>
    </row>
    <row r="288">
      <c r="E288" s="1006"/>
    </row>
    <row r="289">
      <c r="E289" s="1006"/>
    </row>
    <row r="290">
      <c r="E290" s="1006"/>
    </row>
    <row r="291">
      <c r="E291" s="1006"/>
    </row>
    <row r="292">
      <c r="E292" s="1006"/>
    </row>
    <row r="293">
      <c r="E293" s="1006"/>
    </row>
    <row r="294">
      <c r="E294" s="1006"/>
    </row>
    <row r="295">
      <c r="E295" s="1006"/>
    </row>
    <row r="296">
      <c r="E296" s="1006"/>
    </row>
    <row r="297">
      <c r="E297" s="1006"/>
    </row>
    <row r="298">
      <c r="E298" s="1006"/>
    </row>
    <row r="299">
      <c r="E299" s="1006"/>
    </row>
    <row r="300">
      <c r="E300" s="1006"/>
    </row>
    <row r="301">
      <c r="E301" s="1006"/>
    </row>
    <row r="302">
      <c r="E302" s="1006"/>
    </row>
    <row r="303">
      <c r="E303" s="1006"/>
    </row>
    <row r="304">
      <c r="E304" s="1006"/>
    </row>
    <row r="305">
      <c r="E305" s="1006"/>
    </row>
    <row r="306">
      <c r="E306" s="1006"/>
    </row>
    <row r="307">
      <c r="E307" s="1006"/>
    </row>
    <row r="308">
      <c r="E308" s="1006"/>
    </row>
    <row r="309">
      <c r="E309" s="1006"/>
    </row>
    <row r="310">
      <c r="E310" s="1006"/>
    </row>
    <row r="311">
      <c r="E311" s="1006"/>
    </row>
    <row r="312">
      <c r="E312" s="1006"/>
    </row>
    <row r="313">
      <c r="E313" s="1006"/>
    </row>
    <row r="314">
      <c r="E314" s="1006"/>
    </row>
    <row r="315">
      <c r="E315" s="1006"/>
    </row>
    <row r="316">
      <c r="E316" s="1006"/>
    </row>
    <row r="317">
      <c r="E317" s="1006"/>
    </row>
    <row r="318">
      <c r="E318" s="1006"/>
    </row>
    <row r="319">
      <c r="E319" s="1006"/>
    </row>
    <row r="320">
      <c r="E320" s="1006"/>
    </row>
    <row r="321">
      <c r="E321" s="1006"/>
    </row>
    <row r="322">
      <c r="E322" s="1006"/>
    </row>
    <row r="323">
      <c r="E323" s="1006"/>
    </row>
    <row r="324">
      <c r="E324" s="1006"/>
    </row>
    <row r="325">
      <c r="E325" s="1006"/>
    </row>
    <row r="326">
      <c r="E326" s="1006"/>
    </row>
    <row r="327">
      <c r="E327" s="1006"/>
    </row>
    <row r="328">
      <c r="E328" s="1006"/>
    </row>
    <row r="329">
      <c r="E329" s="1006"/>
    </row>
    <row r="330">
      <c r="E330" s="1006"/>
    </row>
    <row r="331">
      <c r="E331" s="1006"/>
    </row>
    <row r="332">
      <c r="E332" s="1006"/>
    </row>
    <row r="333">
      <c r="E333" s="1006"/>
    </row>
    <row r="334">
      <c r="E334" s="1006"/>
    </row>
    <row r="335">
      <c r="E335" s="1006"/>
    </row>
    <row r="336">
      <c r="E336" s="1006"/>
    </row>
    <row r="337">
      <c r="E337" s="1006"/>
    </row>
    <row r="338">
      <c r="E338" s="1006"/>
    </row>
    <row r="339">
      <c r="E339" s="1006"/>
    </row>
    <row r="340">
      <c r="E340" s="1006"/>
    </row>
    <row r="341">
      <c r="E341" s="1006"/>
    </row>
    <row r="342">
      <c r="E342" s="1006"/>
    </row>
    <row r="343">
      <c r="E343" s="1006"/>
    </row>
    <row r="344">
      <c r="E344" s="1006"/>
    </row>
    <row r="345">
      <c r="E345" s="1006"/>
    </row>
    <row r="346">
      <c r="E346" s="1006"/>
    </row>
    <row r="347">
      <c r="E347" s="1006"/>
    </row>
    <row r="348">
      <c r="E348" s="1006"/>
    </row>
    <row r="349">
      <c r="E349" s="1006"/>
    </row>
    <row r="350">
      <c r="E350" s="1006"/>
    </row>
    <row r="351">
      <c r="E351" s="1006"/>
    </row>
    <row r="352">
      <c r="E352" s="1006"/>
    </row>
    <row r="353">
      <c r="E353" s="1006"/>
    </row>
    <row r="354">
      <c r="E354" s="1006"/>
    </row>
    <row r="355">
      <c r="E355" s="1006"/>
    </row>
    <row r="356">
      <c r="E356" s="1006"/>
    </row>
    <row r="357">
      <c r="E357" s="1006"/>
    </row>
    <row r="358">
      <c r="E358" s="1006"/>
    </row>
    <row r="359">
      <c r="E359" s="1006"/>
    </row>
    <row r="360">
      <c r="E360" s="1006"/>
    </row>
    <row r="361">
      <c r="E361" s="1006"/>
    </row>
    <row r="362">
      <c r="E362" s="1006"/>
    </row>
    <row r="363">
      <c r="E363" s="1006"/>
    </row>
    <row r="364">
      <c r="E364" s="1006"/>
    </row>
    <row r="365">
      <c r="E365" s="1006"/>
    </row>
    <row r="366">
      <c r="E366" s="1006"/>
    </row>
    <row r="367">
      <c r="E367" s="1006"/>
    </row>
    <row r="368">
      <c r="E368" s="1006"/>
    </row>
    <row r="369">
      <c r="E369" s="1006"/>
    </row>
    <row r="370">
      <c r="E370" s="1006"/>
    </row>
    <row r="371">
      <c r="E371" s="1006"/>
    </row>
    <row r="372">
      <c r="E372" s="1006"/>
    </row>
    <row r="373">
      <c r="E373" s="1006"/>
    </row>
    <row r="374">
      <c r="E374" s="1006"/>
    </row>
    <row r="375">
      <c r="E375" s="1006"/>
    </row>
    <row r="376">
      <c r="E376" s="1006"/>
    </row>
    <row r="377">
      <c r="E377" s="1006"/>
    </row>
    <row r="378">
      <c r="E378" s="1006"/>
    </row>
    <row r="379">
      <c r="E379" s="1006"/>
    </row>
    <row r="380">
      <c r="E380" s="1006"/>
    </row>
    <row r="381">
      <c r="E381" s="1006"/>
    </row>
    <row r="382">
      <c r="E382" s="1006"/>
    </row>
    <row r="383">
      <c r="E383" s="1006"/>
    </row>
    <row r="384">
      <c r="E384" s="1006"/>
    </row>
    <row r="385">
      <c r="E385" s="1006"/>
    </row>
    <row r="386">
      <c r="E386" s="1006"/>
    </row>
    <row r="387">
      <c r="E387" s="1006"/>
    </row>
    <row r="388">
      <c r="E388" s="1006"/>
    </row>
    <row r="389">
      <c r="E389" s="1006"/>
    </row>
    <row r="390">
      <c r="E390" s="1006"/>
    </row>
    <row r="391">
      <c r="E391" s="1006"/>
    </row>
    <row r="392">
      <c r="E392" s="1006"/>
    </row>
    <row r="393">
      <c r="E393" s="1006"/>
    </row>
    <row r="394">
      <c r="E394" s="1006"/>
    </row>
    <row r="395">
      <c r="E395" s="1006"/>
    </row>
    <row r="396">
      <c r="E396" s="1006"/>
    </row>
    <row r="397">
      <c r="E397" s="1006"/>
    </row>
    <row r="398">
      <c r="E398" s="1006"/>
    </row>
    <row r="399">
      <c r="E399" s="1006"/>
    </row>
    <row r="400">
      <c r="E400" s="1006"/>
    </row>
    <row r="401">
      <c r="E401" s="1006"/>
    </row>
    <row r="402">
      <c r="E402" s="1006"/>
    </row>
    <row r="403">
      <c r="E403" s="1006"/>
    </row>
    <row r="404">
      <c r="E404" s="1006"/>
    </row>
    <row r="405">
      <c r="E405" s="1006"/>
    </row>
    <row r="406">
      <c r="E406" s="1006"/>
    </row>
    <row r="407">
      <c r="E407" s="1006"/>
    </row>
    <row r="408">
      <c r="E408" s="1006"/>
    </row>
    <row r="409">
      <c r="E409" s="1006"/>
    </row>
    <row r="410">
      <c r="E410" s="1006"/>
    </row>
    <row r="411">
      <c r="E411" s="1006"/>
    </row>
    <row r="412">
      <c r="E412" s="1006"/>
    </row>
    <row r="413">
      <c r="E413" s="1006"/>
    </row>
    <row r="414">
      <c r="E414" s="1006"/>
    </row>
    <row r="415">
      <c r="E415" s="1006"/>
    </row>
    <row r="416">
      <c r="E416" s="1006"/>
    </row>
    <row r="417">
      <c r="E417" s="1006"/>
    </row>
    <row r="418">
      <c r="E418" s="1006"/>
    </row>
    <row r="419">
      <c r="E419" s="1006"/>
    </row>
    <row r="420">
      <c r="E420" s="1006"/>
    </row>
    <row r="421">
      <c r="E421" s="1006"/>
    </row>
    <row r="422">
      <c r="E422" s="1006"/>
    </row>
    <row r="423">
      <c r="E423" s="1006"/>
    </row>
    <row r="424">
      <c r="E424" s="1006"/>
    </row>
    <row r="425">
      <c r="E425" s="1006"/>
    </row>
    <row r="426">
      <c r="E426" s="1006"/>
    </row>
    <row r="427">
      <c r="E427" s="1006"/>
    </row>
    <row r="428">
      <c r="E428" s="1006"/>
    </row>
    <row r="429">
      <c r="E429" s="1006"/>
    </row>
    <row r="430">
      <c r="E430" s="1006"/>
    </row>
    <row r="431">
      <c r="E431" s="1006"/>
    </row>
    <row r="432">
      <c r="E432" s="1006"/>
    </row>
    <row r="433">
      <c r="E433" s="1006"/>
    </row>
    <row r="434">
      <c r="E434" s="1006"/>
    </row>
    <row r="435">
      <c r="E435" s="1006"/>
    </row>
    <row r="436">
      <c r="E436" s="1006"/>
    </row>
    <row r="437">
      <c r="E437" s="1006"/>
    </row>
    <row r="438">
      <c r="E438" s="1006"/>
    </row>
    <row r="439">
      <c r="E439" s="1006"/>
    </row>
    <row r="440">
      <c r="E440" s="1006"/>
    </row>
    <row r="441">
      <c r="E441" s="1006"/>
    </row>
    <row r="442">
      <c r="E442" s="1006"/>
    </row>
    <row r="443">
      <c r="E443" s="1006"/>
    </row>
    <row r="444">
      <c r="E444" s="1006"/>
    </row>
    <row r="445">
      <c r="E445" s="1006"/>
    </row>
    <row r="446">
      <c r="E446" s="1006"/>
    </row>
    <row r="447">
      <c r="E447" s="1006"/>
    </row>
    <row r="448">
      <c r="E448" s="1006"/>
    </row>
    <row r="449">
      <c r="E449" s="1006"/>
    </row>
    <row r="450">
      <c r="E450" s="1006"/>
    </row>
    <row r="451">
      <c r="E451" s="1006"/>
    </row>
    <row r="452">
      <c r="E452" s="1006"/>
    </row>
    <row r="453">
      <c r="E453" s="1006"/>
    </row>
    <row r="454">
      <c r="E454" s="1006"/>
    </row>
    <row r="455">
      <c r="E455" s="1006"/>
    </row>
    <row r="456">
      <c r="E456" s="1006"/>
    </row>
    <row r="457">
      <c r="E457" s="1006"/>
    </row>
    <row r="458">
      <c r="E458" s="1006"/>
    </row>
    <row r="459">
      <c r="E459" s="1006"/>
    </row>
    <row r="460">
      <c r="E460" s="1006"/>
    </row>
    <row r="461">
      <c r="E461" s="1006"/>
    </row>
    <row r="462">
      <c r="E462" s="1006"/>
    </row>
    <row r="463">
      <c r="E463" s="1006"/>
    </row>
    <row r="464">
      <c r="E464" s="1006"/>
    </row>
    <row r="465">
      <c r="E465" s="1006"/>
    </row>
    <row r="466">
      <c r="E466" s="1006"/>
    </row>
    <row r="467">
      <c r="E467" s="1006"/>
    </row>
    <row r="468">
      <c r="E468" s="1006"/>
    </row>
    <row r="469">
      <c r="E469" s="1006"/>
    </row>
    <row r="470">
      <c r="E470" s="1006"/>
    </row>
    <row r="471">
      <c r="E471" s="1006"/>
    </row>
    <row r="472">
      <c r="E472" s="1006"/>
    </row>
    <row r="473">
      <c r="E473" s="1006"/>
    </row>
    <row r="474">
      <c r="E474" s="1006"/>
    </row>
    <row r="475">
      <c r="E475" s="1006"/>
    </row>
    <row r="476">
      <c r="E476" s="1006"/>
    </row>
    <row r="477">
      <c r="E477" s="1006"/>
    </row>
    <row r="478">
      <c r="E478" s="1006"/>
    </row>
    <row r="479">
      <c r="E479" s="1006"/>
    </row>
    <row r="480">
      <c r="E480" s="1006"/>
    </row>
    <row r="481">
      <c r="E481" s="1006"/>
    </row>
    <row r="482">
      <c r="E482" s="1006"/>
    </row>
    <row r="483">
      <c r="E483" s="1006"/>
    </row>
    <row r="484">
      <c r="E484" s="1006"/>
    </row>
    <row r="485">
      <c r="E485" s="1006"/>
    </row>
    <row r="486">
      <c r="E486" s="1006"/>
    </row>
    <row r="487">
      <c r="E487" s="1006"/>
    </row>
    <row r="488">
      <c r="E488" s="1006"/>
    </row>
    <row r="489">
      <c r="E489" s="1006"/>
    </row>
    <row r="490">
      <c r="E490" s="1006"/>
    </row>
    <row r="491">
      <c r="E491" s="1006"/>
    </row>
    <row r="492">
      <c r="E492" s="1006"/>
    </row>
    <row r="493">
      <c r="E493" s="1006"/>
    </row>
    <row r="494">
      <c r="E494" s="1006"/>
    </row>
    <row r="495">
      <c r="E495" s="1006"/>
    </row>
    <row r="496">
      <c r="E496" s="1006"/>
    </row>
    <row r="497">
      <c r="E497" s="1006"/>
    </row>
    <row r="498">
      <c r="E498" s="1006"/>
    </row>
    <row r="499">
      <c r="E499" s="1006"/>
    </row>
    <row r="500">
      <c r="E500" s="1006"/>
    </row>
    <row r="501">
      <c r="E501" s="1006"/>
    </row>
    <row r="502">
      <c r="E502" s="1006"/>
    </row>
    <row r="503">
      <c r="E503" s="1006"/>
    </row>
    <row r="504">
      <c r="E504" s="1006"/>
    </row>
    <row r="505">
      <c r="E505" s="1006"/>
    </row>
    <row r="506">
      <c r="E506" s="1006"/>
    </row>
    <row r="507">
      <c r="E507" s="1006"/>
    </row>
    <row r="508">
      <c r="E508" s="1006"/>
    </row>
    <row r="509">
      <c r="E509" s="1006"/>
    </row>
    <row r="510">
      <c r="E510" s="1006"/>
    </row>
    <row r="511">
      <c r="E511" s="1006"/>
    </row>
    <row r="512">
      <c r="E512" s="1006"/>
    </row>
    <row r="513">
      <c r="E513" s="1006"/>
    </row>
    <row r="514">
      <c r="E514" s="1006"/>
    </row>
    <row r="515">
      <c r="E515" s="1006"/>
    </row>
    <row r="516">
      <c r="E516" s="1006"/>
    </row>
    <row r="517">
      <c r="E517" s="1006"/>
    </row>
    <row r="518">
      <c r="E518" s="1006"/>
    </row>
    <row r="519">
      <c r="E519" s="1006"/>
    </row>
    <row r="520">
      <c r="E520" s="1006"/>
    </row>
    <row r="521">
      <c r="E521" s="1006"/>
    </row>
    <row r="522">
      <c r="E522" s="1006"/>
    </row>
    <row r="523">
      <c r="E523" s="1006"/>
    </row>
    <row r="524">
      <c r="E524" s="1006"/>
    </row>
    <row r="525">
      <c r="E525" s="1006"/>
    </row>
    <row r="526">
      <c r="E526" s="1006"/>
    </row>
    <row r="527">
      <c r="E527" s="1006"/>
    </row>
    <row r="528">
      <c r="E528" s="1006"/>
    </row>
    <row r="529">
      <c r="E529" s="1006"/>
    </row>
    <row r="530">
      <c r="E530" s="1006"/>
    </row>
    <row r="531">
      <c r="E531" s="1006"/>
    </row>
    <row r="532">
      <c r="E532" s="1006"/>
    </row>
    <row r="533">
      <c r="E533" s="1006"/>
    </row>
    <row r="534">
      <c r="E534" s="1006"/>
    </row>
    <row r="535">
      <c r="E535" s="1006"/>
    </row>
    <row r="536">
      <c r="E536" s="1006"/>
    </row>
    <row r="537">
      <c r="E537" s="1006"/>
    </row>
    <row r="538">
      <c r="E538" s="1006"/>
    </row>
    <row r="539">
      <c r="E539" s="1006"/>
    </row>
    <row r="540">
      <c r="E540" s="1006"/>
    </row>
    <row r="541">
      <c r="E541" s="1006"/>
    </row>
    <row r="542">
      <c r="E542" s="1006"/>
    </row>
    <row r="543">
      <c r="E543" s="1006"/>
    </row>
    <row r="544">
      <c r="E544" s="1006"/>
    </row>
    <row r="545">
      <c r="E545" s="1006"/>
    </row>
    <row r="546">
      <c r="E546" s="1006"/>
    </row>
    <row r="547">
      <c r="E547" s="1006"/>
    </row>
    <row r="548">
      <c r="E548" s="1006"/>
    </row>
    <row r="549">
      <c r="E549" s="1006"/>
    </row>
    <row r="550">
      <c r="E550" s="1006"/>
    </row>
    <row r="551">
      <c r="E551" s="1006"/>
    </row>
    <row r="552">
      <c r="E552" s="1006"/>
    </row>
    <row r="553">
      <c r="E553" s="1006"/>
    </row>
    <row r="554">
      <c r="E554" s="1006"/>
    </row>
    <row r="555">
      <c r="E555" s="1006"/>
    </row>
    <row r="556">
      <c r="E556" s="1006"/>
    </row>
    <row r="557">
      <c r="E557" s="1006"/>
    </row>
    <row r="558">
      <c r="E558" s="1006"/>
    </row>
    <row r="559">
      <c r="E559" s="1006"/>
    </row>
    <row r="560">
      <c r="E560" s="1006"/>
    </row>
    <row r="561">
      <c r="E561" s="1006"/>
    </row>
    <row r="562">
      <c r="E562" s="1006"/>
    </row>
    <row r="563">
      <c r="E563" s="1006"/>
    </row>
    <row r="564">
      <c r="E564" s="1006"/>
    </row>
    <row r="565">
      <c r="E565" s="1006"/>
    </row>
    <row r="566">
      <c r="E566" s="1006"/>
    </row>
    <row r="567">
      <c r="E567" s="1006"/>
    </row>
    <row r="568">
      <c r="E568" s="1006"/>
    </row>
    <row r="569">
      <c r="E569" s="1006"/>
    </row>
    <row r="570">
      <c r="E570" s="1006"/>
    </row>
    <row r="571">
      <c r="E571" s="1006"/>
    </row>
    <row r="572">
      <c r="E572" s="1006"/>
    </row>
    <row r="573">
      <c r="E573" s="1006"/>
    </row>
    <row r="574">
      <c r="E574" s="1006"/>
    </row>
    <row r="575">
      <c r="E575" s="1006"/>
    </row>
    <row r="576">
      <c r="E576" s="1006"/>
    </row>
    <row r="577">
      <c r="E577" s="1006"/>
    </row>
    <row r="578">
      <c r="E578" s="1006"/>
    </row>
    <row r="579">
      <c r="E579" s="1006"/>
    </row>
    <row r="580">
      <c r="E580" s="1006"/>
    </row>
    <row r="581">
      <c r="E581" s="1006"/>
    </row>
    <row r="582">
      <c r="E582" s="1006"/>
    </row>
    <row r="583">
      <c r="E583" s="1006"/>
    </row>
    <row r="584">
      <c r="E584" s="1006"/>
    </row>
    <row r="585">
      <c r="E585" s="1006"/>
    </row>
    <row r="586">
      <c r="E586" s="1006"/>
    </row>
    <row r="587">
      <c r="E587" s="1006"/>
    </row>
    <row r="588">
      <c r="E588" s="1006"/>
    </row>
    <row r="589">
      <c r="E589" s="1006"/>
    </row>
    <row r="590">
      <c r="E590" s="1006"/>
    </row>
    <row r="591">
      <c r="E591" s="1006"/>
    </row>
    <row r="592">
      <c r="E592" s="1006"/>
    </row>
    <row r="593">
      <c r="E593" s="1006"/>
    </row>
    <row r="594">
      <c r="E594" s="1006"/>
    </row>
    <row r="595">
      <c r="E595" s="1006"/>
    </row>
    <row r="596">
      <c r="E596" s="1006"/>
    </row>
    <row r="597">
      <c r="E597" s="1006"/>
    </row>
    <row r="598">
      <c r="E598" s="1006"/>
    </row>
    <row r="599">
      <c r="E599" s="1006"/>
    </row>
    <row r="600">
      <c r="E600" s="1006"/>
    </row>
    <row r="601">
      <c r="E601" s="1006"/>
    </row>
    <row r="602">
      <c r="E602" s="1006"/>
    </row>
    <row r="603">
      <c r="E603" s="1006"/>
    </row>
    <row r="604">
      <c r="E604" s="1006"/>
    </row>
    <row r="605">
      <c r="E605" s="1006"/>
    </row>
    <row r="606">
      <c r="E606" s="1006"/>
    </row>
    <row r="607">
      <c r="E607" s="1006"/>
    </row>
    <row r="608">
      <c r="E608" s="1006"/>
    </row>
    <row r="609">
      <c r="E609" s="1006"/>
    </row>
    <row r="610">
      <c r="E610" s="1006"/>
    </row>
    <row r="611">
      <c r="E611" s="1006"/>
    </row>
    <row r="612">
      <c r="E612" s="1006"/>
    </row>
    <row r="613">
      <c r="E613" s="1006"/>
    </row>
    <row r="614">
      <c r="E614" s="1006"/>
    </row>
    <row r="615">
      <c r="E615" s="1006"/>
    </row>
    <row r="616">
      <c r="E616" s="1006"/>
    </row>
    <row r="617">
      <c r="E617" s="1006"/>
    </row>
    <row r="618">
      <c r="E618" s="1006"/>
    </row>
    <row r="619">
      <c r="E619" s="1006"/>
    </row>
    <row r="620">
      <c r="E620" s="1006"/>
    </row>
    <row r="621">
      <c r="E621" s="1006"/>
    </row>
    <row r="622">
      <c r="E622" s="1006"/>
    </row>
    <row r="623">
      <c r="E623" s="1006"/>
    </row>
    <row r="624">
      <c r="E624" s="1006"/>
    </row>
    <row r="625">
      <c r="E625" s="1006"/>
    </row>
    <row r="626">
      <c r="E626" s="1006"/>
    </row>
    <row r="627">
      <c r="E627" s="1006"/>
    </row>
    <row r="628">
      <c r="E628" s="1006"/>
    </row>
    <row r="629">
      <c r="E629" s="1006"/>
    </row>
    <row r="630">
      <c r="E630" s="1006"/>
    </row>
    <row r="631">
      <c r="E631" s="1006"/>
    </row>
    <row r="632">
      <c r="E632" s="1006"/>
    </row>
    <row r="633">
      <c r="E633" s="1006"/>
    </row>
    <row r="634">
      <c r="E634" s="1006"/>
    </row>
    <row r="635">
      <c r="E635" s="1006"/>
    </row>
    <row r="636">
      <c r="E636" s="1006"/>
    </row>
    <row r="637">
      <c r="E637" s="1006"/>
    </row>
    <row r="638">
      <c r="E638" s="1006"/>
    </row>
    <row r="639">
      <c r="E639" s="1006"/>
    </row>
    <row r="640">
      <c r="E640" s="1006"/>
    </row>
    <row r="641">
      <c r="E641" s="1006"/>
    </row>
    <row r="642">
      <c r="E642" s="1006"/>
    </row>
    <row r="643">
      <c r="E643" s="1006"/>
    </row>
    <row r="644">
      <c r="E644" s="1006"/>
    </row>
    <row r="645">
      <c r="E645" s="1006"/>
    </row>
    <row r="646">
      <c r="E646" s="1006"/>
    </row>
    <row r="647">
      <c r="E647" s="1006"/>
    </row>
    <row r="648">
      <c r="E648" s="1006"/>
    </row>
    <row r="649">
      <c r="E649" s="1006"/>
    </row>
    <row r="650">
      <c r="E650" s="1006"/>
    </row>
    <row r="651">
      <c r="E651" s="1006"/>
    </row>
    <row r="652">
      <c r="E652" s="1006"/>
    </row>
    <row r="653">
      <c r="E653" s="1006"/>
    </row>
    <row r="654">
      <c r="E654" s="1006"/>
    </row>
    <row r="655">
      <c r="E655" s="1006"/>
    </row>
    <row r="656">
      <c r="E656" s="1006"/>
    </row>
    <row r="657">
      <c r="E657" s="1006"/>
    </row>
    <row r="658">
      <c r="E658" s="1006"/>
    </row>
    <row r="659">
      <c r="E659" s="1006"/>
    </row>
    <row r="660">
      <c r="E660" s="1006"/>
    </row>
    <row r="661">
      <c r="E661" s="1006"/>
    </row>
    <row r="662">
      <c r="E662" s="1006"/>
    </row>
    <row r="663">
      <c r="E663" s="1006"/>
    </row>
    <row r="664">
      <c r="E664" s="1006"/>
    </row>
    <row r="665">
      <c r="E665" s="1006"/>
    </row>
    <row r="666">
      <c r="E666" s="1006"/>
    </row>
    <row r="667">
      <c r="E667" s="1006"/>
    </row>
    <row r="668">
      <c r="E668" s="1006"/>
    </row>
    <row r="669">
      <c r="E669" s="1006"/>
    </row>
    <row r="670">
      <c r="E670" s="1006"/>
    </row>
    <row r="671">
      <c r="E671" s="1006"/>
    </row>
    <row r="672">
      <c r="E672" s="1006"/>
    </row>
    <row r="673">
      <c r="E673" s="1006"/>
    </row>
    <row r="674">
      <c r="E674" s="1006"/>
    </row>
    <row r="675">
      <c r="E675" s="1006"/>
    </row>
    <row r="676">
      <c r="E676" s="1006"/>
    </row>
    <row r="677">
      <c r="E677" s="1006"/>
    </row>
    <row r="678">
      <c r="E678" s="1006"/>
    </row>
    <row r="679">
      <c r="E679" s="1006"/>
    </row>
    <row r="680">
      <c r="E680" s="1006"/>
    </row>
    <row r="681">
      <c r="E681" s="1006"/>
    </row>
    <row r="682">
      <c r="E682" s="1006"/>
    </row>
    <row r="683">
      <c r="E683" s="1006"/>
    </row>
    <row r="684">
      <c r="E684" s="1006"/>
    </row>
    <row r="685">
      <c r="E685" s="1006"/>
    </row>
    <row r="686">
      <c r="E686" s="1006"/>
    </row>
    <row r="687">
      <c r="E687" s="1006"/>
    </row>
    <row r="688">
      <c r="E688" s="1006"/>
    </row>
    <row r="689">
      <c r="E689" s="1006"/>
    </row>
    <row r="690">
      <c r="E690" s="1006"/>
    </row>
    <row r="691">
      <c r="E691" s="1006"/>
    </row>
    <row r="692">
      <c r="E692" s="1006"/>
    </row>
    <row r="693">
      <c r="E693" s="1006"/>
    </row>
    <row r="694">
      <c r="E694" s="1006"/>
    </row>
    <row r="695">
      <c r="E695" s="1006"/>
    </row>
    <row r="696">
      <c r="E696" s="1006"/>
    </row>
    <row r="697">
      <c r="E697" s="1006"/>
    </row>
    <row r="698">
      <c r="E698" s="1006"/>
    </row>
    <row r="699">
      <c r="E699" s="1006"/>
    </row>
    <row r="700">
      <c r="E700" s="1006"/>
    </row>
    <row r="701">
      <c r="E701" s="1006"/>
    </row>
    <row r="702">
      <c r="E702" s="1006"/>
    </row>
    <row r="703">
      <c r="E703" s="1006"/>
    </row>
    <row r="704">
      <c r="E704" s="1006"/>
    </row>
    <row r="705">
      <c r="E705" s="1006"/>
    </row>
    <row r="706">
      <c r="E706" s="1006"/>
    </row>
    <row r="707">
      <c r="E707" s="1006"/>
    </row>
    <row r="708">
      <c r="E708" s="1006"/>
    </row>
    <row r="709">
      <c r="E709" s="1006"/>
    </row>
    <row r="710">
      <c r="E710" s="1006"/>
    </row>
    <row r="711">
      <c r="E711" s="1006"/>
    </row>
    <row r="712">
      <c r="E712" s="1006"/>
    </row>
    <row r="713">
      <c r="E713" s="1006"/>
    </row>
    <row r="714">
      <c r="E714" s="1006"/>
    </row>
    <row r="715">
      <c r="E715" s="1006"/>
    </row>
    <row r="716">
      <c r="E716" s="1006"/>
    </row>
    <row r="717">
      <c r="E717" s="1006"/>
    </row>
    <row r="718">
      <c r="E718" s="1006"/>
    </row>
    <row r="719">
      <c r="E719" s="1006"/>
    </row>
    <row r="720">
      <c r="E720" s="1006"/>
    </row>
    <row r="721">
      <c r="E721" s="1006"/>
    </row>
    <row r="722">
      <c r="E722" s="1006"/>
    </row>
    <row r="723">
      <c r="E723" s="1006"/>
    </row>
    <row r="724">
      <c r="E724" s="1006"/>
    </row>
    <row r="725">
      <c r="E725" s="1006"/>
    </row>
    <row r="726">
      <c r="E726" s="1006"/>
    </row>
    <row r="727">
      <c r="E727" s="1006"/>
    </row>
    <row r="728">
      <c r="E728" s="1006"/>
    </row>
    <row r="729">
      <c r="E729" s="1006"/>
    </row>
    <row r="730">
      <c r="E730" s="1006"/>
    </row>
    <row r="731">
      <c r="E731" s="1006"/>
    </row>
    <row r="732">
      <c r="E732" s="1006"/>
    </row>
    <row r="733">
      <c r="E733" s="1006"/>
    </row>
    <row r="734">
      <c r="E734" s="1006"/>
    </row>
    <row r="735">
      <c r="E735" s="1006"/>
    </row>
    <row r="736">
      <c r="E736" s="1006"/>
    </row>
    <row r="737">
      <c r="E737" s="1006"/>
    </row>
    <row r="738">
      <c r="E738" s="1006"/>
    </row>
    <row r="739">
      <c r="E739" s="1006"/>
    </row>
    <row r="740">
      <c r="E740" s="1006"/>
    </row>
    <row r="741">
      <c r="E741" s="1006"/>
    </row>
    <row r="742">
      <c r="E742" s="1006"/>
    </row>
    <row r="743">
      <c r="E743" s="1006"/>
    </row>
    <row r="744">
      <c r="E744" s="1006"/>
    </row>
    <row r="745">
      <c r="E745" s="1006"/>
    </row>
    <row r="746">
      <c r="E746" s="1006"/>
    </row>
    <row r="747">
      <c r="E747" s="1006"/>
    </row>
    <row r="748">
      <c r="E748" s="1006"/>
    </row>
    <row r="749">
      <c r="E749" s="1006"/>
    </row>
    <row r="750">
      <c r="E750" s="1006"/>
    </row>
    <row r="751">
      <c r="E751" s="1006"/>
    </row>
    <row r="752">
      <c r="E752" s="1006"/>
    </row>
    <row r="753">
      <c r="E753" s="1006"/>
    </row>
    <row r="754">
      <c r="E754" s="1006"/>
    </row>
    <row r="755">
      <c r="E755" s="1006"/>
    </row>
    <row r="756">
      <c r="E756" s="1006"/>
    </row>
    <row r="757">
      <c r="E757" s="1006"/>
    </row>
    <row r="758">
      <c r="E758" s="1006"/>
    </row>
    <row r="759">
      <c r="E759" s="1006"/>
    </row>
    <row r="760">
      <c r="E760" s="1006"/>
    </row>
    <row r="761">
      <c r="E761" s="1006"/>
    </row>
    <row r="762">
      <c r="E762" s="1006"/>
    </row>
    <row r="763">
      <c r="E763" s="1006"/>
    </row>
    <row r="764">
      <c r="E764" s="1006"/>
    </row>
    <row r="765">
      <c r="E765" s="1006"/>
    </row>
    <row r="766">
      <c r="E766" s="1006"/>
    </row>
    <row r="767">
      <c r="E767" s="1006"/>
    </row>
    <row r="768">
      <c r="E768" s="1006"/>
    </row>
    <row r="769">
      <c r="E769" s="1006"/>
    </row>
    <row r="770">
      <c r="E770" s="1006"/>
    </row>
    <row r="771">
      <c r="E771" s="1006"/>
    </row>
    <row r="772">
      <c r="E772" s="1006"/>
    </row>
    <row r="773">
      <c r="E773" s="1006"/>
    </row>
    <row r="774">
      <c r="E774" s="1006"/>
    </row>
    <row r="775">
      <c r="E775" s="1006"/>
    </row>
    <row r="776">
      <c r="E776" s="1006"/>
    </row>
    <row r="777">
      <c r="E777" s="1006"/>
    </row>
    <row r="778">
      <c r="E778" s="1006"/>
    </row>
    <row r="779">
      <c r="E779" s="1006"/>
    </row>
    <row r="780">
      <c r="E780" s="1006"/>
    </row>
    <row r="781">
      <c r="E781" s="1006"/>
    </row>
    <row r="782">
      <c r="E782" s="1006"/>
    </row>
    <row r="783">
      <c r="E783" s="1006"/>
    </row>
    <row r="784">
      <c r="E784" s="1006"/>
    </row>
    <row r="785">
      <c r="E785" s="1006"/>
    </row>
    <row r="786">
      <c r="E786" s="1006"/>
    </row>
    <row r="787">
      <c r="E787" s="1006"/>
    </row>
    <row r="788">
      <c r="E788" s="1006"/>
    </row>
    <row r="789">
      <c r="E789" s="1006"/>
    </row>
    <row r="790">
      <c r="E790" s="1006"/>
    </row>
    <row r="791">
      <c r="E791" s="1006"/>
    </row>
    <row r="792">
      <c r="E792" s="1006"/>
    </row>
    <row r="793">
      <c r="E793" s="1006"/>
    </row>
    <row r="794">
      <c r="E794" s="1006"/>
    </row>
    <row r="795">
      <c r="E795" s="1006"/>
    </row>
    <row r="796">
      <c r="E796" s="1006"/>
    </row>
    <row r="797">
      <c r="E797" s="1006"/>
    </row>
    <row r="798">
      <c r="E798" s="1006"/>
    </row>
    <row r="799">
      <c r="E799" s="1006"/>
    </row>
    <row r="800">
      <c r="E800" s="1006"/>
    </row>
    <row r="801">
      <c r="E801" s="1006"/>
    </row>
    <row r="802">
      <c r="E802" s="1006"/>
    </row>
    <row r="803">
      <c r="E803" s="1006"/>
    </row>
    <row r="804">
      <c r="E804" s="1006"/>
    </row>
    <row r="805">
      <c r="E805" s="1006"/>
    </row>
    <row r="806">
      <c r="E806" s="1006"/>
    </row>
    <row r="807">
      <c r="E807" s="1006"/>
    </row>
    <row r="808">
      <c r="E808" s="1006"/>
    </row>
    <row r="809">
      <c r="E809" s="1006"/>
    </row>
    <row r="810">
      <c r="E810" s="1006"/>
    </row>
    <row r="811">
      <c r="E811" s="1006"/>
    </row>
    <row r="812">
      <c r="E812" s="1006"/>
    </row>
    <row r="813">
      <c r="E813" s="1006"/>
    </row>
    <row r="814">
      <c r="E814" s="1006"/>
    </row>
    <row r="815">
      <c r="E815" s="1006"/>
    </row>
    <row r="816">
      <c r="E816" s="1006"/>
    </row>
    <row r="817">
      <c r="E817" s="1006"/>
    </row>
    <row r="818">
      <c r="E818" s="1006"/>
    </row>
    <row r="819">
      <c r="E819" s="1006"/>
    </row>
    <row r="820">
      <c r="E820" s="1006"/>
    </row>
    <row r="821">
      <c r="E821" s="1006"/>
    </row>
    <row r="822">
      <c r="E822" s="1006"/>
    </row>
    <row r="823">
      <c r="E823" s="1006"/>
    </row>
    <row r="824">
      <c r="E824" s="1006"/>
    </row>
    <row r="825">
      <c r="E825" s="1006"/>
    </row>
    <row r="826">
      <c r="E826" s="1006"/>
    </row>
    <row r="827">
      <c r="E827" s="1006"/>
    </row>
    <row r="828">
      <c r="E828" s="1006"/>
    </row>
    <row r="829">
      <c r="E829" s="1006"/>
    </row>
    <row r="830">
      <c r="E830" s="1006"/>
    </row>
    <row r="831">
      <c r="E831" s="1006"/>
    </row>
    <row r="832">
      <c r="E832" s="1006"/>
    </row>
    <row r="833">
      <c r="E833" s="1006"/>
    </row>
    <row r="834">
      <c r="E834" s="1006"/>
    </row>
    <row r="835">
      <c r="E835" s="1006"/>
    </row>
    <row r="836">
      <c r="E836" s="1006"/>
    </row>
    <row r="837">
      <c r="E837" s="1006"/>
    </row>
    <row r="838">
      <c r="E838" s="1006"/>
    </row>
    <row r="839">
      <c r="E839" s="1006"/>
    </row>
    <row r="840">
      <c r="E840" s="1006"/>
    </row>
    <row r="841">
      <c r="E841" s="1006"/>
    </row>
    <row r="842">
      <c r="E842" s="1006"/>
    </row>
    <row r="843">
      <c r="E843" s="1006"/>
    </row>
    <row r="844">
      <c r="E844" s="1006"/>
    </row>
    <row r="845">
      <c r="E845" s="1006"/>
    </row>
    <row r="846">
      <c r="E846" s="1006"/>
    </row>
    <row r="847">
      <c r="E847" s="1006"/>
    </row>
    <row r="848">
      <c r="E848" s="1006"/>
    </row>
    <row r="849">
      <c r="E849" s="1006"/>
    </row>
    <row r="850">
      <c r="E850" s="1006"/>
    </row>
    <row r="851">
      <c r="E851" s="1006"/>
    </row>
    <row r="852">
      <c r="E852" s="1006"/>
    </row>
    <row r="853">
      <c r="E853" s="1006"/>
    </row>
    <row r="854">
      <c r="E854" s="1006"/>
    </row>
    <row r="855">
      <c r="E855" s="1006"/>
    </row>
    <row r="856">
      <c r="E856" s="1006"/>
    </row>
    <row r="857">
      <c r="E857" s="1006"/>
    </row>
    <row r="858">
      <c r="E858" s="1006"/>
    </row>
    <row r="859">
      <c r="E859" s="1006"/>
    </row>
    <row r="860">
      <c r="E860" s="1006"/>
    </row>
    <row r="861">
      <c r="E861" s="1006"/>
    </row>
    <row r="862">
      <c r="E862" s="1006"/>
    </row>
    <row r="863">
      <c r="E863" s="1006"/>
    </row>
    <row r="864">
      <c r="E864" s="1006"/>
    </row>
    <row r="865">
      <c r="E865" s="1006"/>
    </row>
    <row r="866">
      <c r="E866" s="1006"/>
    </row>
    <row r="867">
      <c r="E867" s="1006"/>
    </row>
    <row r="868">
      <c r="E868" s="1006"/>
    </row>
    <row r="869">
      <c r="E869" s="1006"/>
    </row>
    <row r="870">
      <c r="E870" s="1006"/>
    </row>
    <row r="871">
      <c r="E871" s="1006"/>
    </row>
    <row r="872">
      <c r="E872" s="1006"/>
    </row>
    <row r="873">
      <c r="E873" s="1006"/>
    </row>
    <row r="874">
      <c r="E874" s="1006"/>
    </row>
    <row r="875">
      <c r="E875" s="1006"/>
    </row>
    <row r="876">
      <c r="E876" s="1006"/>
    </row>
    <row r="877">
      <c r="E877" s="1006"/>
    </row>
    <row r="878">
      <c r="E878" s="1006"/>
    </row>
    <row r="879">
      <c r="E879" s="1006"/>
    </row>
    <row r="880">
      <c r="E880" s="1006"/>
    </row>
    <row r="881">
      <c r="E881" s="1006"/>
    </row>
    <row r="882">
      <c r="E882" s="1006"/>
    </row>
    <row r="883">
      <c r="E883" s="1006"/>
    </row>
    <row r="884">
      <c r="E884" s="1006"/>
    </row>
    <row r="885">
      <c r="E885" s="1006"/>
    </row>
    <row r="886">
      <c r="E886" s="1006"/>
    </row>
    <row r="887">
      <c r="E887" s="1006"/>
    </row>
    <row r="888">
      <c r="E888" s="1006"/>
    </row>
    <row r="889">
      <c r="E889" s="1006"/>
    </row>
    <row r="890">
      <c r="E890" s="1006"/>
    </row>
    <row r="891">
      <c r="E891" s="1006"/>
    </row>
    <row r="892">
      <c r="E892" s="1006"/>
    </row>
    <row r="893">
      <c r="E893" s="1006"/>
    </row>
    <row r="894">
      <c r="E894" s="1006"/>
    </row>
    <row r="895">
      <c r="E895" s="1006"/>
    </row>
    <row r="896">
      <c r="E896" s="1006"/>
    </row>
    <row r="897">
      <c r="E897" s="1006"/>
    </row>
    <row r="898">
      <c r="E898" s="1006"/>
    </row>
    <row r="899">
      <c r="E899" s="1006"/>
    </row>
    <row r="900">
      <c r="E900" s="1006"/>
    </row>
    <row r="901">
      <c r="E901" s="1006"/>
    </row>
    <row r="902">
      <c r="E902" s="1006"/>
    </row>
    <row r="903">
      <c r="E903" s="1006"/>
    </row>
    <row r="904">
      <c r="E904" s="1006"/>
    </row>
    <row r="905">
      <c r="E905" s="1006"/>
    </row>
    <row r="906">
      <c r="E906" s="1006"/>
    </row>
    <row r="907">
      <c r="E907" s="1006"/>
    </row>
    <row r="908">
      <c r="E908" s="1006"/>
    </row>
    <row r="909">
      <c r="E909" s="1006"/>
    </row>
    <row r="910">
      <c r="E910" s="1006"/>
    </row>
    <row r="911">
      <c r="E911" s="1006"/>
    </row>
    <row r="912">
      <c r="E912" s="1006"/>
    </row>
    <row r="913">
      <c r="E913" s="1006"/>
    </row>
    <row r="914">
      <c r="E914" s="1006"/>
    </row>
    <row r="915">
      <c r="E915" s="1006"/>
    </row>
    <row r="916">
      <c r="E916" s="1006"/>
    </row>
    <row r="917">
      <c r="E917" s="1006"/>
    </row>
    <row r="918">
      <c r="E918" s="1006"/>
    </row>
    <row r="919">
      <c r="E919" s="1006"/>
    </row>
    <row r="920">
      <c r="E920" s="1006"/>
    </row>
    <row r="921">
      <c r="E921" s="1006"/>
    </row>
    <row r="922">
      <c r="E922" s="1006"/>
    </row>
    <row r="923">
      <c r="E923" s="1006"/>
    </row>
    <row r="924">
      <c r="E924" s="1006"/>
    </row>
    <row r="925">
      <c r="E925" s="1006"/>
    </row>
    <row r="926">
      <c r="E926" s="1006"/>
    </row>
    <row r="927">
      <c r="E927" s="1006"/>
    </row>
    <row r="928">
      <c r="E928" s="1006"/>
    </row>
    <row r="929">
      <c r="E929" s="1006"/>
    </row>
    <row r="930">
      <c r="E930" s="1006"/>
    </row>
    <row r="931">
      <c r="E931" s="1006"/>
    </row>
    <row r="932">
      <c r="E932" s="1006"/>
    </row>
    <row r="933">
      <c r="E933" s="1006"/>
    </row>
    <row r="934">
      <c r="E934" s="1006"/>
    </row>
    <row r="935">
      <c r="E935" s="1006"/>
    </row>
    <row r="936">
      <c r="E936" s="1006"/>
    </row>
    <row r="937">
      <c r="E937" s="1006"/>
    </row>
    <row r="938">
      <c r="E938" s="1006"/>
    </row>
    <row r="939">
      <c r="E939" s="1006"/>
    </row>
    <row r="940">
      <c r="E940" s="1006"/>
    </row>
    <row r="941">
      <c r="E941" s="1006"/>
    </row>
    <row r="942">
      <c r="E942" s="1006"/>
    </row>
    <row r="943">
      <c r="E943" s="1006"/>
    </row>
    <row r="944">
      <c r="E944" s="1006"/>
    </row>
    <row r="945">
      <c r="E945" s="1006"/>
    </row>
    <row r="946">
      <c r="E946" s="1006"/>
    </row>
    <row r="947">
      <c r="E947" s="1006"/>
    </row>
    <row r="948">
      <c r="E948" s="1006"/>
    </row>
    <row r="949">
      <c r="E949" s="1006"/>
    </row>
    <row r="950">
      <c r="E950" s="1006"/>
    </row>
    <row r="951">
      <c r="E951" s="1006"/>
    </row>
    <row r="952">
      <c r="E952" s="1006"/>
    </row>
    <row r="953">
      <c r="E953" s="1006"/>
    </row>
    <row r="954">
      <c r="E954" s="1006"/>
    </row>
    <row r="955">
      <c r="E955" s="1006"/>
    </row>
    <row r="956">
      <c r="E956" s="1006"/>
    </row>
    <row r="957">
      <c r="E957" s="1006"/>
    </row>
    <row r="958">
      <c r="E958" s="1006"/>
    </row>
    <row r="959">
      <c r="E959" s="1006"/>
    </row>
    <row r="960">
      <c r="E960" s="1006"/>
    </row>
    <row r="961">
      <c r="E961" s="1006"/>
    </row>
    <row r="962">
      <c r="E962" s="1006"/>
    </row>
    <row r="963">
      <c r="E963" s="1006"/>
    </row>
    <row r="964">
      <c r="E964" s="1006"/>
    </row>
    <row r="965">
      <c r="E965" s="1006"/>
    </row>
    <row r="966">
      <c r="E966" s="1006"/>
    </row>
    <row r="967">
      <c r="E967" s="1006"/>
    </row>
    <row r="968">
      <c r="E968" s="1006"/>
    </row>
    <row r="969">
      <c r="E969" s="1006"/>
    </row>
    <row r="970">
      <c r="E970" s="1006"/>
    </row>
    <row r="971">
      <c r="E971" s="1006"/>
    </row>
    <row r="972">
      <c r="E972" s="1006"/>
    </row>
    <row r="973">
      <c r="E973" s="1006"/>
    </row>
    <row r="974">
      <c r="E974" s="1006"/>
    </row>
    <row r="975">
      <c r="E975" s="1006"/>
    </row>
    <row r="976">
      <c r="E976" s="1006"/>
    </row>
    <row r="977">
      <c r="E977" s="1006"/>
    </row>
    <row r="978">
      <c r="E978" s="1006"/>
    </row>
    <row r="979">
      <c r="E979" s="1006"/>
    </row>
    <row r="980">
      <c r="E980" s="1006"/>
    </row>
    <row r="981">
      <c r="E981" s="1006"/>
    </row>
    <row r="982">
      <c r="E982" s="1006"/>
    </row>
    <row r="983">
      <c r="E983" s="1006"/>
    </row>
    <row r="984">
      <c r="E984" s="1006"/>
    </row>
    <row r="985">
      <c r="E985" s="1006"/>
    </row>
    <row r="986">
      <c r="E986" s="1006"/>
    </row>
    <row r="987">
      <c r="E987" s="1006"/>
    </row>
    <row r="988">
      <c r="E988" s="1006"/>
    </row>
    <row r="989">
      <c r="E989" s="1006"/>
    </row>
    <row r="990">
      <c r="E990" s="1006"/>
    </row>
    <row r="991">
      <c r="E991" s="1006"/>
    </row>
    <row r="992">
      <c r="E992" s="1006"/>
    </row>
    <row r="993">
      <c r="E993" s="1006"/>
    </row>
    <row r="994">
      <c r="E994" s="1006"/>
    </row>
    <row r="995">
      <c r="E995" s="1006"/>
    </row>
    <row r="996">
      <c r="E996" s="1006"/>
    </row>
    <row r="997">
      <c r="E997" s="1006"/>
    </row>
    <row r="998">
      <c r="E998" s="1006"/>
    </row>
    <row r="999">
      <c r="E999" s="1006"/>
    </row>
    <row r="1000">
      <c r="E1000" s="1006"/>
    </row>
    <row r="1001">
      <c r="E1001" s="1006"/>
    </row>
    <row r="1002">
      <c r="E1002" s="1006"/>
    </row>
    <row r="1003">
      <c r="E1003" s="1006"/>
    </row>
    <row r="1004">
      <c r="E1004" s="1006"/>
    </row>
    <row r="1005">
      <c r="E1005" s="1006"/>
    </row>
    <row r="1006">
      <c r="E1006" s="1006"/>
    </row>
    <row r="1007">
      <c r="E1007" s="1006"/>
    </row>
    <row r="1008">
      <c r="E1008" s="1006"/>
    </row>
    <row r="1009">
      <c r="E1009" s="1006"/>
    </row>
    <row r="1010">
      <c r="E1010" s="1006"/>
    </row>
    <row r="1011">
      <c r="E1011" s="1006"/>
    </row>
    <row r="1012">
      <c r="E1012" s="1006"/>
    </row>
    <row r="1013">
      <c r="E1013" s="1006"/>
    </row>
    <row r="1014">
      <c r="E1014" s="1006"/>
    </row>
    <row r="1015">
      <c r="E1015" s="1006"/>
    </row>
    <row r="1016">
      <c r="E1016" s="1006"/>
    </row>
    <row r="1017">
      <c r="E1017" s="1006"/>
    </row>
    <row r="1018">
      <c r="E1018" s="1006"/>
    </row>
    <row r="1019">
      <c r="E1019" s="1006"/>
    </row>
    <row r="1020">
      <c r="E1020" s="1006"/>
    </row>
    <row r="1021">
      <c r="E1021" s="1006"/>
    </row>
    <row r="1022">
      <c r="E1022" s="1006"/>
    </row>
    <row r="1023">
      <c r="E1023" s="1006"/>
    </row>
    <row r="1024">
      <c r="E1024" s="1006"/>
    </row>
    <row r="1025">
      <c r="E1025" s="1006"/>
    </row>
    <row r="1026">
      <c r="E1026" s="1006"/>
    </row>
    <row r="1027">
      <c r="E1027" s="1006"/>
    </row>
    <row r="1028">
      <c r="E1028" s="1006"/>
    </row>
    <row r="1029">
      <c r="E1029" s="1006"/>
    </row>
    <row r="1030">
      <c r="E1030" s="1006"/>
    </row>
    <row r="1031">
      <c r="E1031" s="1006"/>
    </row>
    <row r="1032">
      <c r="E1032" s="1006"/>
    </row>
    <row r="1033">
      <c r="E1033" s="1006"/>
    </row>
    <row r="1034">
      <c r="E1034" s="1006"/>
    </row>
  </sheetData>
  <mergeCells count="1">
    <mergeCell ref="B56:C5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14"/>
    <col customWidth="1" min="2" max="2" width="19.29"/>
    <col customWidth="1" min="3" max="3" width="54.29"/>
    <col customWidth="1" min="4" max="4" width="18.14"/>
    <col customWidth="1" min="5" max="5" width="12.71"/>
    <col customWidth="1" min="6" max="7" width="10.71"/>
    <col customWidth="1" min="8" max="8" width="19.14"/>
    <col customWidth="1" min="9" max="9" width="24.14"/>
    <col customWidth="1" min="10" max="27" width="10.71"/>
  </cols>
  <sheetData>
    <row r="1">
      <c r="B1" s="974" t="s">
        <v>1531</v>
      </c>
      <c r="C1" s="178"/>
      <c r="D1" s="178"/>
      <c r="E1" s="178"/>
      <c r="F1" s="178"/>
      <c r="G1" s="178"/>
      <c r="H1" s="179"/>
    </row>
    <row r="2">
      <c r="B2" s="1055" t="s">
        <v>435</v>
      </c>
      <c r="C2" s="1055" t="s">
        <v>283</v>
      </c>
      <c r="D2" s="1056" t="s">
        <v>1532</v>
      </c>
      <c r="E2" s="1056" t="s">
        <v>285</v>
      </c>
      <c r="F2" s="1056" t="s">
        <v>286</v>
      </c>
      <c r="G2" s="1057" t="s">
        <v>287</v>
      </c>
      <c r="H2" s="1058" t="s">
        <v>288</v>
      </c>
    </row>
    <row r="3">
      <c r="B3" s="1059" t="s">
        <v>1533</v>
      </c>
      <c r="C3" s="182"/>
      <c r="D3" s="182"/>
      <c r="E3" s="182"/>
      <c r="F3" s="182"/>
      <c r="G3" s="182"/>
      <c r="H3" s="183"/>
    </row>
    <row r="4">
      <c r="B4" s="1060" t="s">
        <v>1534</v>
      </c>
      <c r="C4" s="1061" t="s">
        <v>1535</v>
      </c>
      <c r="D4" s="1062">
        <v>13.92</v>
      </c>
      <c r="E4" s="1063">
        <v>0.15</v>
      </c>
      <c r="F4" s="1062">
        <f t="shared" ref="F4:F23" si="1">G4-D4</f>
        <v>2.088</v>
      </c>
      <c r="G4" s="1062">
        <f t="shared" ref="G4:G23" si="2">D4*E4+D4</f>
        <v>16.008</v>
      </c>
      <c r="H4" s="1064">
        <f t="shared" ref="H4:H23" si="3">G4*1.22</f>
        <v>19.52976</v>
      </c>
    </row>
    <row r="5">
      <c r="B5" s="728" t="s">
        <v>1536</v>
      </c>
      <c r="C5" s="726" t="s">
        <v>1537</v>
      </c>
      <c r="D5" s="403">
        <v>11.24</v>
      </c>
      <c r="E5" s="1065">
        <v>0.15</v>
      </c>
      <c r="F5" s="403">
        <f t="shared" si="1"/>
        <v>1.686</v>
      </c>
      <c r="G5" s="403">
        <f t="shared" si="2"/>
        <v>12.926</v>
      </c>
      <c r="H5" s="313">
        <f t="shared" si="3"/>
        <v>15.76972</v>
      </c>
    </row>
    <row r="6">
      <c r="B6" s="1066" t="s">
        <v>1538</v>
      </c>
      <c r="C6" s="1067" t="s">
        <v>1539</v>
      </c>
      <c r="D6" s="1068">
        <v>10.34</v>
      </c>
      <c r="E6" s="1069">
        <v>0.15</v>
      </c>
      <c r="F6" s="1068">
        <f t="shared" si="1"/>
        <v>1.551</v>
      </c>
      <c r="G6" s="1068">
        <f t="shared" si="2"/>
        <v>11.891</v>
      </c>
      <c r="H6" s="1070">
        <f t="shared" si="3"/>
        <v>14.50702</v>
      </c>
    </row>
    <row r="7">
      <c r="B7" s="1060" t="s">
        <v>1540</v>
      </c>
      <c r="C7" s="1061" t="s">
        <v>1541</v>
      </c>
      <c r="D7" s="1062">
        <v>18.44</v>
      </c>
      <c r="E7" s="1063">
        <v>0.15</v>
      </c>
      <c r="F7" s="1062">
        <f t="shared" si="1"/>
        <v>2.766</v>
      </c>
      <c r="G7" s="1062">
        <f t="shared" si="2"/>
        <v>21.206</v>
      </c>
      <c r="H7" s="1064">
        <f t="shared" si="3"/>
        <v>25.87132</v>
      </c>
    </row>
    <row r="8">
      <c r="B8" s="728" t="s">
        <v>1542</v>
      </c>
      <c r="C8" s="726" t="s">
        <v>1543</v>
      </c>
      <c r="D8" s="403">
        <v>14.63</v>
      </c>
      <c r="E8" s="1065">
        <v>0.15</v>
      </c>
      <c r="F8" s="403">
        <f t="shared" si="1"/>
        <v>2.1945</v>
      </c>
      <c r="G8" s="403">
        <f t="shared" si="2"/>
        <v>16.8245</v>
      </c>
      <c r="H8" s="313">
        <f t="shared" si="3"/>
        <v>20.52589</v>
      </c>
    </row>
    <row r="9" hidden="1">
      <c r="B9" s="1066" t="s">
        <v>1544</v>
      </c>
      <c r="C9" s="1067" t="s">
        <v>1545</v>
      </c>
      <c r="D9" s="1068">
        <v>10.14</v>
      </c>
      <c r="E9" s="1069">
        <v>0.15</v>
      </c>
      <c r="F9" s="1068">
        <f t="shared" si="1"/>
        <v>1.521</v>
      </c>
      <c r="G9" s="1068">
        <f t="shared" si="2"/>
        <v>11.661</v>
      </c>
      <c r="H9" s="1070">
        <f t="shared" si="3"/>
        <v>14.22642</v>
      </c>
      <c r="I9" s="737"/>
    </row>
    <row r="10">
      <c r="B10" s="1060" t="s">
        <v>1546</v>
      </c>
      <c r="C10" s="1061" t="s">
        <v>1547</v>
      </c>
      <c r="D10" s="1062">
        <v>30.09</v>
      </c>
      <c r="E10" s="1063">
        <v>0.15</v>
      </c>
      <c r="F10" s="1062">
        <f t="shared" si="1"/>
        <v>4.5135</v>
      </c>
      <c r="G10" s="1062">
        <f t="shared" si="2"/>
        <v>34.6035</v>
      </c>
      <c r="H10" s="1064">
        <f t="shared" si="3"/>
        <v>42.21627</v>
      </c>
      <c r="I10" s="737" t="s">
        <v>1548</v>
      </c>
    </row>
    <row r="11">
      <c r="B11" s="728" t="s">
        <v>1549</v>
      </c>
      <c r="C11" s="726" t="s">
        <v>1550</v>
      </c>
      <c r="D11" s="403">
        <v>23.37</v>
      </c>
      <c r="E11" s="1065">
        <v>0.15</v>
      </c>
      <c r="F11" s="403">
        <f t="shared" si="1"/>
        <v>3.5055</v>
      </c>
      <c r="G11" s="403">
        <f t="shared" si="2"/>
        <v>26.8755</v>
      </c>
      <c r="H11" s="313">
        <f t="shared" si="3"/>
        <v>32.78811</v>
      </c>
      <c r="I11" s="737" t="s">
        <v>1548</v>
      </c>
    </row>
    <row r="12">
      <c r="B12" s="728" t="s">
        <v>1551</v>
      </c>
      <c r="C12" s="726" t="s">
        <v>1552</v>
      </c>
      <c r="D12" s="403">
        <v>13.92</v>
      </c>
      <c r="E12" s="1065">
        <v>0.15</v>
      </c>
      <c r="F12" s="403">
        <f t="shared" si="1"/>
        <v>2.088</v>
      </c>
      <c r="G12" s="403">
        <f t="shared" si="2"/>
        <v>16.008</v>
      </c>
      <c r="H12" s="313">
        <f t="shared" si="3"/>
        <v>19.52976</v>
      </c>
    </row>
    <row r="13">
      <c r="B13" s="728" t="s">
        <v>1553</v>
      </c>
      <c r="C13" s="726" t="s">
        <v>1554</v>
      </c>
      <c r="D13" s="403">
        <v>11.24</v>
      </c>
      <c r="E13" s="1065">
        <v>0.15</v>
      </c>
      <c r="F13" s="403">
        <f t="shared" si="1"/>
        <v>1.686</v>
      </c>
      <c r="G13" s="403">
        <f t="shared" si="2"/>
        <v>12.926</v>
      </c>
      <c r="H13" s="313">
        <f t="shared" si="3"/>
        <v>15.76972</v>
      </c>
    </row>
    <row r="14">
      <c r="B14" s="1066" t="s">
        <v>1555</v>
      </c>
      <c r="C14" s="1067" t="s">
        <v>1556</v>
      </c>
      <c r="D14" s="1068">
        <v>10.34</v>
      </c>
      <c r="E14" s="1069">
        <v>0.15</v>
      </c>
      <c r="F14" s="1068">
        <f t="shared" si="1"/>
        <v>1.551</v>
      </c>
      <c r="G14" s="1068">
        <f t="shared" si="2"/>
        <v>11.891</v>
      </c>
      <c r="H14" s="1070">
        <f t="shared" si="3"/>
        <v>14.50702</v>
      </c>
    </row>
    <row r="15">
      <c r="B15" s="1060" t="s">
        <v>1557</v>
      </c>
      <c r="C15" s="1061" t="s">
        <v>1558</v>
      </c>
      <c r="D15" s="1062">
        <v>18.44</v>
      </c>
      <c r="E15" s="1063">
        <v>0.15</v>
      </c>
      <c r="F15" s="1062">
        <f t="shared" si="1"/>
        <v>2.766</v>
      </c>
      <c r="G15" s="1062">
        <f t="shared" si="2"/>
        <v>21.206</v>
      </c>
      <c r="H15" s="1064">
        <f t="shared" si="3"/>
        <v>25.87132</v>
      </c>
    </row>
    <row r="16">
      <c r="B16" s="728" t="s">
        <v>1559</v>
      </c>
      <c r="C16" s="726" t="s">
        <v>1560</v>
      </c>
      <c r="D16" s="403">
        <v>14.63</v>
      </c>
      <c r="E16" s="1065">
        <v>0.15</v>
      </c>
      <c r="F16" s="403">
        <f t="shared" si="1"/>
        <v>2.1945</v>
      </c>
      <c r="G16" s="403">
        <f t="shared" si="2"/>
        <v>16.8245</v>
      </c>
      <c r="H16" s="313">
        <f t="shared" si="3"/>
        <v>20.52589</v>
      </c>
    </row>
    <row r="17">
      <c r="B17" s="1066" t="s">
        <v>1561</v>
      </c>
      <c r="C17" s="1067" t="s">
        <v>1562</v>
      </c>
      <c r="D17" s="1071"/>
      <c r="E17" s="1069">
        <v>0.15</v>
      </c>
      <c r="F17" s="1068">
        <f t="shared" si="1"/>
        <v>0</v>
      </c>
      <c r="G17" s="1068">
        <f t="shared" si="2"/>
        <v>0</v>
      </c>
      <c r="H17" s="1070">
        <f t="shared" si="3"/>
        <v>0</v>
      </c>
    </row>
    <row r="18">
      <c r="B18" s="1060" t="s">
        <v>1563</v>
      </c>
      <c r="C18" s="1061" t="s">
        <v>1564</v>
      </c>
      <c r="D18" s="1062">
        <v>18.44</v>
      </c>
      <c r="E18" s="1063">
        <v>0.15</v>
      </c>
      <c r="F18" s="1062">
        <f t="shared" si="1"/>
        <v>2.766</v>
      </c>
      <c r="G18" s="1062">
        <f t="shared" si="2"/>
        <v>21.206</v>
      </c>
      <c r="H18" s="1064">
        <f t="shared" si="3"/>
        <v>25.87132</v>
      </c>
    </row>
    <row r="19">
      <c r="B19" s="1066" t="s">
        <v>1565</v>
      </c>
      <c r="C19" s="1067" t="s">
        <v>1566</v>
      </c>
      <c r="D19" s="1068">
        <v>14.63</v>
      </c>
      <c r="E19" s="1069">
        <v>0.15</v>
      </c>
      <c r="F19" s="1068">
        <f t="shared" si="1"/>
        <v>2.1945</v>
      </c>
      <c r="G19" s="1068">
        <f t="shared" si="2"/>
        <v>16.8245</v>
      </c>
      <c r="H19" s="1070">
        <f t="shared" si="3"/>
        <v>20.52589</v>
      </c>
    </row>
    <row r="20">
      <c r="B20" s="1060" t="s">
        <v>1567</v>
      </c>
      <c r="C20" s="1061" t="s">
        <v>1568</v>
      </c>
      <c r="D20" s="1062">
        <v>7.38</v>
      </c>
      <c r="E20" s="1063">
        <v>0.15</v>
      </c>
      <c r="F20" s="1062">
        <f t="shared" si="1"/>
        <v>1.107</v>
      </c>
      <c r="G20" s="1062">
        <f t="shared" si="2"/>
        <v>8.487</v>
      </c>
      <c r="H20" s="1064">
        <f t="shared" si="3"/>
        <v>10.35414</v>
      </c>
    </row>
    <row r="21">
      <c r="B21" s="1066" t="s">
        <v>1569</v>
      </c>
      <c r="C21" s="1067" t="s">
        <v>1570</v>
      </c>
      <c r="D21" s="1071"/>
      <c r="E21" s="1069">
        <v>0.15</v>
      </c>
      <c r="F21" s="1068">
        <f t="shared" si="1"/>
        <v>0</v>
      </c>
      <c r="G21" s="1068">
        <f t="shared" si="2"/>
        <v>0</v>
      </c>
      <c r="H21" s="1070">
        <f t="shared" si="3"/>
        <v>0</v>
      </c>
    </row>
    <row r="22">
      <c r="B22" s="1060" t="s">
        <v>1534</v>
      </c>
      <c r="C22" s="1061" t="s">
        <v>1571</v>
      </c>
      <c r="D22" s="1062">
        <v>30.09</v>
      </c>
      <c r="E22" s="1063">
        <v>0.15</v>
      </c>
      <c r="F22" s="1062">
        <f t="shared" si="1"/>
        <v>4.5135</v>
      </c>
      <c r="G22" s="1062">
        <f t="shared" si="2"/>
        <v>34.6035</v>
      </c>
      <c r="H22" s="1064">
        <f t="shared" si="3"/>
        <v>42.21627</v>
      </c>
      <c r="I22" s="526" t="s">
        <v>1548</v>
      </c>
    </row>
    <row r="23">
      <c r="B23" s="1066" t="s">
        <v>1534</v>
      </c>
      <c r="C23" s="1067" t="s">
        <v>1572</v>
      </c>
      <c r="D23" s="1068">
        <v>23.37</v>
      </c>
      <c r="E23" s="1069">
        <v>0.15</v>
      </c>
      <c r="F23" s="1068">
        <f t="shared" si="1"/>
        <v>3.5055</v>
      </c>
      <c r="G23" s="1068">
        <f t="shared" si="2"/>
        <v>26.8755</v>
      </c>
      <c r="H23" s="1070">
        <f t="shared" si="3"/>
        <v>32.78811</v>
      </c>
      <c r="I23" s="526" t="s">
        <v>1548</v>
      </c>
    </row>
    <row r="24" ht="15.75" customHeight="1">
      <c r="H24" s="748"/>
    </row>
    <row r="25" ht="15.75" customHeight="1">
      <c r="H25" s="748"/>
    </row>
    <row r="26" ht="15.75" customHeight="1">
      <c r="C26" s="1061" t="s">
        <v>1564</v>
      </c>
      <c r="D26" s="1062">
        <v>14.46</v>
      </c>
      <c r="E26" s="1063">
        <v>0.2</v>
      </c>
      <c r="F26" s="1062">
        <f>G26-D26</f>
        <v>2.892</v>
      </c>
      <c r="G26" s="1062">
        <f>D26*1.2</f>
        <v>17.352</v>
      </c>
      <c r="H26" s="1064">
        <f>G26*1.22</f>
        <v>21.16944</v>
      </c>
    </row>
    <row r="27" ht="15.75" customHeight="1">
      <c r="D27" s="526" t="s">
        <v>1573</v>
      </c>
      <c r="H27" s="748"/>
    </row>
    <row r="28" ht="15.75" customHeight="1">
      <c r="H28" s="748"/>
    </row>
    <row r="29" ht="15.75" customHeight="1">
      <c r="H29" s="748"/>
    </row>
    <row r="30" ht="15.75" customHeight="1">
      <c r="H30" s="748"/>
    </row>
    <row r="31" ht="15.75" customHeight="1">
      <c r="H31" s="748"/>
    </row>
    <row r="32" ht="15.75" customHeight="1">
      <c r="H32" s="748"/>
    </row>
    <row r="33" ht="15.75" customHeight="1">
      <c r="H33" s="748"/>
    </row>
    <row r="34" ht="15.75" customHeight="1">
      <c r="H34" s="748"/>
    </row>
    <row r="35" ht="15.75" customHeight="1">
      <c r="H35" s="748"/>
    </row>
    <row r="36" ht="15.75" customHeight="1">
      <c r="H36" s="748"/>
    </row>
    <row r="37" ht="15.75" customHeight="1">
      <c r="H37" s="748"/>
    </row>
    <row r="38" ht="15.75" customHeight="1">
      <c r="H38" s="748"/>
    </row>
    <row r="39" ht="15.75" customHeight="1">
      <c r="H39" s="748"/>
    </row>
    <row r="40" ht="15.75" customHeight="1">
      <c r="H40" s="748"/>
    </row>
    <row r="41" ht="15.75" customHeight="1">
      <c r="H41" s="748"/>
    </row>
    <row r="42" ht="15.75" customHeight="1">
      <c r="H42" s="748"/>
    </row>
    <row r="43" ht="15.75" customHeight="1">
      <c r="H43" s="748"/>
    </row>
    <row r="44" ht="15.75" customHeight="1">
      <c r="H44" s="748"/>
    </row>
    <row r="45" ht="15.75" customHeight="1">
      <c r="H45" s="748"/>
    </row>
    <row r="46" ht="15.75" customHeight="1">
      <c r="H46" s="748"/>
    </row>
    <row r="47" ht="15.75" customHeight="1">
      <c r="H47" s="748"/>
    </row>
    <row r="48" ht="15.75" customHeight="1">
      <c r="H48" s="748"/>
    </row>
    <row r="49" ht="15.75" customHeight="1">
      <c r="H49" s="748"/>
    </row>
    <row r="50" ht="15.75" customHeight="1">
      <c r="H50" s="748"/>
    </row>
    <row r="51" ht="15.75" customHeight="1">
      <c r="H51" s="748"/>
    </row>
    <row r="52" ht="15.75" customHeight="1">
      <c r="H52" s="748"/>
    </row>
    <row r="53" ht="15.75" customHeight="1">
      <c r="H53" s="748"/>
    </row>
    <row r="54" ht="15.75" customHeight="1">
      <c r="H54" s="748"/>
    </row>
    <row r="55" ht="15.75" customHeight="1">
      <c r="H55" s="748"/>
    </row>
    <row r="56" ht="15.75" customHeight="1">
      <c r="H56" s="748"/>
    </row>
    <row r="57" ht="15.75" customHeight="1">
      <c r="H57" s="748"/>
    </row>
    <row r="58" ht="15.75" customHeight="1">
      <c r="H58" s="748"/>
    </row>
    <row r="59" ht="15.75" customHeight="1">
      <c r="H59" s="748"/>
    </row>
    <row r="60" ht="15.75" customHeight="1">
      <c r="H60" s="748"/>
    </row>
    <row r="61" ht="15.75" customHeight="1">
      <c r="H61" s="748"/>
    </row>
    <row r="62" ht="15.75" customHeight="1">
      <c r="H62" s="748"/>
    </row>
    <row r="63" ht="15.75" customHeight="1">
      <c r="H63" s="748"/>
    </row>
    <row r="64" ht="15.75" customHeight="1">
      <c r="H64" s="748"/>
    </row>
    <row r="65" ht="15.75" customHeight="1">
      <c r="H65" s="748"/>
    </row>
    <row r="66" ht="15.75" customHeight="1">
      <c r="H66" s="748"/>
    </row>
    <row r="67" ht="15.75" customHeight="1">
      <c r="H67" s="748"/>
    </row>
    <row r="68" ht="15.75" customHeight="1">
      <c r="H68" s="748"/>
    </row>
    <row r="69" ht="15.75" customHeight="1">
      <c r="H69" s="748"/>
    </row>
    <row r="70" ht="15.75" customHeight="1">
      <c r="H70" s="748"/>
    </row>
    <row r="71" ht="15.75" customHeight="1">
      <c r="H71" s="748"/>
    </row>
    <row r="72" ht="15.75" customHeight="1">
      <c r="H72" s="748"/>
    </row>
    <row r="73" ht="15.75" customHeight="1">
      <c r="H73" s="748"/>
    </row>
    <row r="74" ht="15.75" customHeight="1">
      <c r="H74" s="748"/>
    </row>
    <row r="75" ht="15.75" customHeight="1">
      <c r="H75" s="748"/>
    </row>
    <row r="76" ht="15.75" customHeight="1">
      <c r="H76" s="748"/>
    </row>
    <row r="77" ht="15.75" customHeight="1">
      <c r="H77" s="748"/>
    </row>
    <row r="78" ht="15.75" customHeight="1">
      <c r="H78" s="748"/>
    </row>
    <row r="79" ht="15.75" customHeight="1">
      <c r="H79" s="748"/>
    </row>
    <row r="80" ht="15.75" customHeight="1">
      <c r="H80" s="748"/>
    </row>
    <row r="81" ht="15.75" customHeight="1">
      <c r="H81" s="748"/>
    </row>
    <row r="82" ht="15.75" customHeight="1">
      <c r="H82" s="748"/>
    </row>
    <row r="83" ht="15.75" customHeight="1">
      <c r="H83" s="748"/>
    </row>
    <row r="84" ht="15.75" customHeight="1">
      <c r="H84" s="748"/>
    </row>
    <row r="85" ht="15.75" customHeight="1">
      <c r="H85" s="748"/>
    </row>
    <row r="86" ht="15.75" customHeight="1">
      <c r="H86" s="748"/>
    </row>
    <row r="87" ht="15.75" customHeight="1">
      <c r="H87" s="748"/>
    </row>
    <row r="88" ht="15.75" customHeight="1">
      <c r="H88" s="748"/>
    </row>
    <row r="89" ht="15.75" customHeight="1">
      <c r="H89" s="748"/>
    </row>
    <row r="90" ht="15.75" customHeight="1">
      <c r="H90" s="748"/>
    </row>
    <row r="91" ht="15.75" customHeight="1">
      <c r="H91" s="748"/>
    </row>
    <row r="92" ht="15.75" customHeight="1">
      <c r="H92" s="748"/>
    </row>
    <row r="93" ht="15.75" customHeight="1">
      <c r="H93" s="748"/>
    </row>
    <row r="94" ht="15.75" customHeight="1">
      <c r="H94" s="748"/>
    </row>
    <row r="95" ht="15.75" customHeight="1">
      <c r="H95" s="748"/>
    </row>
    <row r="96" ht="15.75" customHeight="1">
      <c r="H96" s="748"/>
    </row>
    <row r="97" ht="15.75" customHeight="1">
      <c r="H97" s="748"/>
    </row>
    <row r="98" ht="15.75" customHeight="1">
      <c r="H98" s="748"/>
    </row>
    <row r="99" ht="15.75" customHeight="1">
      <c r="H99" s="748"/>
    </row>
    <row r="100" ht="15.75" customHeight="1">
      <c r="H100" s="748"/>
    </row>
    <row r="101" ht="15.75" customHeight="1">
      <c r="H101" s="748"/>
    </row>
    <row r="102" ht="15.75" customHeight="1">
      <c r="H102" s="748"/>
    </row>
    <row r="103" ht="15.75" customHeight="1">
      <c r="H103" s="748"/>
    </row>
    <row r="104" ht="15.75" customHeight="1">
      <c r="H104" s="748"/>
    </row>
    <row r="105" ht="15.75" customHeight="1">
      <c r="H105" s="748"/>
    </row>
    <row r="106" ht="15.75" customHeight="1">
      <c r="H106" s="748"/>
    </row>
    <row r="107" ht="15.75" customHeight="1">
      <c r="H107" s="748"/>
    </row>
    <row r="108" ht="15.75" customHeight="1">
      <c r="H108" s="748"/>
    </row>
    <row r="109" ht="15.75" customHeight="1">
      <c r="H109" s="748"/>
    </row>
    <row r="110" ht="15.75" customHeight="1">
      <c r="H110" s="748"/>
    </row>
    <row r="111" ht="15.75" customHeight="1">
      <c r="H111" s="748"/>
    </row>
    <row r="112" ht="15.75" customHeight="1">
      <c r="H112" s="748"/>
    </row>
    <row r="113" ht="15.75" customHeight="1">
      <c r="H113" s="748"/>
    </row>
    <row r="114" ht="15.75" customHeight="1">
      <c r="H114" s="748"/>
    </row>
    <row r="115" ht="15.75" customHeight="1">
      <c r="H115" s="748"/>
    </row>
    <row r="116" ht="15.75" customHeight="1">
      <c r="H116" s="748"/>
    </row>
    <row r="117" ht="15.75" customHeight="1">
      <c r="H117" s="748"/>
    </row>
    <row r="118" ht="15.75" customHeight="1">
      <c r="H118" s="748"/>
    </row>
    <row r="119" ht="15.75" customHeight="1">
      <c r="H119" s="748"/>
    </row>
    <row r="120" ht="15.75" customHeight="1">
      <c r="H120" s="748"/>
    </row>
    <row r="121" ht="15.75" customHeight="1">
      <c r="H121" s="748"/>
    </row>
    <row r="122" ht="15.75" customHeight="1">
      <c r="H122" s="748"/>
    </row>
    <row r="123" ht="15.75" customHeight="1">
      <c r="H123" s="748"/>
    </row>
    <row r="124" ht="15.75" customHeight="1">
      <c r="H124" s="748"/>
    </row>
    <row r="125" ht="15.75" customHeight="1">
      <c r="H125" s="748"/>
    </row>
    <row r="126" ht="15.75" customHeight="1">
      <c r="H126" s="748"/>
    </row>
    <row r="127" ht="15.75" customHeight="1">
      <c r="H127" s="748"/>
    </row>
    <row r="128" ht="15.75" customHeight="1">
      <c r="H128" s="748"/>
    </row>
    <row r="129" ht="15.75" customHeight="1">
      <c r="H129" s="748"/>
    </row>
    <row r="130" ht="15.75" customHeight="1">
      <c r="H130" s="748"/>
    </row>
    <row r="131" ht="15.75" customHeight="1">
      <c r="H131" s="748"/>
    </row>
    <row r="132" ht="15.75" customHeight="1">
      <c r="H132" s="748"/>
    </row>
    <row r="133" ht="15.75" customHeight="1">
      <c r="H133" s="748"/>
    </row>
    <row r="134" ht="15.75" customHeight="1">
      <c r="H134" s="748"/>
    </row>
    <row r="135" ht="15.75" customHeight="1">
      <c r="H135" s="748"/>
    </row>
    <row r="136" ht="15.75" customHeight="1">
      <c r="H136" s="748"/>
    </row>
    <row r="137" ht="15.75" customHeight="1">
      <c r="H137" s="748"/>
    </row>
    <row r="138" ht="15.75" customHeight="1">
      <c r="H138" s="748"/>
    </row>
    <row r="139" ht="15.75" customHeight="1">
      <c r="H139" s="748"/>
    </row>
    <row r="140" ht="15.75" customHeight="1">
      <c r="H140" s="748"/>
    </row>
    <row r="141" ht="15.75" customHeight="1">
      <c r="H141" s="748"/>
    </row>
    <row r="142" ht="15.75" customHeight="1">
      <c r="H142" s="748"/>
    </row>
    <row r="143" ht="15.75" customHeight="1">
      <c r="H143" s="748"/>
    </row>
    <row r="144" ht="15.75" customHeight="1">
      <c r="H144" s="748"/>
    </row>
    <row r="145" ht="15.75" customHeight="1">
      <c r="H145" s="748"/>
    </row>
    <row r="146" ht="15.75" customHeight="1">
      <c r="H146" s="748"/>
    </row>
    <row r="147" ht="15.75" customHeight="1">
      <c r="H147" s="748"/>
    </row>
    <row r="148" ht="15.75" customHeight="1">
      <c r="H148" s="748"/>
    </row>
    <row r="149" ht="15.75" customHeight="1">
      <c r="H149" s="748"/>
    </row>
    <row r="150" ht="15.75" customHeight="1">
      <c r="H150" s="748"/>
    </row>
    <row r="151" ht="15.75" customHeight="1">
      <c r="H151" s="748"/>
    </row>
    <row r="152" ht="15.75" customHeight="1">
      <c r="H152" s="748"/>
    </row>
    <row r="153" ht="15.75" customHeight="1">
      <c r="H153" s="748"/>
    </row>
    <row r="154" ht="15.75" customHeight="1">
      <c r="H154" s="748"/>
    </row>
    <row r="155" ht="15.75" customHeight="1">
      <c r="H155" s="748"/>
    </row>
    <row r="156" ht="15.75" customHeight="1">
      <c r="H156" s="748"/>
    </row>
    <row r="157" ht="15.75" customHeight="1">
      <c r="H157" s="748"/>
    </row>
    <row r="158" ht="15.75" customHeight="1">
      <c r="H158" s="748"/>
    </row>
    <row r="159" ht="15.75" customHeight="1">
      <c r="H159" s="748"/>
    </row>
    <row r="160" ht="15.75" customHeight="1">
      <c r="H160" s="748"/>
    </row>
    <row r="161" ht="15.75" customHeight="1">
      <c r="H161" s="748"/>
    </row>
    <row r="162" ht="15.75" customHeight="1">
      <c r="H162" s="748"/>
    </row>
    <row r="163" ht="15.75" customHeight="1">
      <c r="H163" s="748"/>
    </row>
    <row r="164" ht="15.75" customHeight="1">
      <c r="H164" s="748"/>
    </row>
    <row r="165" ht="15.75" customHeight="1">
      <c r="H165" s="748"/>
    </row>
    <row r="166" ht="15.75" customHeight="1">
      <c r="H166" s="748"/>
    </row>
    <row r="167" ht="15.75" customHeight="1">
      <c r="H167" s="748"/>
    </row>
    <row r="168" ht="15.75" customHeight="1">
      <c r="H168" s="748"/>
    </row>
    <row r="169" ht="15.75" customHeight="1">
      <c r="H169" s="748"/>
    </row>
    <row r="170" ht="15.75" customHeight="1">
      <c r="H170" s="748"/>
    </row>
    <row r="171" ht="15.75" customHeight="1">
      <c r="H171" s="748"/>
    </row>
    <row r="172" ht="15.75" customHeight="1">
      <c r="H172" s="748"/>
    </row>
    <row r="173" ht="15.75" customHeight="1">
      <c r="H173" s="748"/>
    </row>
    <row r="174" ht="15.75" customHeight="1">
      <c r="H174" s="748"/>
    </row>
    <row r="175" ht="15.75" customHeight="1">
      <c r="H175" s="748"/>
    </row>
    <row r="176" ht="15.75" customHeight="1">
      <c r="H176" s="748"/>
    </row>
    <row r="177" ht="15.75" customHeight="1">
      <c r="H177" s="748"/>
    </row>
    <row r="178" ht="15.75" customHeight="1">
      <c r="H178" s="748"/>
    </row>
    <row r="179" ht="15.75" customHeight="1">
      <c r="H179" s="748"/>
    </row>
    <row r="180" ht="15.75" customHeight="1">
      <c r="H180" s="748"/>
    </row>
    <row r="181" ht="15.75" customHeight="1">
      <c r="H181" s="748"/>
    </row>
    <row r="182" ht="15.75" customHeight="1">
      <c r="H182" s="748"/>
    </row>
    <row r="183" ht="15.75" customHeight="1">
      <c r="H183" s="748"/>
    </row>
    <row r="184" ht="15.75" customHeight="1">
      <c r="H184" s="748"/>
    </row>
    <row r="185" ht="15.75" customHeight="1">
      <c r="H185" s="748"/>
    </row>
    <row r="186" ht="15.75" customHeight="1">
      <c r="H186" s="748"/>
    </row>
    <row r="187" ht="15.75" customHeight="1">
      <c r="H187" s="748"/>
    </row>
    <row r="188" ht="15.75" customHeight="1">
      <c r="H188" s="748"/>
    </row>
    <row r="189" ht="15.75" customHeight="1">
      <c r="H189" s="748"/>
    </row>
    <row r="190" ht="15.75" customHeight="1">
      <c r="H190" s="748"/>
    </row>
    <row r="191" ht="15.75" customHeight="1">
      <c r="H191" s="748"/>
    </row>
    <row r="192" ht="15.75" customHeight="1">
      <c r="H192" s="748"/>
    </row>
    <row r="193" ht="15.75" customHeight="1">
      <c r="H193" s="748"/>
    </row>
    <row r="194" ht="15.75" customHeight="1">
      <c r="H194" s="748"/>
    </row>
    <row r="195" ht="15.75" customHeight="1">
      <c r="H195" s="748"/>
    </row>
    <row r="196" ht="15.75" customHeight="1">
      <c r="H196" s="748"/>
    </row>
    <row r="197" ht="15.75" customHeight="1">
      <c r="H197" s="748"/>
    </row>
    <row r="198" ht="15.75" customHeight="1">
      <c r="H198" s="748"/>
    </row>
    <row r="199" ht="15.75" customHeight="1">
      <c r="H199" s="748"/>
    </row>
    <row r="200" ht="15.75" customHeight="1">
      <c r="H200" s="748"/>
    </row>
    <row r="201" ht="15.75" customHeight="1">
      <c r="H201" s="748"/>
    </row>
    <row r="202" ht="15.75" customHeight="1">
      <c r="H202" s="748"/>
    </row>
    <row r="203" ht="15.75" customHeight="1">
      <c r="H203" s="748"/>
    </row>
    <row r="204" ht="15.75" customHeight="1">
      <c r="H204" s="748"/>
    </row>
    <row r="205" ht="15.75" customHeight="1">
      <c r="H205" s="748"/>
    </row>
    <row r="206" ht="15.75" customHeight="1">
      <c r="H206" s="748"/>
    </row>
    <row r="207" ht="15.75" customHeight="1">
      <c r="H207" s="748"/>
    </row>
    <row r="208" ht="15.75" customHeight="1">
      <c r="H208" s="748"/>
    </row>
    <row r="209" ht="15.75" customHeight="1">
      <c r="H209" s="748"/>
    </row>
    <row r="210" ht="15.75" customHeight="1">
      <c r="H210" s="748"/>
    </row>
    <row r="211" ht="15.75" customHeight="1">
      <c r="H211" s="748"/>
    </row>
    <row r="212" ht="15.75" customHeight="1">
      <c r="H212" s="748"/>
    </row>
    <row r="213" ht="15.75" customHeight="1">
      <c r="H213" s="748"/>
    </row>
    <row r="214" ht="15.75" customHeight="1">
      <c r="H214" s="748"/>
    </row>
    <row r="215" ht="15.75" customHeight="1">
      <c r="H215" s="748"/>
    </row>
    <row r="216" ht="15.75" customHeight="1">
      <c r="H216" s="748"/>
    </row>
    <row r="217" ht="15.75" customHeight="1">
      <c r="H217" s="748"/>
    </row>
    <row r="218" ht="15.75" customHeight="1">
      <c r="H218" s="748"/>
    </row>
    <row r="219" ht="15.75" customHeight="1">
      <c r="H219" s="748"/>
    </row>
    <row r="220" ht="15.75" customHeight="1">
      <c r="H220" s="748"/>
    </row>
    <row r="221" ht="15.75" customHeight="1">
      <c r="H221" s="748"/>
    </row>
    <row r="222" ht="15.75" customHeight="1">
      <c r="H222" s="748"/>
    </row>
    <row r="223" ht="15.75" customHeight="1">
      <c r="H223" s="748"/>
    </row>
    <row r="224" ht="15.75" customHeight="1">
      <c r="H224" s="748"/>
    </row>
    <row r="225" ht="15.75" customHeight="1">
      <c r="H225" s="748"/>
    </row>
    <row r="226" ht="15.75" customHeight="1">
      <c r="H226" s="748"/>
    </row>
    <row r="227" ht="15.75" customHeight="1">
      <c r="H227" s="748"/>
    </row>
    <row r="228" ht="15.75" customHeight="1">
      <c r="H228" s="748"/>
    </row>
    <row r="229" ht="15.75" customHeight="1">
      <c r="H229" s="748"/>
    </row>
    <row r="230" ht="15.75" customHeight="1">
      <c r="H230" s="748"/>
    </row>
    <row r="231" ht="15.75" customHeight="1">
      <c r="H231" s="748"/>
    </row>
    <row r="232" ht="15.75" customHeight="1">
      <c r="H232" s="748"/>
    </row>
    <row r="233" ht="15.75" customHeight="1">
      <c r="H233" s="748"/>
    </row>
    <row r="234" ht="15.75" customHeight="1">
      <c r="H234" s="748"/>
    </row>
    <row r="235" ht="15.75" customHeight="1">
      <c r="H235" s="748"/>
    </row>
    <row r="236" ht="15.75" customHeight="1">
      <c r="H236" s="748"/>
    </row>
    <row r="237" ht="15.75" customHeight="1">
      <c r="H237" s="748"/>
    </row>
    <row r="238" ht="15.75" customHeight="1">
      <c r="H238" s="748"/>
    </row>
    <row r="239" ht="15.75" customHeight="1">
      <c r="H239" s="748"/>
    </row>
    <row r="240" ht="15.75" customHeight="1">
      <c r="H240" s="748"/>
    </row>
    <row r="241" ht="15.75" customHeight="1">
      <c r="H241" s="748"/>
    </row>
    <row r="242" ht="15.75" customHeight="1">
      <c r="H242" s="748"/>
    </row>
    <row r="243" ht="15.75" customHeight="1">
      <c r="H243" s="748"/>
    </row>
    <row r="244" ht="15.75" customHeight="1">
      <c r="H244" s="748"/>
    </row>
    <row r="245" ht="15.75" customHeight="1">
      <c r="H245" s="748"/>
    </row>
    <row r="246" ht="15.75" customHeight="1">
      <c r="H246" s="748"/>
    </row>
    <row r="247" ht="15.75" customHeight="1">
      <c r="H247" s="748"/>
    </row>
    <row r="248" ht="15.75" customHeight="1">
      <c r="H248" s="748"/>
    </row>
    <row r="249" ht="15.75" customHeight="1">
      <c r="H249" s="748"/>
    </row>
    <row r="250" ht="15.75" customHeight="1">
      <c r="H250" s="748"/>
    </row>
    <row r="251" ht="15.75" customHeight="1">
      <c r="H251" s="748"/>
    </row>
    <row r="252" ht="15.75" customHeight="1">
      <c r="H252" s="748"/>
    </row>
    <row r="253" ht="15.75" customHeight="1">
      <c r="H253" s="748"/>
    </row>
    <row r="254" ht="15.75" customHeight="1">
      <c r="H254" s="748"/>
    </row>
    <row r="255" ht="15.75" customHeight="1">
      <c r="H255" s="748"/>
    </row>
    <row r="256" ht="15.75" customHeight="1">
      <c r="H256" s="748"/>
    </row>
    <row r="257" ht="15.75" customHeight="1">
      <c r="H257" s="748"/>
    </row>
    <row r="258" ht="15.75" customHeight="1">
      <c r="H258" s="748"/>
    </row>
    <row r="259" ht="15.75" customHeight="1">
      <c r="H259" s="748"/>
    </row>
    <row r="260" ht="15.75" customHeight="1">
      <c r="H260" s="748"/>
    </row>
    <row r="261" ht="15.75" customHeight="1">
      <c r="H261" s="748"/>
    </row>
    <row r="262" ht="15.75" customHeight="1">
      <c r="H262" s="748"/>
    </row>
    <row r="263" ht="15.75" customHeight="1">
      <c r="H263" s="748"/>
    </row>
    <row r="264" ht="15.75" customHeight="1">
      <c r="H264" s="748"/>
    </row>
    <row r="265" ht="15.75" customHeight="1">
      <c r="H265" s="748"/>
    </row>
    <row r="266" ht="15.75" customHeight="1">
      <c r="H266" s="748"/>
    </row>
    <row r="267" ht="15.75" customHeight="1">
      <c r="H267" s="748"/>
    </row>
    <row r="268" ht="15.75" customHeight="1">
      <c r="H268" s="748"/>
    </row>
    <row r="269" ht="15.75" customHeight="1">
      <c r="H269" s="748"/>
    </row>
    <row r="270" ht="15.75" customHeight="1">
      <c r="H270" s="748"/>
    </row>
    <row r="271" ht="15.75" customHeight="1">
      <c r="H271" s="748"/>
    </row>
    <row r="272" ht="15.75" customHeight="1">
      <c r="H272" s="748"/>
    </row>
    <row r="273" ht="15.75" customHeight="1">
      <c r="H273" s="748"/>
    </row>
    <row r="274" ht="15.75" customHeight="1">
      <c r="H274" s="748"/>
    </row>
    <row r="275" ht="15.75" customHeight="1">
      <c r="H275" s="748"/>
    </row>
    <row r="276" ht="15.75" customHeight="1">
      <c r="H276" s="748"/>
    </row>
    <row r="277" ht="15.75" customHeight="1">
      <c r="H277" s="748"/>
    </row>
    <row r="278" ht="15.75" customHeight="1">
      <c r="H278" s="748"/>
    </row>
    <row r="279" ht="15.75" customHeight="1">
      <c r="H279" s="748"/>
    </row>
    <row r="280" ht="15.75" customHeight="1">
      <c r="H280" s="748"/>
    </row>
    <row r="281" ht="15.75" customHeight="1">
      <c r="H281" s="748"/>
    </row>
    <row r="282" ht="15.75" customHeight="1">
      <c r="H282" s="748"/>
    </row>
    <row r="283" ht="15.75" customHeight="1">
      <c r="H283" s="748"/>
    </row>
    <row r="284" ht="15.75" customHeight="1">
      <c r="H284" s="748"/>
    </row>
    <row r="285" ht="15.75" customHeight="1">
      <c r="H285" s="748"/>
    </row>
    <row r="286" ht="15.75" customHeight="1">
      <c r="H286" s="748"/>
    </row>
    <row r="287" ht="15.75" customHeight="1">
      <c r="H287" s="748"/>
    </row>
    <row r="288" ht="15.75" customHeight="1">
      <c r="H288" s="748"/>
    </row>
    <row r="289" ht="15.75" customHeight="1">
      <c r="H289" s="748"/>
    </row>
    <row r="290" ht="15.75" customHeight="1">
      <c r="H290" s="748"/>
    </row>
    <row r="291" ht="15.75" customHeight="1">
      <c r="H291" s="748"/>
    </row>
    <row r="292" ht="15.75" customHeight="1">
      <c r="H292" s="748"/>
    </row>
    <row r="293" ht="15.75" customHeight="1">
      <c r="H293" s="748"/>
    </row>
    <row r="294" ht="15.75" customHeight="1">
      <c r="H294" s="748"/>
    </row>
    <row r="295" ht="15.75" customHeight="1">
      <c r="H295" s="748"/>
    </row>
    <row r="296" ht="15.75" customHeight="1">
      <c r="H296" s="748"/>
    </row>
    <row r="297" ht="15.75" customHeight="1">
      <c r="H297" s="748"/>
    </row>
    <row r="298" ht="15.75" customHeight="1">
      <c r="H298" s="748"/>
    </row>
    <row r="299" ht="15.75" customHeight="1">
      <c r="H299" s="748"/>
    </row>
    <row r="300" ht="15.75" customHeight="1">
      <c r="H300" s="748"/>
    </row>
    <row r="301" ht="15.75" customHeight="1">
      <c r="H301" s="748"/>
    </row>
    <row r="302" ht="15.75" customHeight="1">
      <c r="H302" s="748"/>
    </row>
    <row r="303" ht="15.75" customHeight="1">
      <c r="H303" s="748"/>
    </row>
    <row r="304" ht="15.75" customHeight="1">
      <c r="H304" s="748"/>
    </row>
    <row r="305" ht="15.75" customHeight="1">
      <c r="H305" s="748"/>
    </row>
    <row r="306" ht="15.75" customHeight="1">
      <c r="H306" s="748"/>
    </row>
    <row r="307" ht="15.75" customHeight="1">
      <c r="H307" s="748"/>
    </row>
    <row r="308" ht="15.75" customHeight="1">
      <c r="H308" s="748"/>
    </row>
    <row r="309" ht="15.75" customHeight="1">
      <c r="H309" s="748"/>
    </row>
    <row r="310" ht="15.75" customHeight="1">
      <c r="H310" s="748"/>
    </row>
    <row r="311" ht="15.75" customHeight="1">
      <c r="H311" s="748"/>
    </row>
    <row r="312" ht="15.75" customHeight="1">
      <c r="H312" s="748"/>
    </row>
    <row r="313" ht="15.75" customHeight="1">
      <c r="H313" s="748"/>
    </row>
    <row r="314" ht="15.75" customHeight="1">
      <c r="H314" s="748"/>
    </row>
    <row r="315" ht="15.75" customHeight="1">
      <c r="H315" s="748"/>
    </row>
    <row r="316" ht="15.75" customHeight="1">
      <c r="H316" s="748"/>
    </row>
    <row r="317" ht="15.75" customHeight="1">
      <c r="H317" s="748"/>
    </row>
    <row r="318" ht="15.75" customHeight="1">
      <c r="H318" s="748"/>
    </row>
    <row r="319" ht="15.75" customHeight="1">
      <c r="H319" s="748"/>
    </row>
    <row r="320" ht="15.75" customHeight="1">
      <c r="H320" s="748"/>
    </row>
    <row r="321" ht="15.75" customHeight="1">
      <c r="H321" s="748"/>
    </row>
    <row r="322" ht="15.75" customHeight="1">
      <c r="H322" s="748"/>
    </row>
    <row r="323" ht="15.75" customHeight="1">
      <c r="H323" s="748"/>
    </row>
    <row r="324" ht="15.75" customHeight="1">
      <c r="H324" s="748"/>
    </row>
    <row r="325" ht="15.75" customHeight="1">
      <c r="H325" s="748"/>
    </row>
    <row r="326" ht="15.75" customHeight="1">
      <c r="H326" s="748"/>
    </row>
    <row r="327" ht="15.75" customHeight="1">
      <c r="H327" s="748"/>
    </row>
    <row r="328" ht="15.75" customHeight="1">
      <c r="H328" s="748"/>
    </row>
    <row r="329" ht="15.75" customHeight="1">
      <c r="H329" s="748"/>
    </row>
    <row r="330" ht="15.75" customHeight="1">
      <c r="H330" s="748"/>
    </row>
    <row r="331" ht="15.75" customHeight="1">
      <c r="H331" s="748"/>
    </row>
    <row r="332" ht="15.75" customHeight="1">
      <c r="H332" s="748"/>
    </row>
    <row r="333" ht="15.75" customHeight="1">
      <c r="H333" s="748"/>
    </row>
    <row r="334" ht="15.75" customHeight="1">
      <c r="H334" s="748"/>
    </row>
    <row r="335" ht="15.75" customHeight="1">
      <c r="H335" s="748"/>
    </row>
    <row r="336" ht="15.75" customHeight="1">
      <c r="H336" s="748"/>
    </row>
    <row r="337" ht="15.75" customHeight="1">
      <c r="H337" s="748"/>
    </row>
    <row r="338" ht="15.75" customHeight="1">
      <c r="H338" s="748"/>
    </row>
    <row r="339" ht="15.75" customHeight="1">
      <c r="H339" s="748"/>
    </row>
    <row r="340" ht="15.75" customHeight="1">
      <c r="H340" s="748"/>
    </row>
    <row r="341" ht="15.75" customHeight="1">
      <c r="H341" s="748"/>
    </row>
    <row r="342" ht="15.75" customHeight="1">
      <c r="H342" s="748"/>
    </row>
    <row r="343" ht="15.75" customHeight="1">
      <c r="H343" s="748"/>
    </row>
    <row r="344" ht="15.75" customHeight="1">
      <c r="H344" s="748"/>
    </row>
    <row r="345" ht="15.75" customHeight="1">
      <c r="H345" s="748"/>
    </row>
    <row r="346" ht="15.75" customHeight="1">
      <c r="H346" s="748"/>
    </row>
    <row r="347" ht="15.75" customHeight="1">
      <c r="H347" s="748"/>
    </row>
    <row r="348" ht="15.75" customHeight="1">
      <c r="H348" s="748"/>
    </row>
    <row r="349" ht="15.75" customHeight="1">
      <c r="H349" s="748"/>
    </row>
    <row r="350" ht="15.75" customHeight="1">
      <c r="H350" s="748"/>
    </row>
    <row r="351" ht="15.75" customHeight="1">
      <c r="H351" s="748"/>
    </row>
    <row r="352" ht="15.75" customHeight="1">
      <c r="H352" s="748"/>
    </row>
    <row r="353" ht="15.75" customHeight="1">
      <c r="H353" s="748"/>
    </row>
    <row r="354" ht="15.75" customHeight="1">
      <c r="H354" s="748"/>
    </row>
    <row r="355" ht="15.75" customHeight="1">
      <c r="H355" s="748"/>
    </row>
    <row r="356" ht="15.75" customHeight="1">
      <c r="H356" s="748"/>
    </row>
    <row r="357" ht="15.75" customHeight="1">
      <c r="H357" s="748"/>
    </row>
    <row r="358" ht="15.75" customHeight="1">
      <c r="H358" s="748"/>
    </row>
    <row r="359" ht="15.75" customHeight="1">
      <c r="H359" s="748"/>
    </row>
    <row r="360" ht="15.75" customHeight="1">
      <c r="H360" s="748"/>
    </row>
    <row r="361" ht="15.75" customHeight="1">
      <c r="H361" s="748"/>
    </row>
    <row r="362" ht="15.75" customHeight="1">
      <c r="H362" s="748"/>
    </row>
    <row r="363" ht="15.75" customHeight="1">
      <c r="H363" s="748"/>
    </row>
    <row r="364" ht="15.75" customHeight="1">
      <c r="H364" s="748"/>
    </row>
    <row r="365" ht="15.75" customHeight="1">
      <c r="H365" s="748"/>
    </row>
    <row r="366" ht="15.75" customHeight="1">
      <c r="H366" s="748"/>
    </row>
    <row r="367" ht="15.75" customHeight="1">
      <c r="H367" s="748"/>
    </row>
    <row r="368" ht="15.75" customHeight="1">
      <c r="H368" s="748"/>
    </row>
    <row r="369" ht="15.75" customHeight="1">
      <c r="H369" s="748"/>
    </row>
    <row r="370" ht="15.75" customHeight="1">
      <c r="H370" s="748"/>
    </row>
    <row r="371" ht="15.75" customHeight="1">
      <c r="H371" s="748"/>
    </row>
    <row r="372" ht="15.75" customHeight="1">
      <c r="H372" s="748"/>
    </row>
    <row r="373" ht="15.75" customHeight="1">
      <c r="H373" s="748"/>
    </row>
    <row r="374" ht="15.75" customHeight="1">
      <c r="H374" s="748"/>
    </row>
    <row r="375" ht="15.75" customHeight="1">
      <c r="H375" s="748"/>
    </row>
    <row r="376" ht="15.75" customHeight="1">
      <c r="H376" s="748"/>
    </row>
    <row r="377" ht="15.75" customHeight="1">
      <c r="H377" s="748"/>
    </row>
    <row r="378" ht="15.75" customHeight="1">
      <c r="H378" s="748"/>
    </row>
    <row r="379" ht="15.75" customHeight="1">
      <c r="H379" s="748"/>
    </row>
    <row r="380" ht="15.75" customHeight="1">
      <c r="H380" s="748"/>
    </row>
    <row r="381" ht="15.75" customHeight="1">
      <c r="H381" s="748"/>
    </row>
    <row r="382" ht="15.75" customHeight="1">
      <c r="H382" s="748"/>
    </row>
    <row r="383" ht="15.75" customHeight="1">
      <c r="H383" s="748"/>
    </row>
    <row r="384" ht="15.75" customHeight="1">
      <c r="H384" s="748"/>
    </row>
    <row r="385" ht="15.75" customHeight="1">
      <c r="H385" s="748"/>
    </row>
    <row r="386" ht="15.75" customHeight="1">
      <c r="H386" s="748"/>
    </row>
    <row r="387" ht="15.75" customHeight="1">
      <c r="H387" s="748"/>
    </row>
    <row r="388" ht="15.75" customHeight="1">
      <c r="H388" s="748"/>
    </row>
    <row r="389" ht="15.75" customHeight="1">
      <c r="H389" s="748"/>
    </row>
    <row r="390" ht="15.75" customHeight="1">
      <c r="H390" s="748"/>
    </row>
    <row r="391" ht="15.75" customHeight="1">
      <c r="H391" s="748"/>
    </row>
    <row r="392" ht="15.75" customHeight="1">
      <c r="H392" s="748"/>
    </row>
    <row r="393" ht="15.75" customHeight="1">
      <c r="H393" s="748"/>
    </row>
    <row r="394" ht="15.75" customHeight="1">
      <c r="H394" s="748"/>
    </row>
    <row r="395" ht="15.75" customHeight="1">
      <c r="H395" s="748"/>
    </row>
    <row r="396" ht="15.75" customHeight="1">
      <c r="H396" s="748"/>
    </row>
    <row r="397" ht="15.75" customHeight="1">
      <c r="H397" s="748"/>
    </row>
    <row r="398" ht="15.75" customHeight="1">
      <c r="H398" s="748"/>
    </row>
    <row r="399" ht="15.75" customHeight="1">
      <c r="H399" s="748"/>
    </row>
    <row r="400" ht="15.75" customHeight="1">
      <c r="H400" s="748"/>
    </row>
    <row r="401" ht="15.75" customHeight="1">
      <c r="H401" s="748"/>
    </row>
    <row r="402" ht="15.75" customHeight="1">
      <c r="H402" s="748"/>
    </row>
    <row r="403" ht="15.75" customHeight="1">
      <c r="H403" s="748"/>
    </row>
    <row r="404" ht="15.75" customHeight="1">
      <c r="H404" s="748"/>
    </row>
    <row r="405" ht="15.75" customHeight="1">
      <c r="H405" s="748"/>
    </row>
    <row r="406" ht="15.75" customHeight="1">
      <c r="H406" s="748"/>
    </row>
    <row r="407" ht="15.75" customHeight="1">
      <c r="H407" s="748"/>
    </row>
    <row r="408" ht="15.75" customHeight="1">
      <c r="H408" s="748"/>
    </row>
    <row r="409" ht="15.75" customHeight="1">
      <c r="H409" s="748"/>
    </row>
    <row r="410" ht="15.75" customHeight="1">
      <c r="H410" s="748"/>
    </row>
    <row r="411" ht="15.75" customHeight="1">
      <c r="H411" s="748"/>
    </row>
    <row r="412" ht="15.75" customHeight="1">
      <c r="H412" s="748"/>
    </row>
    <row r="413" ht="15.75" customHeight="1">
      <c r="H413" s="748"/>
    </row>
    <row r="414" ht="15.75" customHeight="1">
      <c r="H414" s="748"/>
    </row>
    <row r="415" ht="15.75" customHeight="1">
      <c r="H415" s="748"/>
    </row>
    <row r="416" ht="15.75" customHeight="1">
      <c r="H416" s="748"/>
    </row>
    <row r="417" ht="15.75" customHeight="1">
      <c r="H417" s="748"/>
    </row>
    <row r="418" ht="15.75" customHeight="1">
      <c r="H418" s="748"/>
    </row>
    <row r="419" ht="15.75" customHeight="1">
      <c r="H419" s="748"/>
    </row>
    <row r="420" ht="15.75" customHeight="1">
      <c r="H420" s="748"/>
    </row>
    <row r="421" ht="15.75" customHeight="1">
      <c r="H421" s="748"/>
    </row>
    <row r="422" ht="15.75" customHeight="1">
      <c r="H422" s="748"/>
    </row>
    <row r="423" ht="15.75" customHeight="1">
      <c r="H423" s="748"/>
    </row>
    <row r="424" ht="15.75" customHeight="1">
      <c r="H424" s="748"/>
    </row>
    <row r="425" ht="15.75" customHeight="1">
      <c r="H425" s="748"/>
    </row>
    <row r="426" ht="15.75" customHeight="1">
      <c r="H426" s="748"/>
    </row>
    <row r="427" ht="15.75" customHeight="1">
      <c r="H427" s="748"/>
    </row>
    <row r="428" ht="15.75" customHeight="1">
      <c r="H428" s="748"/>
    </row>
    <row r="429" ht="15.75" customHeight="1">
      <c r="H429" s="748"/>
    </row>
    <row r="430" ht="15.75" customHeight="1">
      <c r="H430" s="748"/>
    </row>
    <row r="431" ht="15.75" customHeight="1">
      <c r="H431" s="748"/>
    </row>
    <row r="432" ht="15.75" customHeight="1">
      <c r="H432" s="748"/>
    </row>
    <row r="433" ht="15.75" customHeight="1">
      <c r="H433" s="748"/>
    </row>
    <row r="434" ht="15.75" customHeight="1">
      <c r="H434" s="748"/>
    </row>
    <row r="435" ht="15.75" customHeight="1">
      <c r="H435" s="748"/>
    </row>
    <row r="436" ht="15.75" customHeight="1">
      <c r="H436" s="748"/>
    </row>
    <row r="437" ht="15.75" customHeight="1">
      <c r="H437" s="748"/>
    </row>
    <row r="438" ht="15.75" customHeight="1">
      <c r="H438" s="748"/>
    </row>
    <row r="439" ht="15.75" customHeight="1">
      <c r="H439" s="748"/>
    </row>
    <row r="440" ht="15.75" customHeight="1">
      <c r="H440" s="748"/>
    </row>
    <row r="441" ht="15.75" customHeight="1">
      <c r="H441" s="748"/>
    </row>
    <row r="442" ht="15.75" customHeight="1">
      <c r="H442" s="748"/>
    </row>
    <row r="443" ht="15.75" customHeight="1">
      <c r="H443" s="748"/>
    </row>
    <row r="444" ht="15.75" customHeight="1">
      <c r="H444" s="748"/>
    </row>
    <row r="445" ht="15.75" customHeight="1">
      <c r="H445" s="748"/>
    </row>
    <row r="446" ht="15.75" customHeight="1">
      <c r="H446" s="748"/>
    </row>
    <row r="447" ht="15.75" customHeight="1">
      <c r="H447" s="748"/>
    </row>
    <row r="448" ht="15.75" customHeight="1">
      <c r="H448" s="748"/>
    </row>
    <row r="449" ht="15.75" customHeight="1">
      <c r="H449" s="748"/>
    </row>
    <row r="450" ht="15.75" customHeight="1">
      <c r="H450" s="748"/>
    </row>
    <row r="451" ht="15.75" customHeight="1">
      <c r="H451" s="748"/>
    </row>
    <row r="452" ht="15.75" customHeight="1">
      <c r="H452" s="748"/>
    </row>
    <row r="453" ht="15.75" customHeight="1">
      <c r="H453" s="748"/>
    </row>
    <row r="454" ht="15.75" customHeight="1">
      <c r="H454" s="748"/>
    </row>
    <row r="455" ht="15.75" customHeight="1">
      <c r="H455" s="748"/>
    </row>
    <row r="456" ht="15.75" customHeight="1">
      <c r="H456" s="748"/>
    </row>
    <row r="457" ht="15.75" customHeight="1">
      <c r="H457" s="748"/>
    </row>
    <row r="458" ht="15.75" customHeight="1">
      <c r="H458" s="748"/>
    </row>
    <row r="459" ht="15.75" customHeight="1">
      <c r="H459" s="748"/>
    </row>
    <row r="460" ht="15.75" customHeight="1">
      <c r="H460" s="748"/>
    </row>
    <row r="461" ht="15.75" customHeight="1">
      <c r="H461" s="748"/>
    </row>
    <row r="462" ht="15.75" customHeight="1">
      <c r="H462" s="748"/>
    </row>
    <row r="463" ht="15.75" customHeight="1">
      <c r="H463" s="748"/>
    </row>
    <row r="464" ht="15.75" customHeight="1">
      <c r="H464" s="748"/>
    </row>
    <row r="465" ht="15.75" customHeight="1">
      <c r="H465" s="748"/>
    </row>
    <row r="466" ht="15.75" customHeight="1">
      <c r="H466" s="748"/>
    </row>
    <row r="467" ht="15.75" customHeight="1">
      <c r="H467" s="748"/>
    </row>
    <row r="468" ht="15.75" customHeight="1">
      <c r="H468" s="748"/>
    </row>
    <row r="469" ht="15.75" customHeight="1">
      <c r="H469" s="748"/>
    </row>
    <row r="470" ht="15.75" customHeight="1">
      <c r="H470" s="748"/>
    </row>
    <row r="471" ht="15.75" customHeight="1">
      <c r="H471" s="748"/>
    </row>
    <row r="472" ht="15.75" customHeight="1">
      <c r="H472" s="748"/>
    </row>
    <row r="473" ht="15.75" customHeight="1">
      <c r="H473" s="748"/>
    </row>
    <row r="474" ht="15.75" customHeight="1">
      <c r="H474" s="748"/>
    </row>
    <row r="475" ht="15.75" customHeight="1">
      <c r="H475" s="748"/>
    </row>
    <row r="476" ht="15.75" customHeight="1">
      <c r="H476" s="748"/>
    </row>
    <row r="477" ht="15.75" customHeight="1">
      <c r="H477" s="748"/>
    </row>
    <row r="478" ht="15.75" customHeight="1">
      <c r="H478" s="748"/>
    </row>
    <row r="479" ht="15.75" customHeight="1">
      <c r="H479" s="748"/>
    </row>
    <row r="480" ht="15.75" customHeight="1">
      <c r="H480" s="748"/>
    </row>
    <row r="481" ht="15.75" customHeight="1">
      <c r="H481" s="748"/>
    </row>
    <row r="482" ht="15.75" customHeight="1">
      <c r="H482" s="748"/>
    </row>
    <row r="483" ht="15.75" customHeight="1">
      <c r="H483" s="748"/>
    </row>
    <row r="484" ht="15.75" customHeight="1">
      <c r="H484" s="748"/>
    </row>
    <row r="485" ht="15.75" customHeight="1">
      <c r="H485" s="748"/>
    </row>
    <row r="486" ht="15.75" customHeight="1">
      <c r="H486" s="748"/>
    </row>
    <row r="487" ht="15.75" customHeight="1">
      <c r="H487" s="748"/>
    </row>
    <row r="488" ht="15.75" customHeight="1">
      <c r="H488" s="748"/>
    </row>
    <row r="489" ht="15.75" customHeight="1">
      <c r="H489" s="748"/>
    </row>
    <row r="490" ht="15.75" customHeight="1">
      <c r="H490" s="748"/>
    </row>
    <row r="491" ht="15.75" customHeight="1">
      <c r="H491" s="748"/>
    </row>
    <row r="492" ht="15.75" customHeight="1">
      <c r="H492" s="748"/>
    </row>
    <row r="493" ht="15.75" customHeight="1">
      <c r="H493" s="748"/>
    </row>
    <row r="494" ht="15.75" customHeight="1">
      <c r="H494" s="748"/>
    </row>
    <row r="495" ht="15.75" customHeight="1">
      <c r="H495" s="748"/>
    </row>
    <row r="496" ht="15.75" customHeight="1">
      <c r="H496" s="748"/>
    </row>
    <row r="497" ht="15.75" customHeight="1">
      <c r="H497" s="748"/>
    </row>
    <row r="498" ht="15.75" customHeight="1">
      <c r="H498" s="748"/>
    </row>
    <row r="499" ht="15.75" customHeight="1">
      <c r="H499" s="748"/>
    </row>
    <row r="500" ht="15.75" customHeight="1">
      <c r="H500" s="748"/>
    </row>
    <row r="501" ht="15.75" customHeight="1">
      <c r="H501" s="748"/>
    </row>
    <row r="502" ht="15.75" customHeight="1">
      <c r="H502" s="748"/>
    </row>
    <row r="503" ht="15.75" customHeight="1">
      <c r="H503" s="748"/>
    </row>
    <row r="504" ht="15.75" customHeight="1">
      <c r="H504" s="748"/>
    </row>
    <row r="505" ht="15.75" customHeight="1">
      <c r="H505" s="748"/>
    </row>
    <row r="506" ht="15.75" customHeight="1">
      <c r="H506" s="748"/>
    </row>
    <row r="507" ht="15.75" customHeight="1">
      <c r="H507" s="748"/>
    </row>
    <row r="508" ht="15.75" customHeight="1">
      <c r="H508" s="748"/>
    </row>
    <row r="509" ht="15.75" customHeight="1">
      <c r="H509" s="748"/>
    </row>
    <row r="510" ht="15.75" customHeight="1">
      <c r="H510" s="748"/>
    </row>
    <row r="511" ht="15.75" customHeight="1">
      <c r="H511" s="748"/>
    </row>
    <row r="512" ht="15.75" customHeight="1">
      <c r="H512" s="748"/>
    </row>
    <row r="513" ht="15.75" customHeight="1">
      <c r="H513" s="748"/>
    </row>
    <row r="514" ht="15.75" customHeight="1">
      <c r="H514" s="748"/>
    </row>
    <row r="515" ht="15.75" customHeight="1">
      <c r="H515" s="748"/>
    </row>
    <row r="516" ht="15.75" customHeight="1">
      <c r="H516" s="748"/>
    </row>
    <row r="517" ht="15.75" customHeight="1">
      <c r="H517" s="748"/>
    </row>
    <row r="518" ht="15.75" customHeight="1">
      <c r="H518" s="748"/>
    </row>
    <row r="519" ht="15.75" customHeight="1">
      <c r="H519" s="748"/>
    </row>
    <row r="520" ht="15.75" customHeight="1">
      <c r="H520" s="748"/>
    </row>
    <row r="521" ht="15.75" customHeight="1">
      <c r="H521" s="748"/>
    </row>
    <row r="522" ht="15.75" customHeight="1">
      <c r="H522" s="748"/>
    </row>
    <row r="523" ht="15.75" customHeight="1">
      <c r="H523" s="748"/>
    </row>
    <row r="524" ht="15.75" customHeight="1">
      <c r="H524" s="748"/>
    </row>
    <row r="525" ht="15.75" customHeight="1">
      <c r="H525" s="748"/>
    </row>
    <row r="526" ht="15.75" customHeight="1">
      <c r="H526" s="748"/>
    </row>
    <row r="527" ht="15.75" customHeight="1">
      <c r="H527" s="748"/>
    </row>
    <row r="528" ht="15.75" customHeight="1">
      <c r="H528" s="748"/>
    </row>
    <row r="529" ht="15.75" customHeight="1">
      <c r="H529" s="748"/>
    </row>
    <row r="530" ht="15.75" customHeight="1">
      <c r="H530" s="748"/>
    </row>
    <row r="531" ht="15.75" customHeight="1">
      <c r="H531" s="748"/>
    </row>
    <row r="532" ht="15.75" customHeight="1">
      <c r="H532" s="748"/>
    </row>
    <row r="533" ht="15.75" customHeight="1">
      <c r="H533" s="748"/>
    </row>
    <row r="534" ht="15.75" customHeight="1">
      <c r="H534" s="748"/>
    </row>
    <row r="535" ht="15.75" customHeight="1">
      <c r="H535" s="748"/>
    </row>
    <row r="536" ht="15.75" customHeight="1">
      <c r="H536" s="748"/>
    </row>
    <row r="537" ht="15.75" customHeight="1">
      <c r="H537" s="748"/>
    </row>
    <row r="538" ht="15.75" customHeight="1">
      <c r="H538" s="748"/>
    </row>
    <row r="539" ht="15.75" customHeight="1">
      <c r="H539" s="748"/>
    </row>
    <row r="540" ht="15.75" customHeight="1">
      <c r="H540" s="748"/>
    </row>
    <row r="541" ht="15.75" customHeight="1">
      <c r="H541" s="748"/>
    </row>
    <row r="542" ht="15.75" customHeight="1">
      <c r="H542" s="748"/>
    </row>
    <row r="543" ht="15.75" customHeight="1">
      <c r="H543" s="748"/>
    </row>
    <row r="544" ht="15.75" customHeight="1">
      <c r="H544" s="748"/>
    </row>
    <row r="545" ht="15.75" customHeight="1">
      <c r="H545" s="748"/>
    </row>
    <row r="546" ht="15.75" customHeight="1">
      <c r="H546" s="748"/>
    </row>
    <row r="547" ht="15.75" customHeight="1">
      <c r="H547" s="748"/>
    </row>
    <row r="548" ht="15.75" customHeight="1">
      <c r="H548" s="748"/>
    </row>
    <row r="549" ht="15.75" customHeight="1">
      <c r="H549" s="748"/>
    </row>
    <row r="550" ht="15.75" customHeight="1">
      <c r="H550" s="748"/>
    </row>
    <row r="551" ht="15.75" customHeight="1">
      <c r="H551" s="748"/>
    </row>
    <row r="552" ht="15.75" customHeight="1">
      <c r="H552" s="748"/>
    </row>
    <row r="553" ht="15.75" customHeight="1">
      <c r="H553" s="748"/>
    </row>
    <row r="554" ht="15.75" customHeight="1">
      <c r="H554" s="748"/>
    </row>
    <row r="555" ht="15.75" customHeight="1">
      <c r="H555" s="748"/>
    </row>
    <row r="556" ht="15.75" customHeight="1">
      <c r="H556" s="748"/>
    </row>
    <row r="557" ht="15.75" customHeight="1">
      <c r="H557" s="748"/>
    </row>
    <row r="558" ht="15.75" customHeight="1">
      <c r="H558" s="748"/>
    </row>
    <row r="559" ht="15.75" customHeight="1">
      <c r="H559" s="748"/>
    </row>
    <row r="560" ht="15.75" customHeight="1">
      <c r="H560" s="748"/>
    </row>
    <row r="561" ht="15.75" customHeight="1">
      <c r="H561" s="748"/>
    </row>
    <row r="562" ht="15.75" customHeight="1">
      <c r="H562" s="748"/>
    </row>
    <row r="563" ht="15.75" customHeight="1">
      <c r="H563" s="748"/>
    </row>
    <row r="564" ht="15.75" customHeight="1">
      <c r="H564" s="748"/>
    </row>
    <row r="565" ht="15.75" customHeight="1">
      <c r="H565" s="748"/>
    </row>
    <row r="566" ht="15.75" customHeight="1">
      <c r="H566" s="748"/>
    </row>
    <row r="567" ht="15.75" customHeight="1">
      <c r="H567" s="748"/>
    </row>
    <row r="568" ht="15.75" customHeight="1">
      <c r="H568" s="748"/>
    </row>
    <row r="569" ht="15.75" customHeight="1">
      <c r="H569" s="748"/>
    </row>
    <row r="570" ht="15.75" customHeight="1">
      <c r="H570" s="748"/>
    </row>
    <row r="571" ht="15.75" customHeight="1">
      <c r="H571" s="748"/>
    </row>
    <row r="572" ht="15.75" customHeight="1">
      <c r="H572" s="748"/>
    </row>
    <row r="573" ht="15.75" customHeight="1">
      <c r="H573" s="748"/>
    </row>
    <row r="574" ht="15.75" customHeight="1">
      <c r="H574" s="748"/>
    </row>
    <row r="575" ht="15.75" customHeight="1">
      <c r="H575" s="748"/>
    </row>
    <row r="576" ht="15.75" customHeight="1">
      <c r="H576" s="748"/>
    </row>
    <row r="577" ht="15.75" customHeight="1">
      <c r="H577" s="748"/>
    </row>
    <row r="578" ht="15.75" customHeight="1">
      <c r="H578" s="748"/>
    </row>
    <row r="579" ht="15.75" customHeight="1">
      <c r="H579" s="748"/>
    </row>
    <row r="580" ht="15.75" customHeight="1">
      <c r="H580" s="748"/>
    </row>
    <row r="581" ht="15.75" customHeight="1">
      <c r="H581" s="748"/>
    </row>
    <row r="582" ht="15.75" customHeight="1">
      <c r="H582" s="748"/>
    </row>
    <row r="583" ht="15.75" customHeight="1">
      <c r="H583" s="748"/>
    </row>
    <row r="584" ht="15.75" customHeight="1">
      <c r="H584" s="748"/>
    </row>
    <row r="585" ht="15.75" customHeight="1">
      <c r="H585" s="748"/>
    </row>
    <row r="586" ht="15.75" customHeight="1">
      <c r="H586" s="748"/>
    </row>
    <row r="587" ht="15.75" customHeight="1">
      <c r="H587" s="748"/>
    </row>
    <row r="588" ht="15.75" customHeight="1">
      <c r="H588" s="748"/>
    </row>
    <row r="589" ht="15.75" customHeight="1">
      <c r="H589" s="748"/>
    </row>
    <row r="590" ht="15.75" customHeight="1">
      <c r="H590" s="748"/>
    </row>
    <row r="591" ht="15.75" customHeight="1">
      <c r="H591" s="748"/>
    </row>
    <row r="592" ht="15.75" customHeight="1">
      <c r="H592" s="748"/>
    </row>
    <row r="593" ht="15.75" customHeight="1">
      <c r="H593" s="748"/>
    </row>
    <row r="594" ht="15.75" customHeight="1">
      <c r="H594" s="748"/>
    </row>
    <row r="595" ht="15.75" customHeight="1">
      <c r="H595" s="748"/>
    </row>
    <row r="596" ht="15.75" customHeight="1">
      <c r="H596" s="748"/>
    </row>
    <row r="597" ht="15.75" customHeight="1">
      <c r="H597" s="748"/>
    </row>
    <row r="598" ht="15.75" customHeight="1">
      <c r="H598" s="748"/>
    </row>
    <row r="599" ht="15.75" customHeight="1">
      <c r="H599" s="748"/>
    </row>
    <row r="600" ht="15.75" customHeight="1">
      <c r="H600" s="748"/>
    </row>
    <row r="601" ht="15.75" customHeight="1">
      <c r="H601" s="748"/>
    </row>
    <row r="602" ht="15.75" customHeight="1">
      <c r="H602" s="748"/>
    </row>
    <row r="603" ht="15.75" customHeight="1">
      <c r="H603" s="748"/>
    </row>
    <row r="604" ht="15.75" customHeight="1">
      <c r="H604" s="748"/>
    </row>
    <row r="605" ht="15.75" customHeight="1">
      <c r="H605" s="748"/>
    </row>
    <row r="606" ht="15.75" customHeight="1">
      <c r="H606" s="748"/>
    </row>
    <row r="607" ht="15.75" customHeight="1">
      <c r="H607" s="748"/>
    </row>
    <row r="608" ht="15.75" customHeight="1">
      <c r="H608" s="748"/>
    </row>
    <row r="609" ht="15.75" customHeight="1">
      <c r="H609" s="748"/>
    </row>
    <row r="610" ht="15.75" customHeight="1">
      <c r="H610" s="748"/>
    </row>
    <row r="611" ht="15.75" customHeight="1">
      <c r="H611" s="748"/>
    </row>
    <row r="612" ht="15.75" customHeight="1">
      <c r="H612" s="748"/>
    </row>
    <row r="613" ht="15.75" customHeight="1">
      <c r="H613" s="748"/>
    </row>
    <row r="614" ht="15.75" customHeight="1">
      <c r="H614" s="748"/>
    </row>
    <row r="615" ht="15.75" customHeight="1">
      <c r="H615" s="748"/>
    </row>
    <row r="616" ht="15.75" customHeight="1">
      <c r="H616" s="748"/>
    </row>
    <row r="617" ht="15.75" customHeight="1">
      <c r="H617" s="748"/>
    </row>
    <row r="618" ht="15.75" customHeight="1">
      <c r="H618" s="748"/>
    </row>
    <row r="619" ht="15.75" customHeight="1">
      <c r="H619" s="748"/>
    </row>
    <row r="620" ht="15.75" customHeight="1">
      <c r="H620" s="748"/>
    </row>
    <row r="621" ht="15.75" customHeight="1">
      <c r="H621" s="748"/>
    </row>
    <row r="622" ht="15.75" customHeight="1">
      <c r="H622" s="748"/>
    </row>
    <row r="623" ht="15.75" customHeight="1">
      <c r="H623" s="748"/>
    </row>
    <row r="624" ht="15.75" customHeight="1">
      <c r="H624" s="748"/>
    </row>
    <row r="625" ht="15.75" customHeight="1">
      <c r="H625" s="748"/>
    </row>
    <row r="626" ht="15.75" customHeight="1">
      <c r="H626" s="748"/>
    </row>
    <row r="627" ht="15.75" customHeight="1">
      <c r="H627" s="748"/>
    </row>
    <row r="628" ht="15.75" customHeight="1">
      <c r="H628" s="748"/>
    </row>
    <row r="629" ht="15.75" customHeight="1">
      <c r="H629" s="748"/>
    </row>
    <row r="630" ht="15.75" customHeight="1">
      <c r="H630" s="748"/>
    </row>
    <row r="631" ht="15.75" customHeight="1">
      <c r="H631" s="748"/>
    </row>
    <row r="632" ht="15.75" customHeight="1">
      <c r="H632" s="748"/>
    </row>
    <row r="633" ht="15.75" customHeight="1">
      <c r="H633" s="748"/>
    </row>
    <row r="634" ht="15.75" customHeight="1">
      <c r="H634" s="748"/>
    </row>
    <row r="635" ht="15.75" customHeight="1">
      <c r="H635" s="748"/>
    </row>
    <row r="636" ht="15.75" customHeight="1">
      <c r="H636" s="748"/>
    </row>
    <row r="637" ht="15.75" customHeight="1">
      <c r="H637" s="748"/>
    </row>
    <row r="638" ht="15.75" customHeight="1">
      <c r="H638" s="748"/>
    </row>
    <row r="639" ht="15.75" customHeight="1">
      <c r="H639" s="748"/>
    </row>
    <row r="640" ht="15.75" customHeight="1">
      <c r="H640" s="748"/>
    </row>
    <row r="641" ht="15.75" customHeight="1">
      <c r="H641" s="748"/>
    </row>
    <row r="642" ht="15.75" customHeight="1">
      <c r="H642" s="748"/>
    </row>
    <row r="643" ht="15.75" customHeight="1">
      <c r="H643" s="748"/>
    </row>
    <row r="644" ht="15.75" customHeight="1">
      <c r="H644" s="748"/>
    </row>
    <row r="645" ht="15.75" customHeight="1">
      <c r="H645" s="748"/>
    </row>
    <row r="646" ht="15.75" customHeight="1">
      <c r="H646" s="748"/>
    </row>
    <row r="647" ht="15.75" customHeight="1">
      <c r="H647" s="748"/>
    </row>
    <row r="648" ht="15.75" customHeight="1">
      <c r="H648" s="748"/>
    </row>
    <row r="649" ht="15.75" customHeight="1">
      <c r="H649" s="748"/>
    </row>
    <row r="650" ht="15.75" customHeight="1">
      <c r="H650" s="748"/>
    </row>
    <row r="651" ht="15.75" customHeight="1">
      <c r="H651" s="748"/>
    </row>
    <row r="652" ht="15.75" customHeight="1">
      <c r="H652" s="748"/>
    </row>
    <row r="653" ht="15.75" customHeight="1">
      <c r="H653" s="748"/>
    </row>
    <row r="654" ht="15.75" customHeight="1">
      <c r="H654" s="748"/>
    </row>
    <row r="655" ht="15.75" customHeight="1">
      <c r="H655" s="748"/>
    </row>
    <row r="656" ht="15.75" customHeight="1">
      <c r="H656" s="748"/>
    </row>
    <row r="657" ht="15.75" customHeight="1">
      <c r="H657" s="748"/>
    </row>
    <row r="658" ht="15.75" customHeight="1">
      <c r="H658" s="748"/>
    </row>
    <row r="659" ht="15.75" customHeight="1">
      <c r="H659" s="748"/>
    </row>
    <row r="660" ht="15.75" customHeight="1">
      <c r="H660" s="748"/>
    </row>
    <row r="661" ht="15.75" customHeight="1">
      <c r="H661" s="748"/>
    </row>
    <row r="662" ht="15.75" customHeight="1">
      <c r="H662" s="748"/>
    </row>
    <row r="663" ht="15.75" customHeight="1">
      <c r="H663" s="748"/>
    </row>
    <row r="664" ht="15.75" customHeight="1">
      <c r="H664" s="748"/>
    </row>
    <row r="665" ht="15.75" customHeight="1">
      <c r="H665" s="748"/>
    </row>
    <row r="666" ht="15.75" customHeight="1">
      <c r="H666" s="748"/>
    </row>
    <row r="667" ht="15.75" customHeight="1">
      <c r="H667" s="748"/>
    </row>
    <row r="668" ht="15.75" customHeight="1">
      <c r="H668" s="748"/>
    </row>
    <row r="669" ht="15.75" customHeight="1">
      <c r="H669" s="748"/>
    </row>
    <row r="670" ht="15.75" customHeight="1">
      <c r="H670" s="748"/>
    </row>
    <row r="671" ht="15.75" customHeight="1">
      <c r="H671" s="748"/>
    </row>
    <row r="672" ht="15.75" customHeight="1">
      <c r="H672" s="748"/>
    </row>
    <row r="673" ht="15.75" customHeight="1">
      <c r="H673" s="748"/>
    </row>
    <row r="674" ht="15.75" customHeight="1">
      <c r="H674" s="748"/>
    </row>
    <row r="675" ht="15.75" customHeight="1">
      <c r="H675" s="748"/>
    </row>
    <row r="676" ht="15.75" customHeight="1">
      <c r="H676" s="748"/>
    </row>
    <row r="677" ht="15.75" customHeight="1">
      <c r="H677" s="748"/>
    </row>
    <row r="678" ht="15.75" customHeight="1">
      <c r="H678" s="748"/>
    </row>
    <row r="679" ht="15.75" customHeight="1">
      <c r="H679" s="748"/>
    </row>
    <row r="680" ht="15.75" customHeight="1">
      <c r="H680" s="748"/>
    </row>
    <row r="681" ht="15.75" customHeight="1">
      <c r="H681" s="748"/>
    </row>
    <row r="682" ht="15.75" customHeight="1">
      <c r="H682" s="748"/>
    </row>
    <row r="683" ht="15.75" customHeight="1">
      <c r="H683" s="748"/>
    </row>
    <row r="684" ht="15.75" customHeight="1">
      <c r="H684" s="748"/>
    </row>
    <row r="685" ht="15.75" customHeight="1">
      <c r="H685" s="748"/>
    </row>
    <row r="686" ht="15.75" customHeight="1">
      <c r="H686" s="748"/>
    </row>
    <row r="687" ht="15.75" customHeight="1">
      <c r="H687" s="748"/>
    </row>
    <row r="688" ht="15.75" customHeight="1">
      <c r="H688" s="748"/>
    </row>
    <row r="689" ht="15.75" customHeight="1">
      <c r="H689" s="748"/>
    </row>
    <row r="690" ht="15.75" customHeight="1">
      <c r="H690" s="748"/>
    </row>
    <row r="691" ht="15.75" customHeight="1">
      <c r="H691" s="748"/>
    </row>
    <row r="692" ht="15.75" customHeight="1">
      <c r="H692" s="748"/>
    </row>
    <row r="693" ht="15.75" customHeight="1">
      <c r="H693" s="748"/>
    </row>
    <row r="694" ht="15.75" customHeight="1">
      <c r="H694" s="748"/>
    </row>
    <row r="695" ht="15.75" customHeight="1">
      <c r="H695" s="748"/>
    </row>
    <row r="696" ht="15.75" customHeight="1">
      <c r="H696" s="748"/>
    </row>
    <row r="697" ht="15.75" customHeight="1">
      <c r="H697" s="748"/>
    </row>
    <row r="698" ht="15.75" customHeight="1">
      <c r="H698" s="748"/>
    </row>
    <row r="699" ht="15.75" customHeight="1">
      <c r="H699" s="748"/>
    </row>
    <row r="700" ht="15.75" customHeight="1">
      <c r="H700" s="748"/>
    </row>
    <row r="701" ht="15.75" customHeight="1">
      <c r="H701" s="748"/>
    </row>
    <row r="702" ht="15.75" customHeight="1">
      <c r="H702" s="748"/>
    </row>
    <row r="703" ht="15.75" customHeight="1">
      <c r="H703" s="748"/>
    </row>
    <row r="704" ht="15.75" customHeight="1">
      <c r="H704" s="748"/>
    </row>
    <row r="705" ht="15.75" customHeight="1">
      <c r="H705" s="748"/>
    </row>
    <row r="706" ht="15.75" customHeight="1">
      <c r="H706" s="748"/>
    </row>
    <row r="707" ht="15.75" customHeight="1">
      <c r="H707" s="748"/>
    </row>
    <row r="708" ht="15.75" customHeight="1">
      <c r="H708" s="748"/>
    </row>
    <row r="709" ht="15.75" customHeight="1">
      <c r="H709" s="748"/>
    </row>
    <row r="710" ht="15.75" customHeight="1">
      <c r="H710" s="748"/>
    </row>
    <row r="711" ht="15.75" customHeight="1">
      <c r="H711" s="748"/>
    </row>
    <row r="712" ht="15.75" customHeight="1">
      <c r="H712" s="748"/>
    </row>
    <row r="713" ht="15.75" customHeight="1">
      <c r="H713" s="748"/>
    </row>
    <row r="714" ht="15.75" customHeight="1">
      <c r="H714" s="748"/>
    </row>
    <row r="715" ht="15.75" customHeight="1">
      <c r="H715" s="748"/>
    </row>
    <row r="716" ht="15.75" customHeight="1">
      <c r="H716" s="748"/>
    </row>
    <row r="717" ht="15.75" customHeight="1">
      <c r="H717" s="748"/>
    </row>
    <row r="718" ht="15.75" customHeight="1">
      <c r="H718" s="748"/>
    </row>
    <row r="719" ht="15.75" customHeight="1">
      <c r="H719" s="748"/>
    </row>
    <row r="720" ht="15.75" customHeight="1">
      <c r="H720" s="748"/>
    </row>
    <row r="721" ht="15.75" customHeight="1">
      <c r="H721" s="748"/>
    </row>
    <row r="722" ht="15.75" customHeight="1">
      <c r="H722" s="748"/>
    </row>
    <row r="723" ht="15.75" customHeight="1">
      <c r="H723" s="748"/>
    </row>
    <row r="724" ht="15.75" customHeight="1">
      <c r="H724" s="748"/>
    </row>
    <row r="725" ht="15.75" customHeight="1">
      <c r="H725" s="748"/>
    </row>
    <row r="726" ht="15.75" customHeight="1">
      <c r="H726" s="748"/>
    </row>
    <row r="727" ht="15.75" customHeight="1">
      <c r="H727" s="748"/>
    </row>
    <row r="728" ht="15.75" customHeight="1">
      <c r="H728" s="748"/>
    </row>
    <row r="729" ht="15.75" customHeight="1">
      <c r="H729" s="748"/>
    </row>
    <row r="730" ht="15.75" customHeight="1">
      <c r="H730" s="748"/>
    </row>
    <row r="731" ht="15.75" customHeight="1">
      <c r="H731" s="748"/>
    </row>
    <row r="732" ht="15.75" customHeight="1">
      <c r="H732" s="748"/>
    </row>
    <row r="733" ht="15.75" customHeight="1">
      <c r="H733" s="748"/>
    </row>
    <row r="734" ht="15.75" customHeight="1">
      <c r="H734" s="748"/>
    </row>
    <row r="735" ht="15.75" customHeight="1">
      <c r="H735" s="748"/>
    </row>
    <row r="736" ht="15.75" customHeight="1">
      <c r="H736" s="748"/>
    </row>
    <row r="737" ht="15.75" customHeight="1">
      <c r="H737" s="748"/>
    </row>
    <row r="738" ht="15.75" customHeight="1">
      <c r="H738" s="748"/>
    </row>
    <row r="739" ht="15.75" customHeight="1">
      <c r="H739" s="748"/>
    </row>
    <row r="740" ht="15.75" customHeight="1">
      <c r="H740" s="748"/>
    </row>
    <row r="741" ht="15.75" customHeight="1">
      <c r="H741" s="748"/>
    </row>
    <row r="742" ht="15.75" customHeight="1">
      <c r="H742" s="748"/>
    </row>
    <row r="743" ht="15.75" customHeight="1">
      <c r="H743" s="748"/>
    </row>
    <row r="744" ht="15.75" customHeight="1">
      <c r="H744" s="748"/>
    </row>
    <row r="745" ht="15.75" customHeight="1">
      <c r="H745" s="748"/>
    </row>
    <row r="746" ht="15.75" customHeight="1">
      <c r="H746" s="748"/>
    </row>
    <row r="747" ht="15.75" customHeight="1">
      <c r="H747" s="748"/>
    </row>
    <row r="748" ht="15.75" customHeight="1">
      <c r="H748" s="748"/>
    </row>
    <row r="749" ht="15.75" customHeight="1">
      <c r="H749" s="748"/>
    </row>
    <row r="750" ht="15.75" customHeight="1">
      <c r="H750" s="748"/>
    </row>
    <row r="751" ht="15.75" customHeight="1">
      <c r="H751" s="748"/>
    </row>
    <row r="752" ht="15.75" customHeight="1">
      <c r="H752" s="748"/>
    </row>
    <row r="753" ht="15.75" customHeight="1">
      <c r="H753" s="748"/>
    </row>
    <row r="754" ht="15.75" customHeight="1">
      <c r="H754" s="748"/>
    </row>
    <row r="755" ht="15.75" customHeight="1">
      <c r="H755" s="748"/>
    </row>
    <row r="756" ht="15.75" customHeight="1">
      <c r="H756" s="748"/>
    </row>
    <row r="757" ht="15.75" customHeight="1">
      <c r="H757" s="748"/>
    </row>
    <row r="758" ht="15.75" customHeight="1">
      <c r="H758" s="748"/>
    </row>
    <row r="759" ht="15.75" customHeight="1">
      <c r="H759" s="748"/>
    </row>
    <row r="760" ht="15.75" customHeight="1">
      <c r="H760" s="748"/>
    </row>
    <row r="761" ht="15.75" customHeight="1">
      <c r="H761" s="748"/>
    </row>
    <row r="762" ht="15.75" customHeight="1">
      <c r="H762" s="748"/>
    </row>
    <row r="763" ht="15.75" customHeight="1">
      <c r="H763" s="748"/>
    </row>
    <row r="764" ht="15.75" customHeight="1">
      <c r="H764" s="748"/>
    </row>
    <row r="765" ht="15.75" customHeight="1">
      <c r="H765" s="748"/>
    </row>
    <row r="766" ht="15.75" customHeight="1">
      <c r="H766" s="748"/>
    </row>
    <row r="767" ht="15.75" customHeight="1">
      <c r="H767" s="748"/>
    </row>
    <row r="768" ht="15.75" customHeight="1">
      <c r="H768" s="748"/>
    </row>
    <row r="769" ht="15.75" customHeight="1">
      <c r="H769" s="748"/>
    </row>
    <row r="770" ht="15.75" customHeight="1">
      <c r="H770" s="748"/>
    </row>
    <row r="771" ht="15.75" customHeight="1">
      <c r="H771" s="748"/>
    </row>
    <row r="772" ht="15.75" customHeight="1">
      <c r="H772" s="748"/>
    </row>
    <row r="773" ht="15.75" customHeight="1">
      <c r="H773" s="748"/>
    </row>
    <row r="774" ht="15.75" customHeight="1">
      <c r="H774" s="748"/>
    </row>
    <row r="775" ht="15.75" customHeight="1">
      <c r="H775" s="748"/>
    </row>
    <row r="776" ht="15.75" customHeight="1">
      <c r="H776" s="748"/>
    </row>
    <row r="777" ht="15.75" customHeight="1">
      <c r="H777" s="748"/>
    </row>
    <row r="778" ht="15.75" customHeight="1">
      <c r="H778" s="748"/>
    </row>
    <row r="779" ht="15.75" customHeight="1">
      <c r="H779" s="748"/>
    </row>
    <row r="780" ht="15.75" customHeight="1">
      <c r="H780" s="748"/>
    </row>
    <row r="781" ht="15.75" customHeight="1">
      <c r="H781" s="748"/>
    </row>
    <row r="782" ht="15.75" customHeight="1">
      <c r="H782" s="748"/>
    </row>
    <row r="783" ht="15.75" customHeight="1">
      <c r="H783" s="748"/>
    </row>
    <row r="784" ht="15.75" customHeight="1">
      <c r="H784" s="748"/>
    </row>
    <row r="785" ht="15.75" customHeight="1">
      <c r="H785" s="748"/>
    </row>
    <row r="786" ht="15.75" customHeight="1">
      <c r="H786" s="748"/>
    </row>
    <row r="787" ht="15.75" customHeight="1">
      <c r="H787" s="748"/>
    </row>
    <row r="788" ht="15.75" customHeight="1">
      <c r="H788" s="748"/>
    </row>
    <row r="789" ht="15.75" customHeight="1">
      <c r="H789" s="748"/>
    </row>
    <row r="790" ht="15.75" customHeight="1">
      <c r="H790" s="748"/>
    </row>
    <row r="791" ht="15.75" customHeight="1">
      <c r="H791" s="748"/>
    </row>
    <row r="792" ht="15.75" customHeight="1">
      <c r="H792" s="748"/>
    </row>
    <row r="793" ht="15.75" customHeight="1">
      <c r="H793" s="748"/>
    </row>
    <row r="794" ht="15.75" customHeight="1">
      <c r="H794" s="748"/>
    </row>
    <row r="795" ht="15.75" customHeight="1">
      <c r="H795" s="748"/>
    </row>
    <row r="796" ht="15.75" customHeight="1">
      <c r="H796" s="748"/>
    </row>
    <row r="797" ht="15.75" customHeight="1">
      <c r="H797" s="748"/>
    </row>
    <row r="798" ht="15.75" customHeight="1">
      <c r="H798" s="748"/>
    </row>
    <row r="799" ht="15.75" customHeight="1">
      <c r="H799" s="748"/>
    </row>
    <row r="800" ht="15.75" customHeight="1">
      <c r="H800" s="748"/>
    </row>
    <row r="801" ht="15.75" customHeight="1">
      <c r="H801" s="748"/>
    </row>
    <row r="802" ht="15.75" customHeight="1">
      <c r="H802" s="748"/>
    </row>
    <row r="803" ht="15.75" customHeight="1">
      <c r="H803" s="748"/>
    </row>
    <row r="804" ht="15.75" customHeight="1">
      <c r="H804" s="748"/>
    </row>
    <row r="805" ht="15.75" customHeight="1">
      <c r="H805" s="748"/>
    </row>
    <row r="806" ht="15.75" customHeight="1">
      <c r="H806" s="748"/>
    </row>
    <row r="807" ht="15.75" customHeight="1">
      <c r="H807" s="748"/>
    </row>
    <row r="808" ht="15.75" customHeight="1">
      <c r="H808" s="748"/>
    </row>
    <row r="809" ht="15.75" customHeight="1">
      <c r="H809" s="748"/>
    </row>
    <row r="810" ht="15.75" customHeight="1">
      <c r="H810" s="748"/>
    </row>
    <row r="811" ht="15.75" customHeight="1">
      <c r="H811" s="748"/>
    </row>
    <row r="812" ht="15.75" customHeight="1">
      <c r="H812" s="748"/>
    </row>
    <row r="813" ht="15.75" customHeight="1">
      <c r="H813" s="748"/>
    </row>
    <row r="814" ht="15.75" customHeight="1">
      <c r="H814" s="748"/>
    </row>
    <row r="815" ht="15.75" customHeight="1">
      <c r="H815" s="748"/>
    </row>
    <row r="816" ht="15.75" customHeight="1">
      <c r="H816" s="748"/>
    </row>
    <row r="817" ht="15.75" customHeight="1">
      <c r="H817" s="748"/>
    </row>
    <row r="818" ht="15.75" customHeight="1">
      <c r="H818" s="748"/>
    </row>
    <row r="819" ht="15.75" customHeight="1">
      <c r="H819" s="748"/>
    </row>
    <row r="820" ht="15.75" customHeight="1">
      <c r="H820" s="748"/>
    </row>
    <row r="821" ht="15.75" customHeight="1">
      <c r="H821" s="748"/>
    </row>
    <row r="822" ht="15.75" customHeight="1">
      <c r="H822" s="748"/>
    </row>
    <row r="823" ht="15.75" customHeight="1">
      <c r="H823" s="748"/>
    </row>
    <row r="824" ht="15.75" customHeight="1">
      <c r="H824" s="748"/>
    </row>
    <row r="825" ht="15.75" customHeight="1">
      <c r="H825" s="748"/>
    </row>
    <row r="826" ht="15.75" customHeight="1">
      <c r="H826" s="748"/>
    </row>
    <row r="827" ht="15.75" customHeight="1">
      <c r="H827" s="748"/>
    </row>
    <row r="828" ht="15.75" customHeight="1">
      <c r="H828" s="748"/>
    </row>
    <row r="829" ht="15.75" customHeight="1">
      <c r="H829" s="748"/>
    </row>
    <row r="830" ht="15.75" customHeight="1">
      <c r="H830" s="748"/>
    </row>
    <row r="831" ht="15.75" customHeight="1">
      <c r="H831" s="748"/>
    </row>
    <row r="832" ht="15.75" customHeight="1">
      <c r="H832" s="748"/>
    </row>
    <row r="833" ht="15.75" customHeight="1">
      <c r="H833" s="748"/>
    </row>
    <row r="834" ht="15.75" customHeight="1">
      <c r="H834" s="748"/>
    </row>
    <row r="835" ht="15.75" customHeight="1">
      <c r="H835" s="748"/>
    </row>
    <row r="836" ht="15.75" customHeight="1">
      <c r="H836" s="748"/>
    </row>
    <row r="837" ht="15.75" customHeight="1">
      <c r="H837" s="748"/>
    </row>
    <row r="838" ht="15.75" customHeight="1">
      <c r="H838" s="748"/>
    </row>
    <row r="839" ht="15.75" customHeight="1">
      <c r="H839" s="748"/>
    </row>
    <row r="840" ht="15.75" customHeight="1">
      <c r="H840" s="748"/>
    </row>
    <row r="841" ht="15.75" customHeight="1">
      <c r="H841" s="748"/>
    </row>
    <row r="842" ht="15.75" customHeight="1">
      <c r="H842" s="748"/>
    </row>
    <row r="843" ht="15.75" customHeight="1">
      <c r="H843" s="748"/>
    </row>
    <row r="844" ht="15.75" customHeight="1">
      <c r="H844" s="748"/>
    </row>
    <row r="845" ht="15.75" customHeight="1">
      <c r="H845" s="748"/>
    </row>
    <row r="846" ht="15.75" customHeight="1">
      <c r="H846" s="748"/>
    </row>
    <row r="847" ht="15.75" customHeight="1">
      <c r="H847" s="748"/>
    </row>
    <row r="848" ht="15.75" customHeight="1">
      <c r="H848" s="748"/>
    </row>
    <row r="849" ht="15.75" customHeight="1">
      <c r="H849" s="748"/>
    </row>
    <row r="850" ht="15.75" customHeight="1">
      <c r="H850" s="748"/>
    </row>
    <row r="851" ht="15.75" customHeight="1">
      <c r="H851" s="748"/>
    </row>
    <row r="852" ht="15.75" customHeight="1">
      <c r="H852" s="748"/>
    </row>
    <row r="853" ht="15.75" customHeight="1">
      <c r="H853" s="748"/>
    </row>
    <row r="854" ht="15.75" customHeight="1">
      <c r="H854" s="748"/>
    </row>
    <row r="855" ht="15.75" customHeight="1">
      <c r="H855" s="748"/>
    </row>
    <row r="856" ht="15.75" customHeight="1">
      <c r="H856" s="748"/>
    </row>
    <row r="857" ht="15.75" customHeight="1">
      <c r="H857" s="748"/>
    </row>
    <row r="858" ht="15.75" customHeight="1">
      <c r="H858" s="748"/>
    </row>
    <row r="859" ht="15.75" customHeight="1">
      <c r="H859" s="748"/>
    </row>
    <row r="860" ht="15.75" customHeight="1">
      <c r="H860" s="748"/>
    </row>
    <row r="861" ht="15.75" customHeight="1">
      <c r="H861" s="748"/>
    </row>
    <row r="862" ht="15.75" customHeight="1">
      <c r="H862" s="748"/>
    </row>
    <row r="863" ht="15.75" customHeight="1">
      <c r="H863" s="748"/>
    </row>
    <row r="864" ht="15.75" customHeight="1">
      <c r="H864" s="748"/>
    </row>
    <row r="865" ht="15.75" customHeight="1">
      <c r="H865" s="748"/>
    </row>
    <row r="866" ht="15.75" customHeight="1">
      <c r="H866" s="748"/>
    </row>
    <row r="867" ht="15.75" customHeight="1">
      <c r="H867" s="748"/>
    </row>
    <row r="868" ht="15.75" customHeight="1">
      <c r="H868" s="748"/>
    </row>
    <row r="869" ht="15.75" customHeight="1">
      <c r="H869" s="748"/>
    </row>
    <row r="870" ht="15.75" customHeight="1">
      <c r="H870" s="748"/>
    </row>
    <row r="871" ht="15.75" customHeight="1">
      <c r="H871" s="748"/>
    </row>
    <row r="872" ht="15.75" customHeight="1">
      <c r="H872" s="748"/>
    </row>
    <row r="873" ht="15.75" customHeight="1">
      <c r="H873" s="748"/>
    </row>
    <row r="874" ht="15.75" customHeight="1">
      <c r="H874" s="748"/>
    </row>
    <row r="875" ht="15.75" customHeight="1">
      <c r="H875" s="748"/>
    </row>
    <row r="876" ht="15.75" customHeight="1">
      <c r="H876" s="748"/>
    </row>
    <row r="877" ht="15.75" customHeight="1">
      <c r="H877" s="748"/>
    </row>
    <row r="878" ht="15.75" customHeight="1">
      <c r="H878" s="748"/>
    </row>
    <row r="879" ht="15.75" customHeight="1">
      <c r="H879" s="748"/>
    </row>
    <row r="880" ht="15.75" customHeight="1">
      <c r="H880" s="748"/>
    </row>
    <row r="881" ht="15.75" customHeight="1">
      <c r="H881" s="748"/>
    </row>
    <row r="882" ht="15.75" customHeight="1">
      <c r="H882" s="748"/>
    </row>
    <row r="883" ht="15.75" customHeight="1">
      <c r="H883" s="748"/>
    </row>
    <row r="884" ht="15.75" customHeight="1">
      <c r="H884" s="748"/>
    </row>
    <row r="885" ht="15.75" customHeight="1">
      <c r="H885" s="748"/>
    </row>
    <row r="886" ht="15.75" customHeight="1">
      <c r="H886" s="748"/>
    </row>
    <row r="887" ht="15.75" customHeight="1">
      <c r="H887" s="748"/>
    </row>
    <row r="888" ht="15.75" customHeight="1">
      <c r="H888" s="748"/>
    </row>
    <row r="889" ht="15.75" customHeight="1">
      <c r="H889" s="748"/>
    </row>
    <row r="890" ht="15.75" customHeight="1">
      <c r="H890" s="748"/>
    </row>
    <row r="891" ht="15.75" customHeight="1">
      <c r="H891" s="748"/>
    </row>
    <row r="892" ht="15.75" customHeight="1">
      <c r="H892" s="748"/>
    </row>
    <row r="893" ht="15.75" customHeight="1">
      <c r="H893" s="748"/>
    </row>
    <row r="894" ht="15.75" customHeight="1">
      <c r="H894" s="748"/>
    </row>
    <row r="895" ht="15.75" customHeight="1">
      <c r="H895" s="748"/>
    </row>
    <row r="896" ht="15.75" customHeight="1">
      <c r="H896" s="748"/>
    </row>
    <row r="897" ht="15.75" customHeight="1">
      <c r="H897" s="748"/>
    </row>
    <row r="898" ht="15.75" customHeight="1">
      <c r="H898" s="748"/>
    </row>
    <row r="899" ht="15.75" customHeight="1">
      <c r="H899" s="748"/>
    </row>
    <row r="900" ht="15.75" customHeight="1">
      <c r="H900" s="748"/>
    </row>
    <row r="901" ht="15.75" customHeight="1">
      <c r="H901" s="748"/>
    </row>
    <row r="902" ht="15.75" customHeight="1">
      <c r="H902" s="748"/>
    </row>
    <row r="903" ht="15.75" customHeight="1">
      <c r="H903" s="748"/>
    </row>
    <row r="904" ht="15.75" customHeight="1">
      <c r="H904" s="748"/>
    </row>
    <row r="905" ht="15.75" customHeight="1">
      <c r="H905" s="748"/>
    </row>
    <row r="906" ht="15.75" customHeight="1">
      <c r="H906" s="748"/>
    </row>
    <row r="907" ht="15.75" customHeight="1">
      <c r="H907" s="748"/>
    </row>
    <row r="908" ht="15.75" customHeight="1">
      <c r="H908" s="748"/>
    </row>
    <row r="909" ht="15.75" customHeight="1">
      <c r="H909" s="748"/>
    </row>
    <row r="910" ht="15.75" customHeight="1">
      <c r="H910" s="748"/>
    </row>
    <row r="911" ht="15.75" customHeight="1">
      <c r="H911" s="748"/>
    </row>
    <row r="912" ht="15.75" customHeight="1">
      <c r="H912" s="748"/>
    </row>
    <row r="913" ht="15.75" customHeight="1">
      <c r="H913" s="748"/>
    </row>
    <row r="914" ht="15.75" customHeight="1">
      <c r="H914" s="748"/>
    </row>
    <row r="915" ht="15.75" customHeight="1">
      <c r="H915" s="748"/>
    </row>
    <row r="916" ht="15.75" customHeight="1">
      <c r="H916" s="748"/>
    </row>
    <row r="917" ht="15.75" customHeight="1">
      <c r="H917" s="748"/>
    </row>
    <row r="918" ht="15.75" customHeight="1">
      <c r="H918" s="748"/>
    </row>
    <row r="919" ht="15.75" customHeight="1">
      <c r="H919" s="748"/>
    </row>
    <row r="920" ht="15.75" customHeight="1">
      <c r="H920" s="748"/>
    </row>
    <row r="921" ht="15.75" customHeight="1">
      <c r="H921" s="748"/>
    </row>
    <row r="922" ht="15.75" customHeight="1">
      <c r="H922" s="748"/>
    </row>
    <row r="923" ht="15.75" customHeight="1">
      <c r="H923" s="748"/>
    </row>
    <row r="924" ht="15.75" customHeight="1">
      <c r="H924" s="748"/>
    </row>
    <row r="925" ht="15.75" customHeight="1">
      <c r="H925" s="748"/>
    </row>
    <row r="926" ht="15.75" customHeight="1">
      <c r="H926" s="748"/>
    </row>
    <row r="927" ht="15.75" customHeight="1">
      <c r="H927" s="748"/>
    </row>
    <row r="928" ht="15.75" customHeight="1">
      <c r="H928" s="748"/>
    </row>
    <row r="929" ht="15.75" customHeight="1">
      <c r="H929" s="748"/>
    </row>
    <row r="930" ht="15.75" customHeight="1">
      <c r="H930" s="748"/>
    </row>
    <row r="931" ht="15.75" customHeight="1">
      <c r="H931" s="748"/>
    </row>
    <row r="932" ht="15.75" customHeight="1">
      <c r="H932" s="748"/>
    </row>
    <row r="933" ht="15.75" customHeight="1">
      <c r="H933" s="748"/>
    </row>
    <row r="934" ht="15.75" customHeight="1">
      <c r="H934" s="748"/>
    </row>
    <row r="935" ht="15.75" customHeight="1">
      <c r="H935" s="748"/>
    </row>
    <row r="936" ht="15.75" customHeight="1">
      <c r="H936" s="748"/>
    </row>
    <row r="937" ht="15.75" customHeight="1">
      <c r="H937" s="748"/>
    </row>
    <row r="938" ht="15.75" customHeight="1">
      <c r="H938" s="748"/>
    </row>
    <row r="939" ht="15.75" customHeight="1">
      <c r="H939" s="748"/>
    </row>
    <row r="940" ht="15.75" customHeight="1">
      <c r="H940" s="748"/>
    </row>
    <row r="941" ht="15.75" customHeight="1">
      <c r="H941" s="748"/>
    </row>
    <row r="942" ht="15.75" customHeight="1">
      <c r="H942" s="748"/>
    </row>
    <row r="943" ht="15.75" customHeight="1">
      <c r="H943" s="748"/>
    </row>
    <row r="944" ht="15.75" customHeight="1">
      <c r="H944" s="748"/>
    </row>
    <row r="945" ht="15.75" customHeight="1">
      <c r="H945" s="748"/>
    </row>
    <row r="946" ht="15.75" customHeight="1">
      <c r="H946" s="748"/>
    </row>
    <row r="947" ht="15.75" customHeight="1">
      <c r="H947" s="748"/>
    </row>
    <row r="948" ht="15.75" customHeight="1">
      <c r="H948" s="748"/>
    </row>
    <row r="949" ht="15.75" customHeight="1">
      <c r="H949" s="748"/>
    </row>
    <row r="950" ht="15.75" customHeight="1">
      <c r="H950" s="748"/>
    </row>
    <row r="951" ht="15.75" customHeight="1">
      <c r="H951" s="748"/>
    </row>
    <row r="952" ht="15.75" customHeight="1">
      <c r="H952" s="748"/>
    </row>
    <row r="953" ht="15.75" customHeight="1">
      <c r="H953" s="748"/>
    </row>
    <row r="954" ht="15.75" customHeight="1">
      <c r="H954" s="748"/>
    </row>
    <row r="955" ht="15.75" customHeight="1">
      <c r="H955" s="748"/>
    </row>
    <row r="956" ht="15.75" customHeight="1">
      <c r="H956" s="748"/>
    </row>
    <row r="957" ht="15.75" customHeight="1">
      <c r="H957" s="748"/>
    </row>
    <row r="958" ht="15.75" customHeight="1">
      <c r="H958" s="748"/>
    </row>
    <row r="959" ht="15.75" customHeight="1">
      <c r="H959" s="748"/>
    </row>
    <row r="960" ht="15.75" customHeight="1">
      <c r="H960" s="748"/>
    </row>
    <row r="961" ht="15.75" customHeight="1">
      <c r="H961" s="748"/>
    </row>
    <row r="962" ht="15.75" customHeight="1">
      <c r="H962" s="748"/>
    </row>
    <row r="963" ht="15.75" customHeight="1">
      <c r="H963" s="748"/>
    </row>
    <row r="964" ht="15.75" customHeight="1">
      <c r="H964" s="748"/>
    </row>
    <row r="965" ht="15.75" customHeight="1">
      <c r="H965" s="748"/>
    </row>
    <row r="966" ht="15.75" customHeight="1">
      <c r="H966" s="748"/>
    </row>
    <row r="967" ht="15.75" customHeight="1">
      <c r="H967" s="748"/>
    </row>
    <row r="968" ht="15.75" customHeight="1">
      <c r="H968" s="748"/>
    </row>
    <row r="969" ht="15.75" customHeight="1">
      <c r="H969" s="748"/>
    </row>
    <row r="970" ht="15.75" customHeight="1">
      <c r="H970" s="748"/>
    </row>
    <row r="971" ht="15.75" customHeight="1">
      <c r="H971" s="748"/>
    </row>
    <row r="972" ht="15.75" customHeight="1">
      <c r="H972" s="748"/>
    </row>
    <row r="973" ht="15.75" customHeight="1">
      <c r="H973" s="748"/>
    </row>
    <row r="974" ht="15.75" customHeight="1">
      <c r="H974" s="748"/>
    </row>
    <row r="975" ht="15.75" customHeight="1">
      <c r="H975" s="748"/>
    </row>
    <row r="976" ht="15.75" customHeight="1">
      <c r="H976" s="748"/>
    </row>
    <row r="977" ht="15.75" customHeight="1">
      <c r="H977" s="748"/>
    </row>
    <row r="978" ht="15.75" customHeight="1">
      <c r="H978" s="748"/>
    </row>
    <row r="979" ht="15.75" customHeight="1">
      <c r="H979" s="748"/>
    </row>
    <row r="980" ht="15.75" customHeight="1">
      <c r="H980" s="748"/>
    </row>
    <row r="981" ht="15.75" customHeight="1">
      <c r="H981" s="748"/>
    </row>
    <row r="982" ht="15.75" customHeight="1">
      <c r="H982" s="748"/>
    </row>
    <row r="983" ht="15.75" customHeight="1">
      <c r="H983" s="748"/>
    </row>
    <row r="984" ht="15.75" customHeight="1">
      <c r="H984" s="748"/>
    </row>
    <row r="985" ht="15.75" customHeight="1">
      <c r="H985" s="748"/>
    </row>
    <row r="986" ht="15.75" customHeight="1">
      <c r="H986" s="748"/>
    </row>
    <row r="987" ht="15.75" customHeight="1">
      <c r="H987" s="748"/>
    </row>
    <row r="988" ht="15.75" customHeight="1">
      <c r="H988" s="748"/>
    </row>
    <row r="989" ht="15.75" customHeight="1">
      <c r="H989" s="748"/>
    </row>
    <row r="990" ht="15.75" customHeight="1">
      <c r="H990" s="748"/>
    </row>
    <row r="991" ht="15.75" customHeight="1">
      <c r="H991" s="748"/>
    </row>
    <row r="992" ht="15.75" customHeight="1">
      <c r="H992" s="748"/>
    </row>
    <row r="993" ht="15.75" customHeight="1">
      <c r="H993" s="748"/>
    </row>
    <row r="994" ht="15.75" customHeight="1">
      <c r="H994" s="748"/>
    </row>
    <row r="995" ht="15.75" customHeight="1">
      <c r="H995" s="748"/>
    </row>
    <row r="996" ht="15.75" customHeight="1">
      <c r="H996" s="748"/>
    </row>
    <row r="997" ht="15.75" customHeight="1">
      <c r="H997" s="748"/>
    </row>
    <row r="998" ht="15.75" customHeight="1">
      <c r="H998" s="748"/>
    </row>
    <row r="999" ht="15.75" customHeight="1">
      <c r="H999" s="748"/>
    </row>
    <row r="1000" ht="15.75" customHeight="1">
      <c r="H1000" s="748"/>
    </row>
    <row r="1001" ht="15.75" customHeight="1">
      <c r="H1001" s="748"/>
    </row>
    <row r="1002" ht="15.75" customHeight="1">
      <c r="H1002" s="748"/>
    </row>
    <row r="1003" ht="15.75" customHeight="1">
      <c r="H1003" s="748"/>
    </row>
  </sheetData>
  <mergeCells count="2">
    <mergeCell ref="B1:H1"/>
    <mergeCell ref="B3:H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72.29"/>
    <col customWidth="1" hidden="1" min="3" max="3" width="11.0"/>
    <col customWidth="1" hidden="1" min="4" max="6" width="10.71"/>
    <col customWidth="1" min="7" max="7" width="17.14"/>
    <col customWidth="1" min="8" max="8" width="13.71"/>
    <col customWidth="1" min="9" max="26" width="10.71"/>
  </cols>
  <sheetData>
    <row r="1">
      <c r="A1" s="1072">
        <v>40.5</v>
      </c>
      <c r="C1" s="748"/>
      <c r="F1" s="748"/>
      <c r="G1" s="748"/>
    </row>
    <row r="2" ht="21.0" customHeight="1">
      <c r="A2" s="1073"/>
      <c r="B2" s="1074" t="s">
        <v>1574</v>
      </c>
      <c r="C2" s="178"/>
      <c r="D2" s="178"/>
      <c r="E2" s="178"/>
      <c r="F2" s="178"/>
      <c r="G2" s="179"/>
      <c r="H2" s="1073"/>
      <c r="I2" s="1073"/>
      <c r="J2" s="1073"/>
      <c r="K2" s="1073"/>
      <c r="L2" s="1073"/>
      <c r="M2" s="1073"/>
      <c r="N2" s="1073"/>
      <c r="O2" s="1073"/>
      <c r="P2" s="1073"/>
      <c r="Q2" s="1073"/>
      <c r="R2" s="1073"/>
      <c r="S2" s="1073"/>
      <c r="T2" s="1073"/>
      <c r="U2" s="1073"/>
      <c r="V2" s="1073"/>
      <c r="W2" s="1073"/>
      <c r="X2" s="1073"/>
      <c r="Y2" s="1073"/>
      <c r="Z2" s="1073"/>
    </row>
    <row r="3">
      <c r="B3" s="325"/>
      <c r="C3" s="332"/>
      <c r="D3" s="325"/>
      <c r="E3" s="325"/>
      <c r="F3" s="332"/>
      <c r="G3" s="333"/>
    </row>
    <row r="4">
      <c r="B4" s="1075" t="s">
        <v>1575</v>
      </c>
      <c r="C4" s="1076"/>
      <c r="D4" s="1077"/>
      <c r="E4" s="1077"/>
      <c r="F4" s="1076"/>
      <c r="G4" s="1078"/>
    </row>
    <row r="5">
      <c r="B5" s="975" t="s">
        <v>283</v>
      </c>
      <c r="C5" s="1079" t="s">
        <v>1576</v>
      </c>
      <c r="D5" s="976" t="s">
        <v>285</v>
      </c>
      <c r="E5" s="976" t="s">
        <v>286</v>
      </c>
      <c r="F5" s="1080" t="s">
        <v>287</v>
      </c>
      <c r="G5" s="1081" t="s">
        <v>288</v>
      </c>
    </row>
    <row r="6">
      <c r="B6" s="726" t="s">
        <v>1577</v>
      </c>
      <c r="C6" s="729">
        <f t="shared" ref="C6:C10" si="1">F6/1.39</f>
        <v>68.02099304</v>
      </c>
      <c r="D6" s="170">
        <f t="shared" ref="D6:D10" si="2">E6/C6</f>
        <v>0.39</v>
      </c>
      <c r="E6" s="171">
        <f t="shared" ref="E6:E10" si="3">F6-C6</f>
        <v>26.52818729</v>
      </c>
      <c r="F6" s="729">
        <f t="shared" ref="F6:F10" si="4">G6/1.22</f>
        <v>94.54918033</v>
      </c>
      <c r="G6" s="172">
        <v>115.35</v>
      </c>
    </row>
    <row r="7">
      <c r="B7" s="726" t="s">
        <v>1578</v>
      </c>
      <c r="C7" s="729">
        <f t="shared" si="1"/>
        <v>108.8335889</v>
      </c>
      <c r="D7" s="170">
        <f t="shared" si="2"/>
        <v>0.39</v>
      </c>
      <c r="E7" s="171">
        <f t="shared" si="3"/>
        <v>42.44509966</v>
      </c>
      <c r="F7" s="729">
        <f t="shared" si="4"/>
        <v>151.2786885</v>
      </c>
      <c r="G7" s="172">
        <v>184.56</v>
      </c>
    </row>
    <row r="8">
      <c r="B8" s="726" t="s">
        <v>1579</v>
      </c>
      <c r="C8" s="729">
        <f t="shared" si="1"/>
        <v>122.8741597</v>
      </c>
      <c r="D8" s="170">
        <f t="shared" si="2"/>
        <v>0.39</v>
      </c>
      <c r="E8" s="171">
        <f t="shared" si="3"/>
        <v>47.92092228</v>
      </c>
      <c r="F8" s="729">
        <f t="shared" si="4"/>
        <v>170.795082</v>
      </c>
      <c r="G8" s="172">
        <v>208.37</v>
      </c>
    </row>
    <row r="9">
      <c r="B9" s="726" t="s">
        <v>1580</v>
      </c>
      <c r="C9" s="729">
        <f t="shared" si="1"/>
        <v>135.5997169</v>
      </c>
      <c r="D9" s="170">
        <f t="shared" si="2"/>
        <v>0.39</v>
      </c>
      <c r="E9" s="171">
        <f t="shared" si="3"/>
        <v>52.88388961</v>
      </c>
      <c r="F9" s="729">
        <f t="shared" si="4"/>
        <v>188.4836066</v>
      </c>
      <c r="G9" s="172">
        <v>229.95</v>
      </c>
    </row>
    <row r="10">
      <c r="B10" s="726" t="s">
        <v>1581</v>
      </c>
      <c r="C10" s="729">
        <f t="shared" si="1"/>
        <v>219.4244604</v>
      </c>
      <c r="D10" s="170">
        <f t="shared" si="2"/>
        <v>0.39</v>
      </c>
      <c r="E10" s="171">
        <f t="shared" si="3"/>
        <v>85.57553957</v>
      </c>
      <c r="F10" s="729">
        <f t="shared" si="4"/>
        <v>305</v>
      </c>
      <c r="G10" s="172">
        <v>372.1</v>
      </c>
    </row>
    <row r="11">
      <c r="C11" s="748"/>
      <c r="F11" s="748"/>
      <c r="G11" s="748"/>
    </row>
    <row r="12">
      <c r="B12" s="1075" t="s">
        <v>1582</v>
      </c>
      <c r="C12" s="1076"/>
      <c r="D12" s="1077"/>
      <c r="E12" s="1077"/>
      <c r="F12" s="1076"/>
      <c r="G12" s="1078"/>
    </row>
    <row r="13">
      <c r="B13" s="975" t="s">
        <v>283</v>
      </c>
      <c r="C13" s="1079" t="s">
        <v>1576</v>
      </c>
      <c r="D13" s="976" t="s">
        <v>285</v>
      </c>
      <c r="E13" s="976" t="s">
        <v>286</v>
      </c>
      <c r="F13" s="1080" t="s">
        <v>287</v>
      </c>
      <c r="G13" s="1081" t="s">
        <v>288</v>
      </c>
    </row>
    <row r="14">
      <c r="B14" s="726" t="s">
        <v>1583</v>
      </c>
      <c r="C14" s="729">
        <f t="shared" ref="C14:C17" si="5">F14/1.39</f>
        <v>40.81259582</v>
      </c>
      <c r="D14" s="170">
        <f t="shared" ref="D14:D17" si="6">E14/C14</f>
        <v>0.39</v>
      </c>
      <c r="E14" s="171">
        <f t="shared" ref="E14:E17" si="7">F14-C14</f>
        <v>15.91691237</v>
      </c>
      <c r="F14" s="729">
        <f t="shared" ref="F14:F17" si="8">G14/1.22</f>
        <v>56.7295082</v>
      </c>
      <c r="G14" s="172">
        <v>69.21</v>
      </c>
    </row>
    <row r="15">
      <c r="B15" s="726" t="s">
        <v>1584</v>
      </c>
      <c r="C15" s="729">
        <f t="shared" si="5"/>
        <v>65.38506899</v>
      </c>
      <c r="D15" s="170">
        <f t="shared" si="6"/>
        <v>0.39</v>
      </c>
      <c r="E15" s="171">
        <f t="shared" si="7"/>
        <v>25.50017691</v>
      </c>
      <c r="F15" s="729">
        <f t="shared" si="8"/>
        <v>90.8852459</v>
      </c>
      <c r="G15" s="172">
        <v>110.88</v>
      </c>
    </row>
    <row r="16" ht="15.75" customHeight="1">
      <c r="B16" s="726" t="s">
        <v>1585</v>
      </c>
      <c r="C16" s="729">
        <f t="shared" si="5"/>
        <v>73.72331643</v>
      </c>
      <c r="D16" s="170">
        <f t="shared" si="6"/>
        <v>0.39</v>
      </c>
      <c r="E16" s="171">
        <f t="shared" si="7"/>
        <v>28.75209341</v>
      </c>
      <c r="F16" s="729">
        <f t="shared" si="8"/>
        <v>102.4754098</v>
      </c>
      <c r="G16" s="172">
        <v>125.02</v>
      </c>
    </row>
    <row r="17" ht="15.75" customHeight="1">
      <c r="B17" s="726" t="s">
        <v>1586</v>
      </c>
      <c r="C17" s="729">
        <f t="shared" si="5"/>
        <v>81.18292251</v>
      </c>
      <c r="D17" s="170">
        <f t="shared" si="6"/>
        <v>0.39</v>
      </c>
      <c r="E17" s="171">
        <f t="shared" si="7"/>
        <v>31.66133978</v>
      </c>
      <c r="F17" s="729">
        <f t="shared" si="8"/>
        <v>112.8442623</v>
      </c>
      <c r="G17" s="172">
        <v>137.67</v>
      </c>
    </row>
    <row r="18" ht="15.75" customHeight="1">
      <c r="C18" s="748"/>
      <c r="F18" s="748"/>
      <c r="G18" s="748"/>
    </row>
    <row r="19" ht="15.75" customHeight="1">
      <c r="B19" s="1075" t="s">
        <v>1587</v>
      </c>
      <c r="C19" s="1076"/>
      <c r="D19" s="1077"/>
      <c r="E19" s="1077"/>
      <c r="F19" s="1076"/>
      <c r="G19" s="1078"/>
    </row>
    <row r="20" ht="15.75" customHeight="1">
      <c r="B20" s="975" t="s">
        <v>283</v>
      </c>
      <c r="C20" s="1079" t="s">
        <v>1576</v>
      </c>
      <c r="D20" s="976" t="s">
        <v>285</v>
      </c>
      <c r="E20" s="976" t="s">
        <v>286</v>
      </c>
      <c r="F20" s="1080" t="s">
        <v>287</v>
      </c>
      <c r="G20" s="1081" t="s">
        <v>288</v>
      </c>
    </row>
    <row r="21" ht="15.75" customHeight="1">
      <c r="B21" s="726" t="s">
        <v>1588</v>
      </c>
      <c r="C21" s="729">
        <f t="shared" ref="C21:C34" si="9">F21/1.41</f>
        <v>46.13475177</v>
      </c>
      <c r="D21" s="170">
        <f t="shared" ref="D21:D34" si="10">E21/C21</f>
        <v>0.41</v>
      </c>
      <c r="E21" s="171">
        <f t="shared" ref="E21:E34" si="11">F21-C21</f>
        <v>18.91524823</v>
      </c>
      <c r="F21" s="729">
        <v>65.05</v>
      </c>
      <c r="G21" s="172">
        <f t="shared" ref="G21:G34" si="12">F21*1.15</f>
        <v>74.8075</v>
      </c>
      <c r="H21" s="526" t="s">
        <v>1589</v>
      </c>
    </row>
    <row r="22" ht="15.75" customHeight="1">
      <c r="B22" s="726" t="s">
        <v>1590</v>
      </c>
      <c r="C22" s="729">
        <f t="shared" si="9"/>
        <v>95.24113475</v>
      </c>
      <c r="D22" s="170">
        <f t="shared" si="10"/>
        <v>0.41</v>
      </c>
      <c r="E22" s="171">
        <f t="shared" si="11"/>
        <v>39.04886525</v>
      </c>
      <c r="F22" s="729">
        <v>134.29</v>
      </c>
      <c r="G22" s="172">
        <f t="shared" si="12"/>
        <v>154.4335</v>
      </c>
      <c r="H22" s="526" t="s">
        <v>1589</v>
      </c>
    </row>
    <row r="23" ht="15.75" customHeight="1">
      <c r="B23" s="726" t="s">
        <v>1591</v>
      </c>
      <c r="C23" s="729">
        <f t="shared" si="9"/>
        <v>83.34042553</v>
      </c>
      <c r="D23" s="170">
        <f t="shared" si="10"/>
        <v>0.41</v>
      </c>
      <c r="E23" s="171">
        <f t="shared" si="11"/>
        <v>34.16957447</v>
      </c>
      <c r="F23" s="729">
        <v>117.51</v>
      </c>
      <c r="G23" s="172">
        <f t="shared" si="12"/>
        <v>135.1365</v>
      </c>
      <c r="H23" s="526" t="s">
        <v>1589</v>
      </c>
    </row>
    <row r="24" ht="15.75" customHeight="1">
      <c r="B24" s="726" t="s">
        <v>1592</v>
      </c>
      <c r="C24" s="729">
        <f t="shared" si="9"/>
        <v>142.8652482</v>
      </c>
      <c r="D24" s="170">
        <f t="shared" si="10"/>
        <v>0.41</v>
      </c>
      <c r="E24" s="171">
        <f t="shared" si="11"/>
        <v>58.57475177</v>
      </c>
      <c r="F24" s="729">
        <v>201.44</v>
      </c>
      <c r="G24" s="172">
        <f t="shared" si="12"/>
        <v>231.656</v>
      </c>
      <c r="H24" s="526" t="s">
        <v>1589</v>
      </c>
    </row>
    <row r="25" ht="15.75" customHeight="1">
      <c r="B25" s="726" t="s">
        <v>1593</v>
      </c>
      <c r="C25" s="729">
        <f t="shared" si="9"/>
        <v>92.26950355</v>
      </c>
      <c r="D25" s="170">
        <f t="shared" si="10"/>
        <v>0.41</v>
      </c>
      <c r="E25" s="171">
        <f t="shared" si="11"/>
        <v>37.83049645</v>
      </c>
      <c r="F25" s="729">
        <v>130.1</v>
      </c>
      <c r="G25" s="172">
        <f t="shared" si="12"/>
        <v>149.615</v>
      </c>
      <c r="H25" s="526" t="s">
        <v>1589</v>
      </c>
    </row>
    <row r="26" ht="15.75" customHeight="1">
      <c r="B26" s="726" t="s">
        <v>1594</v>
      </c>
      <c r="C26" s="729">
        <f t="shared" si="9"/>
        <v>191.2340426</v>
      </c>
      <c r="D26" s="170">
        <f t="shared" si="10"/>
        <v>0.41</v>
      </c>
      <c r="E26" s="171">
        <f t="shared" si="11"/>
        <v>78.40595745</v>
      </c>
      <c r="F26" s="729">
        <v>269.64</v>
      </c>
      <c r="G26" s="172">
        <f t="shared" si="12"/>
        <v>310.086</v>
      </c>
      <c r="H26" s="526" t="s">
        <v>1589</v>
      </c>
    </row>
    <row r="27" ht="15.75" customHeight="1">
      <c r="B27" s="726" t="s">
        <v>1595</v>
      </c>
      <c r="C27" s="729">
        <f t="shared" si="9"/>
        <v>113.8439716</v>
      </c>
      <c r="D27" s="170">
        <f t="shared" si="10"/>
        <v>0.41</v>
      </c>
      <c r="E27" s="171">
        <f t="shared" si="11"/>
        <v>46.67602837</v>
      </c>
      <c r="F27" s="729">
        <v>160.52</v>
      </c>
      <c r="G27" s="172">
        <f t="shared" si="12"/>
        <v>184.598</v>
      </c>
      <c r="H27" s="526" t="s">
        <v>1589</v>
      </c>
    </row>
    <row r="28" ht="15.75" customHeight="1">
      <c r="B28" s="726" t="s">
        <v>1596</v>
      </c>
      <c r="C28" s="729">
        <f t="shared" si="9"/>
        <v>238.858156</v>
      </c>
      <c r="D28" s="170">
        <f t="shared" si="10"/>
        <v>0.41</v>
      </c>
      <c r="E28" s="171">
        <f t="shared" si="11"/>
        <v>97.93184397</v>
      </c>
      <c r="F28" s="729">
        <v>336.79</v>
      </c>
      <c r="G28" s="172">
        <f t="shared" si="12"/>
        <v>387.3085</v>
      </c>
      <c r="H28" s="526" t="s">
        <v>1589</v>
      </c>
    </row>
    <row r="29" ht="15.75" customHeight="1">
      <c r="B29" s="726" t="s">
        <v>1597</v>
      </c>
      <c r="C29" s="729">
        <f t="shared" si="9"/>
        <v>139.1489362</v>
      </c>
      <c r="D29" s="170">
        <f t="shared" si="10"/>
        <v>0.41</v>
      </c>
      <c r="E29" s="171">
        <f t="shared" si="11"/>
        <v>57.05106383</v>
      </c>
      <c r="F29" s="729">
        <v>196.2</v>
      </c>
      <c r="G29" s="172">
        <f t="shared" si="12"/>
        <v>225.63</v>
      </c>
      <c r="H29" s="526" t="s">
        <v>1589</v>
      </c>
    </row>
    <row r="30" ht="15.75" customHeight="1">
      <c r="B30" s="726" t="s">
        <v>1598</v>
      </c>
      <c r="C30" s="729">
        <f t="shared" si="9"/>
        <v>286.4822695</v>
      </c>
      <c r="D30" s="170">
        <f t="shared" si="10"/>
        <v>0.41</v>
      </c>
      <c r="E30" s="171">
        <f t="shared" si="11"/>
        <v>117.4577305</v>
      </c>
      <c r="F30" s="729">
        <v>403.94</v>
      </c>
      <c r="G30" s="172">
        <f t="shared" si="12"/>
        <v>464.531</v>
      </c>
      <c r="H30" s="526" t="s">
        <v>1589</v>
      </c>
    </row>
    <row r="31" ht="15.75" customHeight="1">
      <c r="B31" s="726" t="s">
        <v>1599</v>
      </c>
      <c r="C31" s="729">
        <f t="shared" si="9"/>
        <v>314.7588652</v>
      </c>
      <c r="D31" s="170">
        <f t="shared" si="10"/>
        <v>0.41</v>
      </c>
      <c r="E31" s="171">
        <f t="shared" si="11"/>
        <v>129.0511348</v>
      </c>
      <c r="F31" s="729">
        <v>443.81</v>
      </c>
      <c r="G31" s="172">
        <f t="shared" si="12"/>
        <v>510.3815</v>
      </c>
      <c r="H31" s="526" t="s">
        <v>1589</v>
      </c>
    </row>
    <row r="32" ht="15.75" customHeight="1">
      <c r="B32" s="726" t="s">
        <v>1600</v>
      </c>
      <c r="C32" s="729">
        <f t="shared" si="9"/>
        <v>382.4680851</v>
      </c>
      <c r="D32" s="170">
        <f t="shared" si="10"/>
        <v>0.41</v>
      </c>
      <c r="E32" s="171">
        <f t="shared" si="11"/>
        <v>156.8119149</v>
      </c>
      <c r="F32" s="729">
        <v>539.28</v>
      </c>
      <c r="G32" s="172">
        <f t="shared" si="12"/>
        <v>620.172</v>
      </c>
      <c r="H32" s="526" t="s">
        <v>1589</v>
      </c>
    </row>
    <row r="33" ht="15.75" customHeight="1">
      <c r="B33" s="726" t="s">
        <v>1601</v>
      </c>
      <c r="C33" s="729">
        <f t="shared" si="9"/>
        <v>478.4609929</v>
      </c>
      <c r="D33" s="170">
        <f t="shared" si="10"/>
        <v>0.41</v>
      </c>
      <c r="E33" s="171">
        <f t="shared" si="11"/>
        <v>196.1690071</v>
      </c>
      <c r="F33" s="729">
        <v>674.63</v>
      </c>
      <c r="G33" s="172">
        <f t="shared" si="12"/>
        <v>775.8245</v>
      </c>
      <c r="H33" s="526" t="s">
        <v>1589</v>
      </c>
    </row>
    <row r="34" ht="15.75" customHeight="1">
      <c r="B34" s="726" t="s">
        <v>1602</v>
      </c>
      <c r="C34" s="729">
        <f t="shared" si="9"/>
        <v>661.5106383</v>
      </c>
      <c r="D34" s="170">
        <f t="shared" si="10"/>
        <v>0.41</v>
      </c>
      <c r="E34" s="171">
        <f t="shared" si="11"/>
        <v>271.2193617</v>
      </c>
      <c r="F34" s="729">
        <v>932.73</v>
      </c>
      <c r="G34" s="172">
        <f t="shared" si="12"/>
        <v>1072.6395</v>
      </c>
      <c r="H34" s="526" t="s">
        <v>1589</v>
      </c>
    </row>
    <row r="35" ht="15.75" customHeight="1"/>
    <row r="36" ht="15.75" customHeight="1">
      <c r="B36" s="1075" t="s">
        <v>1587</v>
      </c>
      <c r="C36" s="1076"/>
      <c r="D36" s="1077"/>
      <c r="E36" s="1077"/>
      <c r="F36" s="1076"/>
      <c r="G36" s="1078"/>
    </row>
    <row r="37" ht="15.75" customHeight="1">
      <c r="B37" s="975" t="s">
        <v>283</v>
      </c>
      <c r="C37" s="1079" t="s">
        <v>1576</v>
      </c>
      <c r="D37" s="976" t="s">
        <v>285</v>
      </c>
      <c r="E37" s="976" t="s">
        <v>286</v>
      </c>
      <c r="F37" s="1080" t="s">
        <v>287</v>
      </c>
      <c r="G37" s="1081" t="s">
        <v>288</v>
      </c>
    </row>
    <row r="38" ht="15.75" customHeight="1">
      <c r="B38" s="726" t="s">
        <v>1588</v>
      </c>
      <c r="C38" s="729">
        <f t="shared" ref="C38:C51" si="13">F38/1.41</f>
        <v>43.51238228</v>
      </c>
      <c r="D38" s="170">
        <f t="shared" ref="D38:D51" si="14">E38/C38</f>
        <v>0.41</v>
      </c>
      <c r="E38" s="171">
        <f t="shared" ref="E38:E51" si="15">F38-C38</f>
        <v>17.84007674</v>
      </c>
      <c r="F38" s="729">
        <f t="shared" ref="F38:F51" si="16">G38/1.22</f>
        <v>61.35245902</v>
      </c>
      <c r="G38" s="172">
        <v>74.85</v>
      </c>
      <c r="H38" s="526" t="s">
        <v>1589</v>
      </c>
    </row>
    <row r="39" ht="15.75" customHeight="1">
      <c r="B39" s="726" t="s">
        <v>1590</v>
      </c>
      <c r="C39" s="729">
        <f t="shared" si="13"/>
        <v>89.12335775</v>
      </c>
      <c r="D39" s="170">
        <f t="shared" si="14"/>
        <v>0.41</v>
      </c>
      <c r="E39" s="171">
        <f t="shared" si="15"/>
        <v>36.54057668</v>
      </c>
      <c r="F39" s="729">
        <f t="shared" si="16"/>
        <v>125.6639344</v>
      </c>
      <c r="G39" s="172">
        <v>153.31</v>
      </c>
      <c r="H39" s="526" t="s">
        <v>1589</v>
      </c>
    </row>
    <row r="40" ht="15.75" customHeight="1">
      <c r="B40" s="726" t="s">
        <v>1591</v>
      </c>
      <c r="C40" s="729">
        <f t="shared" si="13"/>
        <v>77.40960353</v>
      </c>
      <c r="D40" s="170">
        <f t="shared" si="14"/>
        <v>0.41</v>
      </c>
      <c r="E40" s="171">
        <f t="shared" si="15"/>
        <v>31.73793745</v>
      </c>
      <c r="F40" s="729">
        <f t="shared" si="16"/>
        <v>109.147541</v>
      </c>
      <c r="G40" s="172">
        <v>133.16</v>
      </c>
      <c r="H40" s="526" t="s">
        <v>1589</v>
      </c>
    </row>
    <row r="41" ht="15.75" customHeight="1">
      <c r="B41" s="726" t="s">
        <v>1592</v>
      </c>
      <c r="C41" s="729">
        <f t="shared" si="13"/>
        <v>167.9397744</v>
      </c>
      <c r="D41" s="170">
        <f t="shared" si="14"/>
        <v>0.41</v>
      </c>
      <c r="E41" s="171">
        <f t="shared" si="15"/>
        <v>68.85530752</v>
      </c>
      <c r="F41" s="729">
        <f t="shared" si="16"/>
        <v>236.795082</v>
      </c>
      <c r="G41" s="172">
        <v>288.89</v>
      </c>
      <c r="H41" s="526" t="s">
        <v>1589</v>
      </c>
    </row>
    <row r="42" ht="15.75" customHeight="1">
      <c r="B42" s="726" t="s">
        <v>1593</v>
      </c>
      <c r="C42" s="729">
        <f t="shared" si="13"/>
        <v>86.19346588</v>
      </c>
      <c r="D42" s="170">
        <f t="shared" si="14"/>
        <v>0.41</v>
      </c>
      <c r="E42" s="171">
        <f t="shared" si="15"/>
        <v>35.33932101</v>
      </c>
      <c r="F42" s="729">
        <f t="shared" si="16"/>
        <v>121.5327869</v>
      </c>
      <c r="G42" s="172">
        <v>148.27</v>
      </c>
      <c r="H42" s="526" t="s">
        <v>1589</v>
      </c>
    </row>
    <row r="43" ht="15.75" customHeight="1">
      <c r="B43" s="726" t="s">
        <v>1593</v>
      </c>
      <c r="C43" s="729">
        <f t="shared" si="13"/>
        <v>145.3610045</v>
      </c>
      <c r="D43" s="170">
        <f t="shared" si="14"/>
        <v>0.41</v>
      </c>
      <c r="E43" s="171">
        <f t="shared" si="15"/>
        <v>59.59801186</v>
      </c>
      <c r="F43" s="729">
        <f t="shared" si="16"/>
        <v>204.9590164</v>
      </c>
      <c r="G43" s="172">
        <v>250.05</v>
      </c>
      <c r="H43" s="526" t="s">
        <v>1589</v>
      </c>
    </row>
    <row r="44" ht="15.75" customHeight="1">
      <c r="B44" s="726" t="s">
        <v>1595</v>
      </c>
      <c r="C44" s="729">
        <f t="shared" si="13"/>
        <v>105.8597837</v>
      </c>
      <c r="D44" s="170">
        <f t="shared" si="14"/>
        <v>0.41</v>
      </c>
      <c r="E44" s="171">
        <f t="shared" si="15"/>
        <v>43.40251134</v>
      </c>
      <c r="F44" s="729">
        <f t="shared" si="16"/>
        <v>149.2622951</v>
      </c>
      <c r="G44" s="172">
        <v>182.1</v>
      </c>
      <c r="H44" s="526" t="s">
        <v>1589</v>
      </c>
    </row>
    <row r="45" ht="15.75" customHeight="1">
      <c r="B45" s="726" t="s">
        <v>1596</v>
      </c>
      <c r="C45" s="729">
        <f t="shared" si="13"/>
        <v>222.1892803</v>
      </c>
      <c r="D45" s="170">
        <f t="shared" si="14"/>
        <v>0.41</v>
      </c>
      <c r="E45" s="171">
        <f t="shared" si="15"/>
        <v>91.09760493</v>
      </c>
      <c r="F45" s="729">
        <f t="shared" si="16"/>
        <v>313.2868852</v>
      </c>
      <c r="G45" s="172">
        <v>382.21</v>
      </c>
      <c r="H45" s="526" t="s">
        <v>1589</v>
      </c>
    </row>
    <row r="46" ht="15.75" customHeight="1">
      <c r="B46" s="726" t="s">
        <v>1598</v>
      </c>
      <c r="C46" s="729">
        <f t="shared" si="13"/>
        <v>129.7116614</v>
      </c>
      <c r="D46" s="170">
        <f t="shared" si="14"/>
        <v>0.41</v>
      </c>
      <c r="E46" s="171">
        <f t="shared" si="15"/>
        <v>53.18178119</v>
      </c>
      <c r="F46" s="729">
        <f t="shared" si="16"/>
        <v>182.8934426</v>
      </c>
      <c r="G46" s="172">
        <v>223.13</v>
      </c>
      <c r="H46" s="526" t="s">
        <v>1589</v>
      </c>
    </row>
    <row r="47" ht="15.75" customHeight="1">
      <c r="B47" s="726" t="s">
        <v>1598</v>
      </c>
      <c r="C47" s="729">
        <f t="shared" si="13"/>
        <v>266.5445878</v>
      </c>
      <c r="D47" s="170">
        <f t="shared" si="14"/>
        <v>0.41</v>
      </c>
      <c r="E47" s="171">
        <f t="shared" si="15"/>
        <v>109.283281</v>
      </c>
      <c r="F47" s="729">
        <f t="shared" si="16"/>
        <v>375.8278689</v>
      </c>
      <c r="G47" s="172">
        <v>458.51</v>
      </c>
      <c r="H47" s="526" t="s">
        <v>1589</v>
      </c>
    </row>
    <row r="48" ht="15.75" customHeight="1">
      <c r="B48" s="726" t="s">
        <v>1599</v>
      </c>
      <c r="C48" s="729">
        <f t="shared" si="13"/>
        <v>292.9078014</v>
      </c>
      <c r="D48" s="170">
        <f t="shared" si="14"/>
        <v>0.41</v>
      </c>
      <c r="E48" s="171">
        <f t="shared" si="15"/>
        <v>120.0921986</v>
      </c>
      <c r="F48" s="729">
        <f t="shared" si="16"/>
        <v>413</v>
      </c>
      <c r="G48" s="172">
        <v>503.86</v>
      </c>
      <c r="H48" s="526" t="s">
        <v>1589</v>
      </c>
    </row>
    <row r="49" ht="15.75" customHeight="1">
      <c r="B49" s="726" t="s">
        <v>1600</v>
      </c>
      <c r="C49" s="729">
        <f t="shared" si="13"/>
        <v>388.4664574</v>
      </c>
      <c r="D49" s="170">
        <f t="shared" si="14"/>
        <v>0.41</v>
      </c>
      <c r="E49" s="171">
        <f t="shared" si="15"/>
        <v>159.2712475</v>
      </c>
      <c r="F49" s="729">
        <f t="shared" si="16"/>
        <v>547.7377049</v>
      </c>
      <c r="G49" s="172">
        <v>668.24</v>
      </c>
      <c r="H49" s="526" t="s">
        <v>1589</v>
      </c>
    </row>
    <row r="50" ht="15.75" customHeight="1">
      <c r="B50" s="726" t="s">
        <v>1601</v>
      </c>
      <c r="C50" s="729">
        <f t="shared" si="13"/>
        <v>470.9452389</v>
      </c>
      <c r="D50" s="170">
        <f t="shared" si="14"/>
        <v>0.41</v>
      </c>
      <c r="E50" s="171">
        <f t="shared" si="15"/>
        <v>193.087548</v>
      </c>
      <c r="F50" s="729">
        <f t="shared" si="16"/>
        <v>664.0327869</v>
      </c>
      <c r="G50" s="172">
        <v>810.12</v>
      </c>
      <c r="H50" s="526" t="s">
        <v>1589</v>
      </c>
    </row>
    <row r="51" ht="15.75" customHeight="1">
      <c r="B51" s="726" t="s">
        <v>1602</v>
      </c>
      <c r="C51" s="729">
        <f t="shared" si="13"/>
        <v>615.102895</v>
      </c>
      <c r="D51" s="170">
        <f t="shared" si="14"/>
        <v>0.41</v>
      </c>
      <c r="E51" s="171">
        <f t="shared" si="15"/>
        <v>252.192187</v>
      </c>
      <c r="F51" s="729">
        <f t="shared" si="16"/>
        <v>867.295082</v>
      </c>
      <c r="G51" s="172">
        <v>1058.1</v>
      </c>
      <c r="H51" s="526" t="s">
        <v>1589</v>
      </c>
    </row>
    <row r="53" ht="15.75" customHeight="1">
      <c r="B53" s="1075" t="s">
        <v>550</v>
      </c>
      <c r="C53" s="1076"/>
      <c r="D53" s="1077"/>
      <c r="E53" s="1077"/>
      <c r="F53" s="1076"/>
      <c r="G53" s="1082"/>
      <c r="H53" s="1083" t="s">
        <v>1603</v>
      </c>
    </row>
    <row r="54" ht="15.75" customHeight="1">
      <c r="B54" s="975" t="s">
        <v>283</v>
      </c>
      <c r="C54" s="1079" t="s">
        <v>1576</v>
      </c>
      <c r="D54" s="976" t="s">
        <v>285</v>
      </c>
      <c r="E54" s="976" t="s">
        <v>286</v>
      </c>
      <c r="F54" s="1080" t="s">
        <v>287</v>
      </c>
      <c r="G54" s="1084" t="s">
        <v>288</v>
      </c>
      <c r="H54" s="1085" t="s">
        <v>1604</v>
      </c>
    </row>
    <row r="55" ht="15.75" customHeight="1">
      <c r="A55" s="565" t="s">
        <v>1605</v>
      </c>
      <c r="B55" s="726" t="s">
        <v>1606</v>
      </c>
      <c r="C55" s="729">
        <f t="shared" ref="C55:C64" si="17">F55/1.2</f>
        <v>9.87654321</v>
      </c>
      <c r="D55" s="170">
        <f t="shared" ref="D55:D64" si="18">E55/C55</f>
        <v>0.2</v>
      </c>
      <c r="E55" s="171">
        <f t="shared" ref="E55:E64" si="19">F55-C55</f>
        <v>1.975308642</v>
      </c>
      <c r="F55" s="729">
        <f t="shared" ref="F55:F64" si="20">G55/1.22</f>
        <v>11.85185185</v>
      </c>
      <c r="G55" s="1086">
        <f t="shared" ref="G55:G64" si="21">H55/$A$1</f>
        <v>14.45925926</v>
      </c>
      <c r="H55" s="1087">
        <v>585.6</v>
      </c>
    </row>
    <row r="56" ht="15.75" customHeight="1">
      <c r="B56" s="726" t="s">
        <v>1607</v>
      </c>
      <c r="C56" s="729">
        <f t="shared" si="17"/>
        <v>3.473149835</v>
      </c>
      <c r="D56" s="170">
        <f t="shared" si="18"/>
        <v>0.2</v>
      </c>
      <c r="E56" s="171">
        <f t="shared" si="19"/>
        <v>0.6946299669</v>
      </c>
      <c r="F56" s="729">
        <f t="shared" si="20"/>
        <v>4.167779802</v>
      </c>
      <c r="G56" s="1086">
        <f t="shared" si="21"/>
        <v>5.084691358</v>
      </c>
      <c r="H56" s="1087">
        <v>205.93</v>
      </c>
    </row>
    <row r="57" ht="15.75" customHeight="1">
      <c r="B57" s="726" t="s">
        <v>1608</v>
      </c>
      <c r="C57" s="729">
        <f t="shared" si="17"/>
        <v>3.473149835</v>
      </c>
      <c r="D57" s="170">
        <f t="shared" si="18"/>
        <v>0.2</v>
      </c>
      <c r="E57" s="171">
        <f t="shared" si="19"/>
        <v>0.6946299669</v>
      </c>
      <c r="F57" s="729">
        <f t="shared" si="20"/>
        <v>4.167779802</v>
      </c>
      <c r="G57" s="1086">
        <f t="shared" si="21"/>
        <v>5.084691358</v>
      </c>
      <c r="H57" s="1087">
        <v>205.93</v>
      </c>
    </row>
    <row r="58" ht="15.75" customHeight="1">
      <c r="B58" s="726" t="s">
        <v>1609</v>
      </c>
      <c r="C58" s="729">
        <f t="shared" si="17"/>
        <v>28.44430952</v>
      </c>
      <c r="D58" s="170">
        <f t="shared" si="18"/>
        <v>0.2</v>
      </c>
      <c r="E58" s="171">
        <f t="shared" si="19"/>
        <v>5.688861904</v>
      </c>
      <c r="F58" s="729">
        <f t="shared" si="20"/>
        <v>34.13317142</v>
      </c>
      <c r="G58" s="1086">
        <f t="shared" si="21"/>
        <v>41.64246914</v>
      </c>
      <c r="H58" s="1087">
        <v>1686.52</v>
      </c>
    </row>
    <row r="59" ht="15.75" customHeight="1">
      <c r="B59" s="726" t="s">
        <v>1610</v>
      </c>
      <c r="C59" s="729">
        <f t="shared" si="17"/>
        <v>11.06169466</v>
      </c>
      <c r="D59" s="170">
        <f t="shared" si="18"/>
        <v>0.2</v>
      </c>
      <c r="E59" s="171">
        <f t="shared" si="19"/>
        <v>2.212338933</v>
      </c>
      <c r="F59" s="729">
        <f t="shared" si="20"/>
        <v>13.2740336</v>
      </c>
      <c r="G59" s="1086">
        <f t="shared" si="21"/>
        <v>16.19432099</v>
      </c>
      <c r="H59" s="1087">
        <v>655.87</v>
      </c>
    </row>
    <row r="60" ht="15.75" customHeight="1">
      <c r="B60" s="726" t="s">
        <v>1611</v>
      </c>
      <c r="C60" s="729">
        <f t="shared" si="17"/>
        <v>18.27160494</v>
      </c>
      <c r="D60" s="170">
        <f t="shared" si="18"/>
        <v>0.2</v>
      </c>
      <c r="E60" s="171">
        <f t="shared" si="19"/>
        <v>3.654320988</v>
      </c>
      <c r="F60" s="729">
        <f t="shared" si="20"/>
        <v>21.92592593</v>
      </c>
      <c r="G60" s="1086">
        <f t="shared" si="21"/>
        <v>26.74962963</v>
      </c>
      <c r="H60" s="1087">
        <v>1083.36</v>
      </c>
    </row>
    <row r="61" ht="15.75" customHeight="1">
      <c r="B61" s="726" t="s">
        <v>1612</v>
      </c>
      <c r="C61" s="729">
        <f t="shared" si="17"/>
        <v>2.551440329</v>
      </c>
      <c r="D61" s="170">
        <f t="shared" si="18"/>
        <v>0.2</v>
      </c>
      <c r="E61" s="171">
        <f t="shared" si="19"/>
        <v>0.5102880658</v>
      </c>
      <c r="F61" s="729">
        <f t="shared" si="20"/>
        <v>3.061728395</v>
      </c>
      <c r="G61" s="1086">
        <f t="shared" si="21"/>
        <v>3.735308642</v>
      </c>
      <c r="H61" s="1087">
        <v>151.28</v>
      </c>
    </row>
    <row r="62" ht="15.75" customHeight="1">
      <c r="B62" s="726" t="s">
        <v>1613</v>
      </c>
      <c r="C62" s="729">
        <f t="shared" si="17"/>
        <v>4.427916076</v>
      </c>
      <c r="D62" s="170">
        <f t="shared" si="18"/>
        <v>0.2</v>
      </c>
      <c r="E62" s="171">
        <f t="shared" si="19"/>
        <v>0.8855832153</v>
      </c>
      <c r="F62" s="729">
        <f t="shared" si="20"/>
        <v>5.313499292</v>
      </c>
      <c r="G62" s="1086">
        <f t="shared" si="21"/>
        <v>6.482469136</v>
      </c>
      <c r="H62" s="1087">
        <v>262.54</v>
      </c>
    </row>
    <row r="63" ht="15.75" customHeight="1">
      <c r="B63" s="726" t="s">
        <v>1614</v>
      </c>
      <c r="C63" s="729">
        <f t="shared" si="17"/>
        <v>0.8559333468</v>
      </c>
      <c r="D63" s="170">
        <f t="shared" si="18"/>
        <v>0.2</v>
      </c>
      <c r="E63" s="171">
        <f t="shared" si="19"/>
        <v>0.1711866694</v>
      </c>
      <c r="F63" s="729">
        <f t="shared" si="20"/>
        <v>1.027120016</v>
      </c>
      <c r="G63" s="1086">
        <f t="shared" si="21"/>
        <v>1.25308642</v>
      </c>
      <c r="H63" s="1087">
        <v>50.75</v>
      </c>
    </row>
    <row r="64" ht="15.75" customHeight="1">
      <c r="B64" s="726" t="s">
        <v>1615</v>
      </c>
      <c r="C64" s="729">
        <f t="shared" si="17"/>
        <v>9.645989341</v>
      </c>
      <c r="D64" s="170">
        <f t="shared" si="18"/>
        <v>0.2</v>
      </c>
      <c r="E64" s="171">
        <f t="shared" si="19"/>
        <v>1.929197868</v>
      </c>
      <c r="F64" s="729">
        <f t="shared" si="20"/>
        <v>11.57518721</v>
      </c>
      <c r="G64" s="1086">
        <f t="shared" si="21"/>
        <v>14.1217284</v>
      </c>
      <c r="H64" s="1087">
        <v>571.93</v>
      </c>
    </row>
    <row r="65" ht="15.75" customHeight="1">
      <c r="B65" s="1088" t="s">
        <v>1616</v>
      </c>
      <c r="C65" s="1089"/>
      <c r="D65" s="1089"/>
      <c r="E65" s="1089"/>
      <c r="F65" s="1089"/>
      <c r="G65" s="1089"/>
      <c r="H65" s="1087"/>
    </row>
    <row r="66" ht="15.75" customHeight="1">
      <c r="B66" s="726" t="s">
        <v>1617</v>
      </c>
      <c r="C66" s="729">
        <f t="shared" ref="C66:C69" si="22">F66/1.2</f>
        <v>0.2303852122</v>
      </c>
      <c r="D66" s="170">
        <f t="shared" ref="D66:D69" si="23">E66/C66</f>
        <v>0.2</v>
      </c>
      <c r="E66" s="171">
        <f t="shared" ref="E66:E69" si="24">F66-C66</f>
        <v>0.04607704243</v>
      </c>
      <c r="F66" s="729">
        <f t="shared" ref="F66:F69" si="25">G66/1.22</f>
        <v>0.2764622546</v>
      </c>
      <c r="G66" s="1086">
        <f t="shared" ref="G66:G69" si="26">H66/$A$1</f>
        <v>0.3372839506</v>
      </c>
      <c r="H66" s="1087">
        <v>13.66</v>
      </c>
    </row>
    <row r="67" ht="15.75" customHeight="1">
      <c r="B67" s="726" t="s">
        <v>1618</v>
      </c>
      <c r="C67" s="729">
        <f t="shared" si="22"/>
        <v>0.1646090535</v>
      </c>
      <c r="D67" s="170">
        <f t="shared" si="23"/>
        <v>0.2</v>
      </c>
      <c r="E67" s="171">
        <f t="shared" si="24"/>
        <v>0.0329218107</v>
      </c>
      <c r="F67" s="729">
        <f t="shared" si="25"/>
        <v>0.1975308642</v>
      </c>
      <c r="G67" s="1086">
        <f t="shared" si="26"/>
        <v>0.2409876543</v>
      </c>
      <c r="H67" s="1087">
        <v>9.76</v>
      </c>
    </row>
    <row r="68" ht="15.75" customHeight="1">
      <c r="B68" s="726" t="s">
        <v>1619</v>
      </c>
      <c r="C68" s="729">
        <f t="shared" si="22"/>
        <v>0.3949942657</v>
      </c>
      <c r="D68" s="170">
        <f t="shared" si="23"/>
        <v>0.2</v>
      </c>
      <c r="E68" s="171">
        <f t="shared" si="24"/>
        <v>0.07899885313</v>
      </c>
      <c r="F68" s="729">
        <f t="shared" si="25"/>
        <v>0.4739931188</v>
      </c>
      <c r="G68" s="1086">
        <f t="shared" si="26"/>
        <v>0.5782716049</v>
      </c>
      <c r="H68" s="1087">
        <v>23.42</v>
      </c>
    </row>
    <row r="69" ht="15.75" customHeight="1">
      <c r="B69" s="726" t="s">
        <v>1620</v>
      </c>
      <c r="C69" s="729">
        <f t="shared" si="22"/>
        <v>3.884672468</v>
      </c>
      <c r="D69" s="170">
        <f t="shared" si="23"/>
        <v>0.2</v>
      </c>
      <c r="E69" s="171">
        <f t="shared" si="24"/>
        <v>0.7769344937</v>
      </c>
      <c r="F69" s="729">
        <f t="shared" si="25"/>
        <v>4.661606962</v>
      </c>
      <c r="G69" s="1086">
        <f t="shared" si="26"/>
        <v>5.687160494</v>
      </c>
      <c r="H69" s="1087">
        <v>230.33</v>
      </c>
    </row>
    <row r="70" ht="15.75" customHeight="1">
      <c r="C70" s="748"/>
      <c r="F70" s="748"/>
      <c r="G70" s="748"/>
    </row>
    <row r="71" ht="15.75" customHeight="1">
      <c r="B71" s="1075" t="s">
        <v>1621</v>
      </c>
      <c r="C71" s="1076"/>
      <c r="D71" s="1077"/>
      <c r="E71" s="1077"/>
      <c r="F71" s="1076"/>
      <c r="G71" s="1078"/>
    </row>
    <row r="72" ht="15.75" customHeight="1">
      <c r="B72" s="975" t="s">
        <v>283</v>
      </c>
      <c r="C72" s="1079" t="s">
        <v>1576</v>
      </c>
      <c r="D72" s="976" t="s">
        <v>285</v>
      </c>
      <c r="E72" s="976" t="s">
        <v>286</v>
      </c>
      <c r="F72" s="1080" t="s">
        <v>287</v>
      </c>
      <c r="G72" s="1081" t="s">
        <v>288</v>
      </c>
    </row>
    <row r="73" ht="15.75" customHeight="1">
      <c r="B73" s="726" t="s">
        <v>1622</v>
      </c>
      <c r="C73" s="729"/>
      <c r="D73" s="170"/>
      <c r="E73" s="171"/>
      <c r="F73" s="729"/>
      <c r="G73" s="1090"/>
    </row>
    <row r="74" ht="15.75" customHeight="1">
      <c r="B74" s="726" t="s">
        <v>1623</v>
      </c>
      <c r="C74" s="729">
        <f t="shared" ref="C74:C76" si="27">F74/1.42</f>
        <v>27.7707227</v>
      </c>
      <c r="D74" s="170">
        <f t="shared" ref="D74:D76" si="28">E74/C74</f>
        <v>0.42</v>
      </c>
      <c r="E74" s="171">
        <f t="shared" ref="E74:E76" si="29">F74-C74</f>
        <v>11.66370353</v>
      </c>
      <c r="F74" s="729">
        <f t="shared" ref="F74:F76" si="30">G74/1.22</f>
        <v>39.43442623</v>
      </c>
      <c r="G74" s="172">
        <v>48.11</v>
      </c>
      <c r="H74" s="526">
        <v>48.11</v>
      </c>
    </row>
    <row r="75" ht="15.75" customHeight="1">
      <c r="B75" s="726" t="s">
        <v>1624</v>
      </c>
      <c r="C75" s="729">
        <f t="shared" si="27"/>
        <v>33.4911106</v>
      </c>
      <c r="D75" s="170">
        <f t="shared" si="28"/>
        <v>0.42</v>
      </c>
      <c r="E75" s="171">
        <f t="shared" si="29"/>
        <v>14.06626645</v>
      </c>
      <c r="F75" s="729">
        <f t="shared" si="30"/>
        <v>47.55737705</v>
      </c>
      <c r="G75" s="172">
        <v>58.02</v>
      </c>
      <c r="H75" s="526">
        <v>58.02</v>
      </c>
    </row>
    <row r="76" ht="15.75" customHeight="1">
      <c r="B76" s="726" t="s">
        <v>1625</v>
      </c>
      <c r="C76" s="729">
        <f t="shared" si="27"/>
        <v>53.09397368</v>
      </c>
      <c r="D76" s="170">
        <f t="shared" si="28"/>
        <v>0.42</v>
      </c>
      <c r="E76" s="171">
        <f t="shared" si="29"/>
        <v>22.29946894</v>
      </c>
      <c r="F76" s="729">
        <f t="shared" si="30"/>
        <v>75.39344262</v>
      </c>
      <c r="G76" s="172">
        <v>91.98</v>
      </c>
      <c r="H76" s="526">
        <v>91.98</v>
      </c>
    </row>
    <row r="77" ht="15.75" customHeight="1">
      <c r="B77" s="726" t="s">
        <v>1626</v>
      </c>
      <c r="C77" s="729"/>
      <c r="D77" s="170"/>
      <c r="E77" s="171"/>
      <c r="F77" s="729"/>
      <c r="G77" s="1090"/>
    </row>
    <row r="78" ht="15.75" customHeight="1">
      <c r="B78" s="726" t="s">
        <v>1627</v>
      </c>
      <c r="C78" s="729">
        <f t="shared" ref="C78:C80" si="31">F78/1.42</f>
        <v>30.63380282</v>
      </c>
      <c r="D78" s="170">
        <f t="shared" ref="D78:D80" si="32">E78/C78</f>
        <v>0.42</v>
      </c>
      <c r="E78" s="171">
        <f t="shared" ref="E78:E80" si="33">F78-C78</f>
        <v>12.86619718</v>
      </c>
      <c r="F78" s="729">
        <f t="shared" ref="F78:F80" si="34">G78/1.22</f>
        <v>43.5</v>
      </c>
      <c r="G78" s="172">
        <v>53.07</v>
      </c>
    </row>
    <row r="79" ht="15.75" customHeight="1">
      <c r="B79" s="726" t="s">
        <v>1628</v>
      </c>
      <c r="C79" s="729">
        <f t="shared" si="31"/>
        <v>36.75825444</v>
      </c>
      <c r="D79" s="170">
        <f t="shared" si="32"/>
        <v>0.42</v>
      </c>
      <c r="E79" s="171">
        <f t="shared" si="33"/>
        <v>15.43846687</v>
      </c>
      <c r="F79" s="729">
        <f t="shared" si="34"/>
        <v>52.19672131</v>
      </c>
      <c r="G79" s="172">
        <v>63.68</v>
      </c>
    </row>
    <row r="80" ht="15.75" customHeight="1">
      <c r="B80" s="726" t="s">
        <v>1629</v>
      </c>
      <c r="C80" s="729">
        <f t="shared" si="31"/>
        <v>57.99468945</v>
      </c>
      <c r="D80" s="170">
        <f t="shared" si="32"/>
        <v>0.42</v>
      </c>
      <c r="E80" s="171">
        <f t="shared" si="33"/>
        <v>24.35776957</v>
      </c>
      <c r="F80" s="729">
        <f t="shared" si="34"/>
        <v>82.35245902</v>
      </c>
      <c r="G80" s="172">
        <v>100.47</v>
      </c>
    </row>
    <row r="81" ht="15.75" customHeight="1">
      <c r="B81" s="726" t="s">
        <v>1630</v>
      </c>
      <c r="C81" s="729"/>
      <c r="D81" s="170"/>
      <c r="E81" s="171"/>
      <c r="F81" s="729"/>
      <c r="G81" s="1090"/>
    </row>
    <row r="82" ht="15.75" customHeight="1">
      <c r="B82" s="726" t="s">
        <v>1631</v>
      </c>
      <c r="C82" s="729">
        <f t="shared" ref="C82:C84" si="35">F82/1.42</f>
        <v>30.63380282</v>
      </c>
      <c r="D82" s="170">
        <f t="shared" ref="D82:D84" si="36">E82/C82</f>
        <v>0.42</v>
      </c>
      <c r="E82" s="171">
        <f t="shared" ref="E82:E84" si="37">F82-C82</f>
        <v>12.86619718</v>
      </c>
      <c r="F82" s="729">
        <f t="shared" ref="F82:F84" si="38">G82/1.22</f>
        <v>43.5</v>
      </c>
      <c r="G82" s="172">
        <v>53.07</v>
      </c>
    </row>
    <row r="83" ht="15.75" customHeight="1">
      <c r="B83" s="726" t="s">
        <v>1632</v>
      </c>
      <c r="C83" s="729">
        <f t="shared" si="35"/>
        <v>36.75825444</v>
      </c>
      <c r="D83" s="170">
        <f t="shared" si="36"/>
        <v>0.42</v>
      </c>
      <c r="E83" s="171">
        <f t="shared" si="37"/>
        <v>15.43846687</v>
      </c>
      <c r="F83" s="729">
        <f t="shared" si="38"/>
        <v>52.19672131</v>
      </c>
      <c r="G83" s="172">
        <v>63.68</v>
      </c>
    </row>
    <row r="84" ht="15.75" customHeight="1">
      <c r="B84" s="726" t="s">
        <v>1633</v>
      </c>
      <c r="C84" s="729">
        <f t="shared" si="35"/>
        <v>57.99468945</v>
      </c>
      <c r="D84" s="170">
        <f t="shared" si="36"/>
        <v>0.42</v>
      </c>
      <c r="E84" s="171">
        <f t="shared" si="37"/>
        <v>24.35776957</v>
      </c>
      <c r="F84" s="729">
        <f t="shared" si="38"/>
        <v>82.35245902</v>
      </c>
      <c r="G84" s="172">
        <v>100.47</v>
      </c>
    </row>
    <row r="85" ht="15.75" customHeight="1">
      <c r="C85" s="748"/>
      <c r="F85" s="748"/>
      <c r="G85" s="748"/>
    </row>
    <row r="86" ht="15.75" customHeight="1">
      <c r="B86" s="1075" t="s">
        <v>1634</v>
      </c>
      <c r="C86" s="1076"/>
      <c r="D86" s="1077"/>
      <c r="E86" s="1077"/>
      <c r="F86" s="1076"/>
      <c r="G86" s="1078"/>
    </row>
    <row r="87" ht="15.75" customHeight="1">
      <c r="B87" s="975" t="s">
        <v>283</v>
      </c>
      <c r="C87" s="1079" t="s">
        <v>1576</v>
      </c>
      <c r="D87" s="976" t="s">
        <v>285</v>
      </c>
      <c r="E87" s="976" t="s">
        <v>286</v>
      </c>
      <c r="F87" s="1080" t="s">
        <v>287</v>
      </c>
      <c r="G87" s="1081" t="s">
        <v>288</v>
      </c>
    </row>
    <row r="88" ht="15.75" customHeight="1">
      <c r="B88" s="726" t="s">
        <v>1622</v>
      </c>
      <c r="C88" s="729"/>
      <c r="D88" s="170"/>
      <c r="E88" s="171"/>
      <c r="F88" s="729"/>
      <c r="G88" s="1090"/>
    </row>
    <row r="89" ht="15.75" customHeight="1">
      <c r="B89" s="726" t="s">
        <v>1635</v>
      </c>
      <c r="C89" s="729">
        <f t="shared" ref="C89:C91" si="39">F89/1.42</f>
        <v>31.03786654</v>
      </c>
      <c r="D89" s="170">
        <f t="shared" ref="D89:D91" si="40">E89/C89</f>
        <v>0.42</v>
      </c>
      <c r="E89" s="171">
        <f t="shared" ref="E89:E91" si="41">F89-C89</f>
        <v>13.03590395</v>
      </c>
      <c r="F89" s="729">
        <f t="shared" ref="F89:F91" si="42">G89/1.22</f>
        <v>44.07377049</v>
      </c>
      <c r="G89" s="172">
        <v>53.77</v>
      </c>
    </row>
    <row r="90" ht="15.75" customHeight="1">
      <c r="B90" s="726" t="s">
        <v>1636</v>
      </c>
      <c r="C90" s="729">
        <f t="shared" si="39"/>
        <v>37.57215424</v>
      </c>
      <c r="D90" s="170">
        <f t="shared" si="40"/>
        <v>0.42</v>
      </c>
      <c r="E90" s="171">
        <f t="shared" si="41"/>
        <v>15.78030478</v>
      </c>
      <c r="F90" s="729">
        <f t="shared" si="42"/>
        <v>53.35245902</v>
      </c>
      <c r="G90" s="172">
        <v>65.09</v>
      </c>
    </row>
    <row r="91" ht="15.75" customHeight="1">
      <c r="B91" s="726" t="s">
        <v>1637</v>
      </c>
      <c r="C91" s="729">
        <f t="shared" si="39"/>
        <v>59.22419764</v>
      </c>
      <c r="D91" s="170">
        <f t="shared" si="40"/>
        <v>0.42</v>
      </c>
      <c r="E91" s="171">
        <f t="shared" si="41"/>
        <v>24.87416301</v>
      </c>
      <c r="F91" s="729">
        <f t="shared" si="42"/>
        <v>84.09836066</v>
      </c>
      <c r="G91" s="172">
        <v>102.6</v>
      </c>
    </row>
    <row r="92" ht="15.75" customHeight="1">
      <c r="B92" s="726" t="s">
        <v>1626</v>
      </c>
      <c r="C92" s="729"/>
      <c r="D92" s="170"/>
      <c r="E92" s="171"/>
      <c r="F92" s="729"/>
      <c r="G92" s="1090"/>
    </row>
    <row r="93" ht="15.75" customHeight="1">
      <c r="B93" s="726" t="s">
        <v>1638</v>
      </c>
      <c r="C93" s="729">
        <f t="shared" ref="C93:C95" si="43">F93/1.42</f>
        <v>33.90094666</v>
      </c>
      <c r="D93" s="170">
        <f t="shared" ref="D93:D95" si="44">E93/C93</f>
        <v>0.42</v>
      </c>
      <c r="E93" s="171">
        <f t="shared" ref="E93:E95" si="45">F93-C93</f>
        <v>14.2383976</v>
      </c>
      <c r="F93" s="729">
        <f t="shared" ref="F93:F95" si="46">G93/1.22</f>
        <v>48.13934426</v>
      </c>
      <c r="G93" s="172">
        <v>58.73</v>
      </c>
    </row>
    <row r="94" ht="15.75" customHeight="1">
      <c r="B94" s="726" t="s">
        <v>1639</v>
      </c>
      <c r="C94" s="729">
        <f t="shared" si="43"/>
        <v>40.84507042</v>
      </c>
      <c r="D94" s="170">
        <f t="shared" si="44"/>
        <v>0.42</v>
      </c>
      <c r="E94" s="171">
        <f t="shared" si="45"/>
        <v>17.15492958</v>
      </c>
      <c r="F94" s="729">
        <f t="shared" si="46"/>
        <v>58</v>
      </c>
      <c r="G94" s="172">
        <v>70.76</v>
      </c>
    </row>
    <row r="95" ht="15.75" customHeight="1">
      <c r="B95" s="726" t="s">
        <v>1640</v>
      </c>
      <c r="C95" s="729">
        <f t="shared" si="43"/>
        <v>64.53474948</v>
      </c>
      <c r="D95" s="170">
        <f t="shared" si="44"/>
        <v>0.42</v>
      </c>
      <c r="E95" s="171">
        <f t="shared" si="45"/>
        <v>27.10459478</v>
      </c>
      <c r="F95" s="729">
        <f t="shared" si="46"/>
        <v>91.63934426</v>
      </c>
      <c r="G95" s="172">
        <v>111.8</v>
      </c>
    </row>
    <row r="96" ht="15.75" customHeight="1">
      <c r="B96" s="726" t="s">
        <v>1630</v>
      </c>
      <c r="C96" s="729"/>
      <c r="D96" s="170"/>
      <c r="E96" s="171"/>
      <c r="F96" s="729"/>
      <c r="G96" s="1090"/>
    </row>
    <row r="97" ht="15.75" customHeight="1">
      <c r="B97" s="726" t="s">
        <v>1641</v>
      </c>
      <c r="C97" s="729">
        <f t="shared" ref="C97:C99" si="47">F97/1.42</f>
        <v>33.90094666</v>
      </c>
      <c r="D97" s="170">
        <f t="shared" ref="D97:D99" si="48">E97/C97</f>
        <v>0.42</v>
      </c>
      <c r="E97" s="171">
        <f t="shared" ref="E97:E99" si="49">F97-C97</f>
        <v>14.2383976</v>
      </c>
      <c r="F97" s="729">
        <f t="shared" ref="F97:F99" si="50">G97/1.22</f>
        <v>48.13934426</v>
      </c>
      <c r="G97" s="172">
        <v>58.73</v>
      </c>
    </row>
    <row r="98" ht="15.75" customHeight="1">
      <c r="B98" s="726" t="s">
        <v>1642</v>
      </c>
      <c r="C98" s="729">
        <f t="shared" si="47"/>
        <v>40.84507042</v>
      </c>
      <c r="D98" s="170">
        <f t="shared" si="48"/>
        <v>0.42</v>
      </c>
      <c r="E98" s="171">
        <f t="shared" si="49"/>
        <v>17.15492958</v>
      </c>
      <c r="F98" s="729">
        <f t="shared" si="50"/>
        <v>58</v>
      </c>
      <c r="G98" s="172">
        <v>70.76</v>
      </c>
    </row>
    <row r="99" ht="15.75" customHeight="1">
      <c r="B99" s="726" t="s">
        <v>1643</v>
      </c>
      <c r="C99" s="729">
        <f t="shared" si="47"/>
        <v>64.53474948</v>
      </c>
      <c r="D99" s="170">
        <f t="shared" si="48"/>
        <v>0.42</v>
      </c>
      <c r="E99" s="171">
        <f t="shared" si="49"/>
        <v>27.10459478</v>
      </c>
      <c r="F99" s="729">
        <f t="shared" si="50"/>
        <v>91.63934426</v>
      </c>
      <c r="G99" s="172">
        <v>111.8</v>
      </c>
    </row>
    <row r="100" ht="15.75" customHeight="1">
      <c r="C100" s="748"/>
      <c r="F100" s="748"/>
      <c r="G100" s="748"/>
    </row>
    <row r="101" ht="15.75" customHeight="1">
      <c r="C101" s="748"/>
      <c r="F101" s="748"/>
      <c r="G101" s="748"/>
    </row>
    <row r="102" ht="15.75" customHeight="1">
      <c r="C102" s="748"/>
      <c r="F102" s="748"/>
      <c r="G102" s="748"/>
    </row>
    <row r="103" ht="15.75" customHeight="1">
      <c r="C103" s="748"/>
      <c r="F103" s="748"/>
      <c r="G103" s="748"/>
    </row>
    <row r="104" ht="15.75" customHeight="1">
      <c r="C104" s="748"/>
      <c r="F104" s="748"/>
      <c r="G104" s="748"/>
    </row>
    <row r="105" ht="15.75" customHeight="1">
      <c r="C105" s="748"/>
      <c r="F105" s="748"/>
      <c r="G105" s="748"/>
    </row>
    <row r="106" ht="15.75" customHeight="1">
      <c r="C106" s="748"/>
      <c r="F106" s="748"/>
      <c r="G106" s="748"/>
    </row>
    <row r="107" ht="15.75" customHeight="1">
      <c r="C107" s="748"/>
      <c r="F107" s="748"/>
      <c r="G107" s="748"/>
    </row>
    <row r="108" ht="15.75" customHeight="1">
      <c r="C108" s="748"/>
      <c r="F108" s="748"/>
      <c r="G108" s="748"/>
    </row>
    <row r="109" ht="15.75" customHeight="1">
      <c r="C109" s="748"/>
      <c r="F109" s="748"/>
      <c r="G109" s="748"/>
    </row>
    <row r="110" ht="15.75" customHeight="1">
      <c r="C110" s="748"/>
      <c r="F110" s="748"/>
      <c r="G110" s="748"/>
    </row>
    <row r="111" ht="15.75" customHeight="1">
      <c r="C111" s="748"/>
      <c r="F111" s="748"/>
      <c r="G111" s="748"/>
    </row>
    <row r="112" ht="15.75" customHeight="1">
      <c r="C112" s="748"/>
      <c r="F112" s="748"/>
      <c r="G112" s="748"/>
    </row>
    <row r="113" ht="15.75" customHeight="1">
      <c r="C113" s="748"/>
      <c r="F113" s="748"/>
      <c r="G113" s="748"/>
    </row>
    <row r="114" ht="15.75" customHeight="1">
      <c r="C114" s="748"/>
      <c r="F114" s="748"/>
      <c r="G114" s="748"/>
    </row>
    <row r="115" ht="15.75" customHeight="1">
      <c r="C115" s="748"/>
      <c r="F115" s="748"/>
      <c r="G115" s="748"/>
    </row>
    <row r="116" ht="15.75" customHeight="1">
      <c r="C116" s="748"/>
      <c r="F116" s="748"/>
      <c r="G116" s="748"/>
    </row>
    <row r="117" ht="15.75" customHeight="1">
      <c r="C117" s="748"/>
      <c r="F117" s="748"/>
      <c r="G117" s="748"/>
    </row>
    <row r="118" ht="15.75" customHeight="1">
      <c r="C118" s="748"/>
      <c r="F118" s="748"/>
      <c r="G118" s="748"/>
    </row>
    <row r="119" ht="15.75" customHeight="1">
      <c r="C119" s="748"/>
      <c r="F119" s="748"/>
      <c r="G119" s="748"/>
    </row>
    <row r="120" ht="15.75" customHeight="1">
      <c r="C120" s="748"/>
      <c r="F120" s="748"/>
      <c r="G120" s="748"/>
    </row>
    <row r="121" ht="15.75" customHeight="1">
      <c r="C121" s="748"/>
      <c r="F121" s="748"/>
      <c r="G121" s="748"/>
    </row>
    <row r="122" ht="15.75" customHeight="1">
      <c r="C122" s="748"/>
      <c r="F122" s="748"/>
      <c r="G122" s="748"/>
    </row>
    <row r="123" ht="15.75" customHeight="1">
      <c r="C123" s="748"/>
      <c r="F123" s="748"/>
      <c r="G123" s="748"/>
    </row>
    <row r="124" ht="15.75" customHeight="1">
      <c r="C124" s="748"/>
      <c r="F124" s="748"/>
      <c r="G124" s="748"/>
    </row>
    <row r="125" ht="15.75" customHeight="1">
      <c r="C125" s="748"/>
      <c r="F125" s="748"/>
      <c r="G125" s="748"/>
    </row>
    <row r="126" ht="15.75" customHeight="1">
      <c r="C126" s="748"/>
      <c r="F126" s="748"/>
      <c r="G126" s="748"/>
    </row>
    <row r="127" ht="15.75" customHeight="1">
      <c r="C127" s="748"/>
      <c r="F127" s="748"/>
      <c r="G127" s="748"/>
    </row>
    <row r="128" ht="15.75" customHeight="1">
      <c r="C128" s="748"/>
      <c r="F128" s="748"/>
      <c r="G128" s="748"/>
    </row>
    <row r="129" ht="15.75" customHeight="1">
      <c r="C129" s="748"/>
      <c r="F129" s="748"/>
      <c r="G129" s="748"/>
    </row>
    <row r="130" ht="15.75" customHeight="1">
      <c r="C130" s="748"/>
      <c r="F130" s="748"/>
      <c r="G130" s="748"/>
    </row>
    <row r="131" ht="15.75" customHeight="1">
      <c r="C131" s="748"/>
      <c r="F131" s="748"/>
      <c r="G131" s="748"/>
    </row>
    <row r="132" ht="15.75" customHeight="1">
      <c r="C132" s="748"/>
      <c r="F132" s="748"/>
      <c r="G132" s="748"/>
    </row>
    <row r="133" ht="15.75" customHeight="1">
      <c r="C133" s="748"/>
      <c r="F133" s="748"/>
      <c r="G133" s="748"/>
    </row>
    <row r="134" ht="15.75" customHeight="1">
      <c r="C134" s="748"/>
      <c r="F134" s="748"/>
      <c r="G134" s="748"/>
    </row>
    <row r="135" ht="15.75" customHeight="1">
      <c r="C135" s="748"/>
      <c r="F135" s="748"/>
      <c r="G135" s="748"/>
    </row>
    <row r="136" ht="15.75" customHeight="1">
      <c r="C136" s="748"/>
      <c r="F136" s="748"/>
      <c r="G136" s="748"/>
    </row>
    <row r="137" ht="15.75" customHeight="1">
      <c r="C137" s="748"/>
      <c r="F137" s="748"/>
      <c r="G137" s="748"/>
    </row>
    <row r="138" ht="15.75" customHeight="1">
      <c r="C138" s="748"/>
      <c r="F138" s="748"/>
      <c r="G138" s="748"/>
    </row>
    <row r="139" ht="15.75" customHeight="1">
      <c r="C139" s="748"/>
      <c r="F139" s="748"/>
      <c r="G139" s="748"/>
    </row>
    <row r="140" ht="15.75" customHeight="1">
      <c r="C140" s="748"/>
      <c r="F140" s="748"/>
      <c r="G140" s="748"/>
    </row>
    <row r="141" ht="15.75" customHeight="1">
      <c r="C141" s="748"/>
      <c r="F141" s="748"/>
      <c r="G141" s="748"/>
    </row>
    <row r="142" ht="15.75" customHeight="1">
      <c r="C142" s="748"/>
      <c r="F142" s="748"/>
      <c r="G142" s="748"/>
    </row>
    <row r="143" ht="15.75" customHeight="1">
      <c r="C143" s="748"/>
      <c r="F143" s="748"/>
      <c r="G143" s="748"/>
    </row>
    <row r="144" ht="15.75" customHeight="1">
      <c r="C144" s="748"/>
      <c r="F144" s="748"/>
      <c r="G144" s="748"/>
    </row>
    <row r="145" ht="15.75" customHeight="1">
      <c r="C145" s="748"/>
      <c r="F145" s="748"/>
      <c r="G145" s="748"/>
    </row>
    <row r="146" ht="15.75" customHeight="1">
      <c r="C146" s="748"/>
      <c r="F146" s="748"/>
      <c r="G146" s="748"/>
    </row>
    <row r="147" ht="15.75" customHeight="1">
      <c r="C147" s="748"/>
      <c r="F147" s="748"/>
      <c r="G147" s="748"/>
    </row>
    <row r="148" ht="15.75" customHeight="1">
      <c r="C148" s="748"/>
      <c r="F148" s="748"/>
      <c r="G148" s="748"/>
    </row>
    <row r="149" ht="15.75" customHeight="1">
      <c r="C149" s="748"/>
      <c r="F149" s="748"/>
      <c r="G149" s="748"/>
    </row>
    <row r="150" ht="15.75" customHeight="1">
      <c r="C150" s="748"/>
      <c r="F150" s="748"/>
      <c r="G150" s="748"/>
    </row>
    <row r="151" ht="15.75" customHeight="1">
      <c r="C151" s="748"/>
      <c r="F151" s="748"/>
      <c r="G151" s="748"/>
    </row>
    <row r="152" ht="15.75" customHeight="1">
      <c r="C152" s="748"/>
      <c r="F152" s="748"/>
      <c r="G152" s="748"/>
    </row>
    <row r="153" ht="15.75" customHeight="1">
      <c r="C153" s="748"/>
      <c r="F153" s="748"/>
      <c r="G153" s="748"/>
    </row>
    <row r="154" ht="15.75" customHeight="1">
      <c r="C154" s="748"/>
      <c r="F154" s="748"/>
      <c r="G154" s="748"/>
    </row>
    <row r="155" ht="15.75" customHeight="1">
      <c r="C155" s="748"/>
      <c r="F155" s="748"/>
      <c r="G155" s="748"/>
    </row>
    <row r="156" ht="15.75" customHeight="1">
      <c r="C156" s="748"/>
      <c r="F156" s="748"/>
      <c r="G156" s="748"/>
    </row>
    <row r="157" ht="15.75" customHeight="1">
      <c r="C157" s="748"/>
      <c r="F157" s="748"/>
      <c r="G157" s="748"/>
    </row>
    <row r="158" ht="15.75" customHeight="1">
      <c r="C158" s="748"/>
      <c r="F158" s="748"/>
      <c r="G158" s="748"/>
    </row>
    <row r="159" ht="15.75" customHeight="1">
      <c r="C159" s="748"/>
      <c r="F159" s="748"/>
      <c r="G159" s="748"/>
    </row>
    <row r="160" ht="15.75" customHeight="1">
      <c r="C160" s="748"/>
      <c r="F160" s="748"/>
      <c r="G160" s="748"/>
    </row>
    <row r="161" ht="15.75" customHeight="1">
      <c r="C161" s="748"/>
      <c r="F161" s="748"/>
      <c r="G161" s="748"/>
    </row>
    <row r="162" ht="15.75" customHeight="1">
      <c r="C162" s="748"/>
      <c r="F162" s="748"/>
      <c r="G162" s="748"/>
    </row>
    <row r="163" ht="15.75" customHeight="1">
      <c r="C163" s="748"/>
      <c r="F163" s="748"/>
      <c r="G163" s="748"/>
    </row>
    <row r="164" ht="15.75" customHeight="1">
      <c r="C164" s="748"/>
      <c r="F164" s="748"/>
      <c r="G164" s="748"/>
    </row>
    <row r="165" ht="15.75" customHeight="1">
      <c r="C165" s="748"/>
      <c r="F165" s="748"/>
      <c r="G165" s="748"/>
    </row>
    <row r="166" ht="15.75" customHeight="1">
      <c r="C166" s="748"/>
      <c r="F166" s="748"/>
      <c r="G166" s="748"/>
    </row>
    <row r="167" ht="15.75" customHeight="1">
      <c r="C167" s="748"/>
      <c r="F167" s="748"/>
      <c r="G167" s="748"/>
    </row>
    <row r="168" ht="15.75" customHeight="1">
      <c r="C168" s="748"/>
      <c r="F168" s="748"/>
      <c r="G168" s="748"/>
    </row>
    <row r="169" ht="15.75" customHeight="1">
      <c r="C169" s="748"/>
      <c r="F169" s="748"/>
      <c r="G169" s="748"/>
    </row>
    <row r="170" ht="15.75" customHeight="1">
      <c r="C170" s="748"/>
      <c r="F170" s="748"/>
      <c r="G170" s="748"/>
    </row>
    <row r="171" ht="15.75" customHeight="1">
      <c r="C171" s="748"/>
      <c r="F171" s="748"/>
      <c r="G171" s="748"/>
    </row>
    <row r="172" ht="15.75" customHeight="1">
      <c r="C172" s="748"/>
      <c r="F172" s="748"/>
      <c r="G172" s="748"/>
    </row>
    <row r="173" ht="15.75" customHeight="1">
      <c r="C173" s="748"/>
      <c r="F173" s="748"/>
      <c r="G173" s="748"/>
    </row>
    <row r="174" ht="15.75" customHeight="1">
      <c r="C174" s="748"/>
      <c r="F174" s="748"/>
      <c r="G174" s="748"/>
    </row>
    <row r="175" ht="15.75" customHeight="1">
      <c r="C175" s="748"/>
      <c r="F175" s="748"/>
      <c r="G175" s="748"/>
    </row>
    <row r="176" ht="15.75" customHeight="1">
      <c r="C176" s="748"/>
      <c r="F176" s="748"/>
      <c r="G176" s="748"/>
    </row>
    <row r="177" ht="15.75" customHeight="1">
      <c r="C177" s="748"/>
      <c r="F177" s="748"/>
      <c r="G177" s="748"/>
    </row>
    <row r="178" ht="15.75" customHeight="1">
      <c r="C178" s="748"/>
      <c r="F178" s="748"/>
      <c r="G178" s="748"/>
    </row>
    <row r="179" ht="15.75" customHeight="1">
      <c r="C179" s="748"/>
      <c r="F179" s="748"/>
      <c r="G179" s="748"/>
    </row>
    <row r="180" ht="15.75" customHeight="1">
      <c r="C180" s="748"/>
      <c r="F180" s="748"/>
      <c r="G180" s="748"/>
    </row>
    <row r="181" ht="15.75" customHeight="1">
      <c r="C181" s="748"/>
      <c r="F181" s="748"/>
      <c r="G181" s="748"/>
    </row>
    <row r="182" ht="15.75" customHeight="1">
      <c r="C182" s="748"/>
      <c r="F182" s="748"/>
      <c r="G182" s="748"/>
    </row>
    <row r="183" ht="15.75" customHeight="1">
      <c r="C183" s="748"/>
      <c r="F183" s="748"/>
      <c r="G183" s="748"/>
    </row>
    <row r="184" ht="15.75" customHeight="1">
      <c r="C184" s="748"/>
      <c r="F184" s="748"/>
      <c r="G184" s="748"/>
    </row>
    <row r="185" ht="15.75" customHeight="1">
      <c r="C185" s="748"/>
      <c r="F185" s="748"/>
      <c r="G185" s="748"/>
    </row>
    <row r="186" ht="15.75" customHeight="1">
      <c r="C186" s="748"/>
      <c r="F186" s="748"/>
      <c r="G186" s="748"/>
    </row>
    <row r="187" ht="15.75" customHeight="1">
      <c r="C187" s="748"/>
      <c r="F187" s="748"/>
      <c r="G187" s="748"/>
    </row>
    <row r="188" ht="15.75" customHeight="1">
      <c r="C188" s="748"/>
      <c r="F188" s="748"/>
      <c r="G188" s="748"/>
    </row>
    <row r="189" ht="15.75" customHeight="1">
      <c r="C189" s="748"/>
      <c r="F189" s="748"/>
      <c r="G189" s="748"/>
    </row>
    <row r="190" ht="15.75" customHeight="1">
      <c r="C190" s="748"/>
      <c r="F190" s="748"/>
      <c r="G190" s="748"/>
    </row>
    <row r="191" ht="15.75" customHeight="1">
      <c r="C191" s="748"/>
      <c r="F191" s="748"/>
      <c r="G191" s="748"/>
    </row>
    <row r="192" ht="15.75" customHeight="1">
      <c r="C192" s="748"/>
      <c r="F192" s="748"/>
      <c r="G192" s="748"/>
    </row>
    <row r="193" ht="15.75" customHeight="1">
      <c r="C193" s="748"/>
      <c r="F193" s="748"/>
      <c r="G193" s="748"/>
    </row>
    <row r="194" ht="15.75" customHeight="1">
      <c r="C194" s="748"/>
      <c r="F194" s="748"/>
      <c r="G194" s="748"/>
    </row>
    <row r="195" ht="15.75" customHeight="1">
      <c r="C195" s="748"/>
      <c r="F195" s="748"/>
      <c r="G195" s="748"/>
    </row>
    <row r="196" ht="15.75" customHeight="1">
      <c r="C196" s="748"/>
      <c r="F196" s="748"/>
      <c r="G196" s="748"/>
    </row>
    <row r="197" ht="15.75" customHeight="1">
      <c r="C197" s="748"/>
      <c r="F197" s="748"/>
      <c r="G197" s="748"/>
    </row>
    <row r="198" ht="15.75" customHeight="1">
      <c r="C198" s="748"/>
      <c r="F198" s="748"/>
      <c r="G198" s="748"/>
    </row>
    <row r="199" ht="15.75" customHeight="1">
      <c r="C199" s="748"/>
      <c r="F199" s="748"/>
      <c r="G199" s="748"/>
    </row>
    <row r="200" ht="15.75" customHeight="1">
      <c r="C200" s="748"/>
      <c r="F200" s="748"/>
      <c r="G200" s="748"/>
    </row>
    <row r="201" ht="15.75" customHeight="1">
      <c r="C201" s="748"/>
      <c r="F201" s="748"/>
      <c r="G201" s="748"/>
    </row>
    <row r="202" ht="15.75" customHeight="1">
      <c r="C202" s="748"/>
      <c r="F202" s="748"/>
      <c r="G202" s="748"/>
    </row>
    <row r="203" ht="15.75" customHeight="1">
      <c r="C203" s="748"/>
      <c r="F203" s="748"/>
      <c r="G203" s="748"/>
    </row>
    <row r="204" ht="15.75" customHeight="1">
      <c r="C204" s="748"/>
      <c r="F204" s="748"/>
      <c r="G204" s="748"/>
    </row>
    <row r="205" ht="15.75" customHeight="1">
      <c r="C205" s="748"/>
      <c r="F205" s="748"/>
      <c r="G205" s="748"/>
    </row>
    <row r="206" ht="15.75" customHeight="1">
      <c r="C206" s="748"/>
      <c r="F206" s="748"/>
      <c r="G206" s="748"/>
    </row>
    <row r="207" ht="15.75" customHeight="1">
      <c r="C207" s="748"/>
      <c r="F207" s="748"/>
      <c r="G207" s="748"/>
    </row>
    <row r="208" ht="15.75" customHeight="1">
      <c r="C208" s="748"/>
      <c r="F208" s="748"/>
      <c r="G208" s="748"/>
    </row>
    <row r="209" ht="15.75" customHeight="1">
      <c r="C209" s="748"/>
      <c r="F209" s="748"/>
      <c r="G209" s="748"/>
    </row>
    <row r="210" ht="15.75" customHeight="1">
      <c r="C210" s="748"/>
      <c r="F210" s="748"/>
      <c r="G210" s="748"/>
    </row>
    <row r="211" ht="15.75" customHeight="1">
      <c r="C211" s="748"/>
      <c r="F211" s="748"/>
      <c r="G211" s="748"/>
    </row>
    <row r="212" ht="15.75" customHeight="1">
      <c r="C212" s="748"/>
      <c r="F212" s="748"/>
      <c r="G212" s="748"/>
    </row>
    <row r="213" ht="15.75" customHeight="1">
      <c r="C213" s="748"/>
      <c r="F213" s="748"/>
      <c r="G213" s="748"/>
    </row>
    <row r="214" ht="15.75" customHeight="1">
      <c r="C214" s="748"/>
      <c r="F214" s="748"/>
      <c r="G214" s="748"/>
    </row>
    <row r="215" ht="15.75" customHeight="1">
      <c r="C215" s="748"/>
      <c r="F215" s="748"/>
      <c r="G215" s="748"/>
    </row>
    <row r="216" ht="15.75" customHeight="1">
      <c r="C216" s="748"/>
      <c r="F216" s="748"/>
      <c r="G216" s="748"/>
    </row>
    <row r="217" ht="15.75" customHeight="1">
      <c r="C217" s="748"/>
      <c r="F217" s="748"/>
      <c r="G217" s="748"/>
    </row>
    <row r="218" ht="15.75" customHeight="1">
      <c r="C218" s="748"/>
      <c r="F218" s="748"/>
      <c r="G218" s="748"/>
    </row>
    <row r="219" ht="15.75" customHeight="1">
      <c r="C219" s="748"/>
      <c r="F219" s="748"/>
      <c r="G219" s="748"/>
    </row>
    <row r="220" ht="15.75" customHeight="1">
      <c r="C220" s="748"/>
      <c r="F220" s="748"/>
      <c r="G220" s="748"/>
    </row>
    <row r="221" ht="15.75" customHeight="1">
      <c r="C221" s="748"/>
      <c r="F221" s="748"/>
      <c r="G221" s="748"/>
    </row>
    <row r="222" ht="15.75" customHeight="1">
      <c r="C222" s="748"/>
      <c r="F222" s="748"/>
      <c r="G222" s="748"/>
    </row>
    <row r="223" ht="15.75" customHeight="1">
      <c r="C223" s="748"/>
      <c r="F223" s="748"/>
      <c r="G223" s="748"/>
    </row>
    <row r="224" ht="15.75" customHeight="1">
      <c r="C224" s="748"/>
      <c r="F224" s="748"/>
      <c r="G224" s="748"/>
    </row>
    <row r="225" ht="15.75" customHeight="1">
      <c r="C225" s="748"/>
      <c r="F225" s="748"/>
      <c r="G225" s="748"/>
    </row>
    <row r="226" ht="15.75" customHeight="1">
      <c r="C226" s="748"/>
      <c r="F226" s="748"/>
      <c r="G226" s="748"/>
    </row>
    <row r="227" ht="15.75" customHeight="1">
      <c r="C227" s="748"/>
      <c r="F227" s="748"/>
      <c r="G227" s="748"/>
    </row>
    <row r="228" ht="15.75" customHeight="1">
      <c r="C228" s="748"/>
      <c r="F228" s="748"/>
      <c r="G228" s="748"/>
    </row>
    <row r="229" ht="15.75" customHeight="1">
      <c r="C229" s="748"/>
      <c r="F229" s="748"/>
      <c r="G229" s="748"/>
    </row>
    <row r="230" ht="15.75" customHeight="1">
      <c r="C230" s="748"/>
      <c r="F230" s="748"/>
      <c r="G230" s="748"/>
    </row>
    <row r="231" ht="15.75" customHeight="1">
      <c r="C231" s="748"/>
      <c r="F231" s="748"/>
      <c r="G231" s="748"/>
    </row>
    <row r="232" ht="15.75" customHeight="1">
      <c r="C232" s="748"/>
      <c r="F232" s="748"/>
      <c r="G232" s="748"/>
    </row>
    <row r="233" ht="15.75" customHeight="1">
      <c r="C233" s="748"/>
      <c r="F233" s="748"/>
      <c r="G233" s="748"/>
    </row>
    <row r="234" ht="15.75" customHeight="1">
      <c r="C234" s="748"/>
      <c r="F234" s="748"/>
      <c r="G234" s="748"/>
    </row>
    <row r="235" ht="15.75" customHeight="1">
      <c r="C235" s="748"/>
      <c r="F235" s="748"/>
      <c r="G235" s="748"/>
    </row>
    <row r="236" ht="15.75" customHeight="1">
      <c r="C236" s="748"/>
      <c r="F236" s="748"/>
      <c r="G236" s="748"/>
    </row>
    <row r="237" ht="15.75" customHeight="1">
      <c r="C237" s="748"/>
      <c r="F237" s="748"/>
      <c r="G237" s="748"/>
    </row>
    <row r="238" ht="15.75" customHeight="1">
      <c r="C238" s="748"/>
      <c r="F238" s="748"/>
      <c r="G238" s="748"/>
    </row>
    <row r="239" ht="15.75" customHeight="1">
      <c r="C239" s="748"/>
      <c r="F239" s="748"/>
      <c r="G239" s="748"/>
    </row>
    <row r="240" ht="15.75" customHeight="1">
      <c r="C240" s="748"/>
      <c r="F240" s="748"/>
      <c r="G240" s="748"/>
    </row>
    <row r="241" ht="15.75" customHeight="1">
      <c r="C241" s="748"/>
      <c r="F241" s="748"/>
      <c r="G241" s="748"/>
    </row>
    <row r="242" ht="15.75" customHeight="1">
      <c r="C242" s="748"/>
      <c r="F242" s="748"/>
      <c r="G242" s="748"/>
    </row>
    <row r="243" ht="15.75" customHeight="1">
      <c r="C243" s="748"/>
      <c r="F243" s="748"/>
      <c r="G243" s="748"/>
    </row>
    <row r="244" ht="15.75" customHeight="1">
      <c r="C244" s="748"/>
      <c r="F244" s="748"/>
      <c r="G244" s="748"/>
    </row>
    <row r="245" ht="15.75" customHeight="1">
      <c r="C245" s="748"/>
      <c r="F245" s="748"/>
      <c r="G245" s="748"/>
    </row>
    <row r="246" ht="15.75" customHeight="1">
      <c r="C246" s="748"/>
      <c r="F246" s="748"/>
      <c r="G246" s="748"/>
    </row>
    <row r="247" ht="15.75" customHeight="1">
      <c r="C247" s="748"/>
      <c r="F247" s="748"/>
      <c r="G247" s="748"/>
    </row>
    <row r="248" ht="15.75" customHeight="1">
      <c r="C248" s="748"/>
      <c r="F248" s="748"/>
      <c r="G248" s="748"/>
    </row>
    <row r="249" ht="15.75" customHeight="1">
      <c r="C249" s="748"/>
      <c r="F249" s="748"/>
      <c r="G249" s="748"/>
    </row>
    <row r="250" ht="15.75" customHeight="1">
      <c r="C250" s="748"/>
      <c r="F250" s="748"/>
      <c r="G250" s="748"/>
    </row>
    <row r="251" ht="15.75" customHeight="1">
      <c r="C251" s="748"/>
      <c r="F251" s="748"/>
      <c r="G251" s="748"/>
    </row>
    <row r="252" ht="15.75" customHeight="1">
      <c r="C252" s="748"/>
      <c r="F252" s="748"/>
      <c r="G252" s="748"/>
    </row>
    <row r="253" ht="15.75" customHeight="1">
      <c r="C253" s="748"/>
      <c r="F253" s="748"/>
      <c r="G253" s="748"/>
    </row>
    <row r="254" ht="15.75" customHeight="1">
      <c r="C254" s="748"/>
      <c r="F254" s="748"/>
      <c r="G254" s="748"/>
    </row>
    <row r="255" ht="15.75" customHeight="1">
      <c r="C255" s="748"/>
      <c r="F255" s="748"/>
      <c r="G255" s="748"/>
    </row>
    <row r="256" ht="15.75" customHeight="1">
      <c r="C256" s="748"/>
      <c r="F256" s="748"/>
      <c r="G256" s="748"/>
    </row>
    <row r="257" ht="15.75" customHeight="1">
      <c r="C257" s="748"/>
      <c r="F257" s="748"/>
      <c r="G257" s="748"/>
    </row>
    <row r="258" ht="15.75" customHeight="1">
      <c r="C258" s="748"/>
      <c r="F258" s="748"/>
      <c r="G258" s="748"/>
    </row>
    <row r="259" ht="15.75" customHeight="1">
      <c r="C259" s="748"/>
      <c r="F259" s="748"/>
      <c r="G259" s="748"/>
    </row>
    <row r="260" ht="15.75" customHeight="1">
      <c r="C260" s="748"/>
      <c r="F260" s="748"/>
      <c r="G260" s="748"/>
    </row>
    <row r="261" ht="15.75" customHeight="1">
      <c r="C261" s="748"/>
      <c r="F261" s="748"/>
      <c r="G261" s="748"/>
    </row>
    <row r="262" ht="15.75" customHeight="1">
      <c r="C262" s="748"/>
      <c r="F262" s="748"/>
      <c r="G262" s="748"/>
    </row>
    <row r="263" ht="15.75" customHeight="1">
      <c r="C263" s="748"/>
      <c r="F263" s="748"/>
      <c r="G263" s="748"/>
    </row>
    <row r="264" ht="15.75" customHeight="1">
      <c r="C264" s="748"/>
      <c r="F264" s="748"/>
      <c r="G264" s="748"/>
    </row>
    <row r="265" ht="15.75" customHeight="1">
      <c r="C265" s="748"/>
      <c r="F265" s="748"/>
      <c r="G265" s="748"/>
    </row>
    <row r="266" ht="15.75" customHeight="1">
      <c r="C266" s="748"/>
      <c r="F266" s="748"/>
      <c r="G266" s="748"/>
    </row>
    <row r="267" ht="15.75" customHeight="1">
      <c r="C267" s="748"/>
      <c r="F267" s="748"/>
      <c r="G267" s="748"/>
    </row>
    <row r="268" ht="15.75" customHeight="1">
      <c r="C268" s="748"/>
      <c r="F268" s="748"/>
      <c r="G268" s="748"/>
    </row>
    <row r="269" ht="15.75" customHeight="1">
      <c r="C269" s="748"/>
      <c r="F269" s="748"/>
      <c r="G269" s="748"/>
    </row>
    <row r="270" ht="15.75" customHeight="1">
      <c r="C270" s="748"/>
      <c r="F270" s="748"/>
      <c r="G270" s="748"/>
    </row>
    <row r="271" ht="15.75" customHeight="1">
      <c r="C271" s="748"/>
      <c r="F271" s="748"/>
      <c r="G271" s="748"/>
    </row>
    <row r="272" ht="15.75" customHeight="1">
      <c r="C272" s="748"/>
      <c r="F272" s="748"/>
      <c r="G272" s="748"/>
    </row>
    <row r="273" ht="15.75" customHeight="1">
      <c r="C273" s="748"/>
      <c r="F273" s="748"/>
      <c r="G273" s="748"/>
    </row>
    <row r="274" ht="15.75" customHeight="1">
      <c r="C274" s="748"/>
      <c r="F274" s="748"/>
      <c r="G274" s="748"/>
    </row>
    <row r="275" ht="15.75" customHeight="1">
      <c r="C275" s="748"/>
      <c r="F275" s="748"/>
      <c r="G275" s="748"/>
    </row>
    <row r="276" ht="15.75" customHeight="1">
      <c r="C276" s="748"/>
      <c r="F276" s="748"/>
      <c r="G276" s="748"/>
    </row>
    <row r="277" ht="15.75" customHeight="1">
      <c r="C277" s="748"/>
      <c r="F277" s="748"/>
      <c r="G277" s="748"/>
    </row>
    <row r="278" ht="15.75" customHeight="1">
      <c r="C278" s="748"/>
      <c r="F278" s="748"/>
      <c r="G278" s="748"/>
    </row>
    <row r="279" ht="15.75" customHeight="1">
      <c r="C279" s="748"/>
      <c r="F279" s="748"/>
      <c r="G279" s="748"/>
    </row>
    <row r="280" ht="15.75" customHeight="1">
      <c r="C280" s="748"/>
      <c r="F280" s="748"/>
      <c r="G280" s="748"/>
    </row>
    <row r="281" ht="15.75" customHeight="1">
      <c r="C281" s="748"/>
      <c r="F281" s="748"/>
      <c r="G281" s="748"/>
    </row>
    <row r="282" ht="15.75" customHeight="1">
      <c r="C282" s="748"/>
      <c r="F282" s="748"/>
      <c r="G282" s="748"/>
    </row>
    <row r="283" ht="15.75" customHeight="1">
      <c r="C283" s="748"/>
      <c r="F283" s="748"/>
      <c r="G283" s="748"/>
    </row>
    <row r="284" ht="15.75" customHeight="1">
      <c r="C284" s="748"/>
      <c r="F284" s="748"/>
      <c r="G284" s="748"/>
    </row>
    <row r="285" ht="15.75" customHeight="1">
      <c r="C285" s="748"/>
      <c r="F285" s="748"/>
      <c r="G285" s="748"/>
    </row>
    <row r="286" ht="15.75" customHeight="1">
      <c r="C286" s="748"/>
      <c r="F286" s="748"/>
      <c r="G286" s="748"/>
    </row>
    <row r="287" ht="15.75" customHeight="1">
      <c r="C287" s="748"/>
      <c r="F287" s="748"/>
      <c r="G287" s="748"/>
    </row>
    <row r="288" ht="15.75" customHeight="1">
      <c r="C288" s="748"/>
      <c r="F288" s="748"/>
      <c r="G288" s="748"/>
    </row>
    <row r="289" ht="15.75" customHeight="1">
      <c r="C289" s="748"/>
      <c r="F289" s="748"/>
      <c r="G289" s="748"/>
    </row>
    <row r="290" ht="15.75" customHeight="1">
      <c r="C290" s="748"/>
      <c r="F290" s="748"/>
      <c r="G290" s="748"/>
    </row>
    <row r="291" ht="15.75" customHeight="1">
      <c r="C291" s="748"/>
      <c r="F291" s="748"/>
      <c r="G291" s="748"/>
    </row>
    <row r="292" ht="15.75" customHeight="1">
      <c r="C292" s="748"/>
      <c r="F292" s="748"/>
      <c r="G292" s="748"/>
    </row>
    <row r="293" ht="15.75" customHeight="1">
      <c r="C293" s="748"/>
      <c r="F293" s="748"/>
      <c r="G293" s="748"/>
    </row>
    <row r="294" ht="15.75" customHeight="1">
      <c r="C294" s="748"/>
      <c r="F294" s="748"/>
      <c r="G294" s="748"/>
    </row>
    <row r="295" ht="15.75" customHeight="1">
      <c r="C295" s="748"/>
      <c r="F295" s="748"/>
      <c r="G295" s="748"/>
    </row>
    <row r="296" ht="15.75" customHeight="1">
      <c r="C296" s="748"/>
      <c r="F296" s="748"/>
      <c r="G296" s="748"/>
    </row>
    <row r="297" ht="15.75" customHeight="1">
      <c r="C297" s="748"/>
      <c r="F297" s="748"/>
      <c r="G297" s="748"/>
    </row>
    <row r="298" ht="15.75" customHeight="1">
      <c r="C298" s="748"/>
      <c r="F298" s="748"/>
      <c r="G298" s="748"/>
    </row>
    <row r="299" ht="15.75" customHeight="1">
      <c r="C299" s="748"/>
      <c r="F299" s="748"/>
      <c r="G299" s="748"/>
    </row>
    <row r="300" ht="15.75" customHeight="1">
      <c r="C300" s="748"/>
      <c r="F300" s="748"/>
      <c r="G300" s="748"/>
    </row>
    <row r="301" ht="15.75" customHeight="1">
      <c r="C301" s="748"/>
      <c r="F301" s="748"/>
      <c r="G301" s="748"/>
    </row>
    <row r="302" ht="15.75" customHeight="1">
      <c r="C302" s="748"/>
      <c r="F302" s="748"/>
      <c r="G302" s="748"/>
    </row>
    <row r="303" ht="15.75" customHeight="1">
      <c r="C303" s="748"/>
      <c r="F303" s="748"/>
      <c r="G303" s="748"/>
    </row>
    <row r="304" ht="15.75" customHeight="1">
      <c r="C304" s="748"/>
      <c r="F304" s="748"/>
      <c r="G304" s="748"/>
    </row>
    <row r="305" ht="15.75" customHeight="1">
      <c r="C305" s="748"/>
      <c r="F305" s="748"/>
      <c r="G305" s="748"/>
    </row>
    <row r="306" ht="15.75" customHeight="1">
      <c r="C306" s="748"/>
      <c r="F306" s="748"/>
      <c r="G306" s="748"/>
    </row>
    <row r="307" ht="15.75" customHeight="1">
      <c r="C307" s="748"/>
      <c r="F307" s="748"/>
      <c r="G307" s="748"/>
    </row>
    <row r="308" ht="15.75" customHeight="1">
      <c r="C308" s="748"/>
      <c r="F308" s="748"/>
      <c r="G308" s="748"/>
    </row>
    <row r="309" ht="15.75" customHeight="1">
      <c r="C309" s="748"/>
      <c r="F309" s="748"/>
      <c r="G309" s="748"/>
    </row>
    <row r="310" ht="15.75" customHeight="1">
      <c r="C310" s="748"/>
      <c r="F310" s="748"/>
      <c r="G310" s="748"/>
    </row>
    <row r="311" ht="15.75" customHeight="1">
      <c r="C311" s="748"/>
      <c r="F311" s="748"/>
      <c r="G311" s="748"/>
    </row>
    <row r="312" ht="15.75" customHeight="1">
      <c r="C312" s="748"/>
      <c r="F312" s="748"/>
      <c r="G312" s="748"/>
    </row>
    <row r="313" ht="15.75" customHeight="1">
      <c r="C313" s="748"/>
      <c r="F313" s="748"/>
      <c r="G313" s="748"/>
    </row>
    <row r="314" ht="15.75" customHeight="1">
      <c r="C314" s="748"/>
      <c r="F314" s="748"/>
      <c r="G314" s="748"/>
    </row>
    <row r="315" ht="15.75" customHeight="1">
      <c r="C315" s="748"/>
      <c r="F315" s="748"/>
      <c r="G315" s="748"/>
    </row>
    <row r="316" ht="15.75" customHeight="1">
      <c r="C316" s="748"/>
      <c r="F316" s="748"/>
      <c r="G316" s="748"/>
    </row>
    <row r="317" ht="15.75" customHeight="1">
      <c r="C317" s="748"/>
      <c r="F317" s="748"/>
      <c r="G317" s="748"/>
    </row>
    <row r="318" ht="15.75" customHeight="1">
      <c r="C318" s="748"/>
      <c r="F318" s="748"/>
      <c r="G318" s="748"/>
    </row>
    <row r="319" ht="15.75" customHeight="1">
      <c r="C319" s="748"/>
      <c r="F319" s="748"/>
      <c r="G319" s="748"/>
    </row>
    <row r="320" ht="15.75" customHeight="1">
      <c r="C320" s="748"/>
      <c r="F320" s="748"/>
      <c r="G320" s="748"/>
    </row>
    <row r="321" ht="15.75" customHeight="1">
      <c r="C321" s="748"/>
      <c r="F321" s="748"/>
      <c r="G321" s="748"/>
    </row>
    <row r="322" ht="15.75" customHeight="1">
      <c r="C322" s="748"/>
      <c r="F322" s="748"/>
      <c r="G322" s="748"/>
    </row>
    <row r="323" ht="15.75" customHeight="1">
      <c r="C323" s="748"/>
      <c r="F323" s="748"/>
      <c r="G323" s="748"/>
    </row>
    <row r="324" ht="15.75" customHeight="1">
      <c r="C324" s="748"/>
      <c r="F324" s="748"/>
      <c r="G324" s="748"/>
    </row>
    <row r="325" ht="15.75" customHeight="1">
      <c r="C325" s="748"/>
      <c r="F325" s="748"/>
      <c r="G325" s="748"/>
    </row>
    <row r="326" ht="15.75" customHeight="1">
      <c r="C326" s="748"/>
      <c r="F326" s="748"/>
      <c r="G326" s="748"/>
    </row>
    <row r="327" ht="15.75" customHeight="1">
      <c r="C327" s="748"/>
      <c r="F327" s="748"/>
      <c r="G327" s="748"/>
    </row>
    <row r="328" ht="15.75" customHeight="1">
      <c r="C328" s="748"/>
      <c r="F328" s="748"/>
      <c r="G328" s="748"/>
    </row>
    <row r="329" ht="15.75" customHeight="1">
      <c r="C329" s="748"/>
      <c r="F329" s="748"/>
      <c r="G329" s="748"/>
    </row>
    <row r="330" ht="15.75" customHeight="1">
      <c r="C330" s="748"/>
      <c r="F330" s="748"/>
      <c r="G330" s="748"/>
    </row>
    <row r="331" ht="15.75" customHeight="1">
      <c r="C331" s="748"/>
      <c r="F331" s="748"/>
      <c r="G331" s="748"/>
    </row>
    <row r="332" ht="15.75" customHeight="1">
      <c r="C332" s="748"/>
      <c r="F332" s="748"/>
      <c r="G332" s="748"/>
    </row>
    <row r="333" ht="15.75" customHeight="1">
      <c r="C333" s="748"/>
      <c r="F333" s="748"/>
      <c r="G333" s="748"/>
    </row>
    <row r="334" ht="15.75" customHeight="1">
      <c r="C334" s="748"/>
      <c r="F334" s="748"/>
      <c r="G334" s="748"/>
    </row>
    <row r="335" ht="15.75" customHeight="1">
      <c r="C335" s="748"/>
      <c r="F335" s="748"/>
      <c r="G335" s="748"/>
    </row>
    <row r="336" ht="15.75" customHeight="1">
      <c r="C336" s="748"/>
      <c r="F336" s="748"/>
      <c r="G336" s="748"/>
    </row>
    <row r="337" ht="15.75" customHeight="1">
      <c r="C337" s="748"/>
      <c r="F337" s="748"/>
      <c r="G337" s="748"/>
    </row>
    <row r="338" ht="15.75" customHeight="1">
      <c r="C338" s="748"/>
      <c r="F338" s="748"/>
      <c r="G338" s="748"/>
    </row>
    <row r="339" ht="15.75" customHeight="1">
      <c r="C339" s="748"/>
      <c r="F339" s="748"/>
      <c r="G339" s="748"/>
    </row>
    <row r="340" ht="15.75" customHeight="1">
      <c r="C340" s="748"/>
      <c r="F340" s="748"/>
      <c r="G340" s="748"/>
    </row>
    <row r="341" ht="15.75" customHeight="1">
      <c r="C341" s="748"/>
      <c r="F341" s="748"/>
      <c r="G341" s="748"/>
    </row>
    <row r="342" ht="15.75" customHeight="1">
      <c r="C342" s="748"/>
      <c r="F342" s="748"/>
      <c r="G342" s="748"/>
    </row>
    <row r="343" ht="15.75" customHeight="1">
      <c r="C343" s="748"/>
      <c r="F343" s="748"/>
      <c r="G343" s="748"/>
    </row>
    <row r="344" ht="15.75" customHeight="1">
      <c r="C344" s="748"/>
      <c r="F344" s="748"/>
      <c r="G344" s="748"/>
    </row>
    <row r="345" ht="15.75" customHeight="1">
      <c r="C345" s="748"/>
      <c r="F345" s="748"/>
      <c r="G345" s="748"/>
    </row>
    <row r="346" ht="15.75" customHeight="1">
      <c r="C346" s="748"/>
      <c r="F346" s="748"/>
      <c r="G346" s="748"/>
    </row>
    <row r="347" ht="15.75" customHeight="1">
      <c r="C347" s="748"/>
      <c r="F347" s="748"/>
      <c r="G347" s="748"/>
    </row>
    <row r="348" ht="15.75" customHeight="1">
      <c r="C348" s="748"/>
      <c r="F348" s="748"/>
      <c r="G348" s="748"/>
    </row>
    <row r="349" ht="15.75" customHeight="1">
      <c r="C349" s="748"/>
      <c r="F349" s="748"/>
      <c r="G349" s="748"/>
    </row>
    <row r="350" ht="15.75" customHeight="1">
      <c r="C350" s="748"/>
      <c r="F350" s="748"/>
      <c r="G350" s="748"/>
    </row>
    <row r="351" ht="15.75" customHeight="1">
      <c r="C351" s="748"/>
      <c r="F351" s="748"/>
      <c r="G351" s="748"/>
    </row>
    <row r="352" ht="15.75" customHeight="1">
      <c r="C352" s="748"/>
      <c r="F352" s="748"/>
      <c r="G352" s="748"/>
    </row>
    <row r="353" ht="15.75" customHeight="1">
      <c r="C353" s="748"/>
      <c r="F353" s="748"/>
      <c r="G353" s="748"/>
    </row>
    <row r="354" ht="15.75" customHeight="1">
      <c r="C354" s="748"/>
      <c r="F354" s="748"/>
      <c r="G354" s="748"/>
    </row>
    <row r="355" ht="15.75" customHeight="1">
      <c r="C355" s="748"/>
      <c r="F355" s="748"/>
      <c r="G355" s="748"/>
    </row>
    <row r="356" ht="15.75" customHeight="1">
      <c r="C356" s="748"/>
      <c r="F356" s="748"/>
      <c r="G356" s="748"/>
    </row>
    <row r="357" ht="15.75" customHeight="1">
      <c r="C357" s="748"/>
      <c r="F357" s="748"/>
      <c r="G357" s="748"/>
    </row>
    <row r="358" ht="15.75" customHeight="1">
      <c r="C358" s="748"/>
      <c r="F358" s="748"/>
      <c r="G358" s="748"/>
    </row>
    <row r="359" ht="15.75" customHeight="1">
      <c r="C359" s="748"/>
      <c r="F359" s="748"/>
      <c r="G359" s="748"/>
    </row>
    <row r="360" ht="15.75" customHeight="1">
      <c r="C360" s="748"/>
      <c r="F360" s="748"/>
      <c r="G360" s="748"/>
    </row>
    <row r="361" ht="15.75" customHeight="1">
      <c r="C361" s="748"/>
      <c r="F361" s="748"/>
      <c r="G361" s="748"/>
    </row>
    <row r="362" ht="15.75" customHeight="1">
      <c r="C362" s="748"/>
      <c r="F362" s="748"/>
      <c r="G362" s="748"/>
    </row>
    <row r="363" ht="15.75" customHeight="1">
      <c r="C363" s="748"/>
      <c r="F363" s="748"/>
      <c r="G363" s="748"/>
    </row>
    <row r="364" ht="15.75" customHeight="1">
      <c r="C364" s="748"/>
      <c r="F364" s="748"/>
      <c r="G364" s="748"/>
    </row>
    <row r="365" ht="15.75" customHeight="1">
      <c r="C365" s="748"/>
      <c r="F365" s="748"/>
      <c r="G365" s="748"/>
    </row>
    <row r="366" ht="15.75" customHeight="1">
      <c r="C366" s="748"/>
      <c r="F366" s="748"/>
      <c r="G366" s="748"/>
    </row>
    <row r="367" ht="15.75" customHeight="1">
      <c r="C367" s="748"/>
      <c r="F367" s="748"/>
      <c r="G367" s="748"/>
    </row>
    <row r="368" ht="15.75" customHeight="1">
      <c r="C368" s="748"/>
      <c r="F368" s="748"/>
      <c r="G368" s="748"/>
    </row>
    <row r="369" ht="15.75" customHeight="1">
      <c r="C369" s="748"/>
      <c r="F369" s="748"/>
      <c r="G369" s="748"/>
    </row>
    <row r="370" ht="15.75" customHeight="1">
      <c r="C370" s="748"/>
      <c r="F370" s="748"/>
      <c r="G370" s="748"/>
    </row>
    <row r="371" ht="15.75" customHeight="1">
      <c r="C371" s="748"/>
      <c r="F371" s="748"/>
      <c r="G371" s="748"/>
    </row>
    <row r="372" ht="15.75" customHeight="1">
      <c r="C372" s="748"/>
      <c r="F372" s="748"/>
      <c r="G372" s="748"/>
    </row>
    <row r="373" ht="15.75" customHeight="1">
      <c r="C373" s="748"/>
      <c r="F373" s="748"/>
      <c r="G373" s="748"/>
    </row>
    <row r="374" ht="15.75" customHeight="1">
      <c r="C374" s="748"/>
      <c r="F374" s="748"/>
      <c r="G374" s="748"/>
    </row>
    <row r="375" ht="15.75" customHeight="1">
      <c r="C375" s="748"/>
      <c r="F375" s="748"/>
      <c r="G375" s="748"/>
    </row>
    <row r="376" ht="15.75" customHeight="1">
      <c r="C376" s="748"/>
      <c r="F376" s="748"/>
      <c r="G376" s="748"/>
    </row>
    <row r="377" ht="15.75" customHeight="1">
      <c r="C377" s="748"/>
      <c r="F377" s="748"/>
      <c r="G377" s="748"/>
    </row>
    <row r="378" ht="15.75" customHeight="1">
      <c r="C378" s="748"/>
      <c r="F378" s="748"/>
      <c r="G378" s="748"/>
    </row>
    <row r="379" ht="15.75" customHeight="1">
      <c r="C379" s="748"/>
      <c r="F379" s="748"/>
      <c r="G379" s="748"/>
    </row>
    <row r="380" ht="15.75" customHeight="1">
      <c r="C380" s="748"/>
      <c r="F380" s="748"/>
      <c r="G380" s="748"/>
    </row>
    <row r="381" ht="15.75" customHeight="1">
      <c r="C381" s="748"/>
      <c r="F381" s="748"/>
      <c r="G381" s="748"/>
    </row>
    <row r="382" ht="15.75" customHeight="1">
      <c r="C382" s="748"/>
      <c r="F382" s="748"/>
      <c r="G382" s="748"/>
    </row>
    <row r="383" ht="15.75" customHeight="1">
      <c r="C383" s="748"/>
      <c r="F383" s="748"/>
      <c r="G383" s="748"/>
    </row>
    <row r="384" ht="15.75" customHeight="1">
      <c r="C384" s="748"/>
      <c r="F384" s="748"/>
      <c r="G384" s="748"/>
    </row>
    <row r="385" ht="15.75" customHeight="1">
      <c r="C385" s="748"/>
      <c r="F385" s="748"/>
      <c r="G385" s="748"/>
    </row>
    <row r="386" ht="15.75" customHeight="1">
      <c r="C386" s="748"/>
      <c r="F386" s="748"/>
      <c r="G386" s="748"/>
    </row>
    <row r="387" ht="15.75" customHeight="1">
      <c r="C387" s="748"/>
      <c r="F387" s="748"/>
      <c r="G387" s="748"/>
    </row>
    <row r="388" ht="15.75" customHeight="1">
      <c r="C388" s="748"/>
      <c r="F388" s="748"/>
      <c r="G388" s="748"/>
    </row>
    <row r="389" ht="15.75" customHeight="1">
      <c r="C389" s="748"/>
      <c r="F389" s="748"/>
      <c r="G389" s="748"/>
    </row>
    <row r="390" ht="15.75" customHeight="1">
      <c r="C390" s="748"/>
      <c r="F390" s="748"/>
      <c r="G390" s="748"/>
    </row>
    <row r="391" ht="15.75" customHeight="1">
      <c r="C391" s="748"/>
      <c r="F391" s="748"/>
      <c r="G391" s="748"/>
    </row>
    <row r="392" ht="15.75" customHeight="1">
      <c r="C392" s="748"/>
      <c r="F392" s="748"/>
      <c r="G392" s="748"/>
    </row>
    <row r="393" ht="15.75" customHeight="1">
      <c r="C393" s="748"/>
      <c r="F393" s="748"/>
      <c r="G393" s="748"/>
    </row>
    <row r="394" ht="15.75" customHeight="1">
      <c r="C394" s="748"/>
      <c r="F394" s="748"/>
      <c r="G394" s="748"/>
    </row>
    <row r="395" ht="15.75" customHeight="1">
      <c r="C395" s="748"/>
      <c r="F395" s="748"/>
      <c r="G395" s="748"/>
    </row>
    <row r="396" ht="15.75" customHeight="1">
      <c r="C396" s="748"/>
      <c r="F396" s="748"/>
      <c r="G396" s="748"/>
    </row>
    <row r="397" ht="15.75" customHeight="1">
      <c r="C397" s="748"/>
      <c r="F397" s="748"/>
      <c r="G397" s="748"/>
    </row>
    <row r="398" ht="15.75" customHeight="1">
      <c r="C398" s="748"/>
      <c r="F398" s="748"/>
      <c r="G398" s="748"/>
    </row>
    <row r="399" ht="15.75" customHeight="1">
      <c r="C399" s="748"/>
      <c r="F399" s="748"/>
      <c r="G399" s="748"/>
    </row>
    <row r="400" ht="15.75" customHeight="1">
      <c r="C400" s="748"/>
      <c r="F400" s="748"/>
      <c r="G400" s="748"/>
    </row>
    <row r="401" ht="15.75" customHeight="1">
      <c r="C401" s="748"/>
      <c r="F401" s="748"/>
      <c r="G401" s="748"/>
    </row>
    <row r="402" ht="15.75" customHeight="1">
      <c r="C402" s="748"/>
      <c r="F402" s="748"/>
      <c r="G402" s="748"/>
    </row>
    <row r="403" ht="15.75" customHeight="1">
      <c r="C403" s="748"/>
      <c r="F403" s="748"/>
      <c r="G403" s="748"/>
    </row>
    <row r="404" ht="15.75" customHeight="1">
      <c r="C404" s="748"/>
      <c r="F404" s="748"/>
      <c r="G404" s="748"/>
    </row>
    <row r="405" ht="15.75" customHeight="1">
      <c r="C405" s="748"/>
      <c r="F405" s="748"/>
      <c r="G405" s="748"/>
    </row>
    <row r="406" ht="15.75" customHeight="1">
      <c r="C406" s="748"/>
      <c r="F406" s="748"/>
      <c r="G406" s="748"/>
    </row>
    <row r="407" ht="15.75" customHeight="1">
      <c r="C407" s="748"/>
      <c r="F407" s="748"/>
      <c r="G407" s="748"/>
    </row>
    <row r="408" ht="15.75" customHeight="1">
      <c r="C408" s="748"/>
      <c r="F408" s="748"/>
      <c r="G408" s="748"/>
    </row>
    <row r="409" ht="15.75" customHeight="1">
      <c r="C409" s="748"/>
      <c r="F409" s="748"/>
      <c r="G409" s="748"/>
    </row>
    <row r="410" ht="15.75" customHeight="1">
      <c r="C410" s="748"/>
      <c r="F410" s="748"/>
      <c r="G410" s="748"/>
    </row>
    <row r="411" ht="15.75" customHeight="1">
      <c r="C411" s="748"/>
      <c r="F411" s="748"/>
      <c r="G411" s="748"/>
    </row>
    <row r="412" ht="15.75" customHeight="1">
      <c r="C412" s="748"/>
      <c r="F412" s="748"/>
      <c r="G412" s="748"/>
    </row>
    <row r="413" ht="15.75" customHeight="1">
      <c r="C413" s="748"/>
      <c r="F413" s="748"/>
      <c r="G413" s="748"/>
    </row>
    <row r="414" ht="15.75" customHeight="1">
      <c r="C414" s="748"/>
      <c r="F414" s="748"/>
      <c r="G414" s="748"/>
    </row>
    <row r="415" ht="15.75" customHeight="1">
      <c r="C415" s="748"/>
      <c r="F415" s="748"/>
      <c r="G415" s="748"/>
    </row>
    <row r="416" ht="15.75" customHeight="1">
      <c r="C416" s="748"/>
      <c r="F416" s="748"/>
      <c r="G416" s="748"/>
    </row>
    <row r="417" ht="15.75" customHeight="1">
      <c r="C417" s="748"/>
      <c r="F417" s="748"/>
      <c r="G417" s="748"/>
    </row>
    <row r="418" ht="15.75" customHeight="1">
      <c r="C418" s="748"/>
      <c r="F418" s="748"/>
      <c r="G418" s="748"/>
    </row>
    <row r="419" ht="15.75" customHeight="1">
      <c r="C419" s="748"/>
      <c r="F419" s="748"/>
      <c r="G419" s="748"/>
    </row>
    <row r="420" ht="15.75" customHeight="1">
      <c r="C420" s="748"/>
      <c r="F420" s="748"/>
      <c r="G420" s="748"/>
    </row>
    <row r="421" ht="15.75" customHeight="1">
      <c r="C421" s="748"/>
      <c r="F421" s="748"/>
      <c r="G421" s="748"/>
    </row>
    <row r="422" ht="15.75" customHeight="1">
      <c r="C422" s="748"/>
      <c r="F422" s="748"/>
      <c r="G422" s="748"/>
    </row>
    <row r="423" ht="15.75" customHeight="1">
      <c r="C423" s="748"/>
      <c r="F423" s="748"/>
      <c r="G423" s="748"/>
    </row>
    <row r="424" ht="15.75" customHeight="1">
      <c r="C424" s="748"/>
      <c r="F424" s="748"/>
      <c r="G424" s="748"/>
    </row>
    <row r="425" ht="15.75" customHeight="1">
      <c r="C425" s="748"/>
      <c r="F425" s="748"/>
      <c r="G425" s="748"/>
    </row>
    <row r="426" ht="15.75" customHeight="1">
      <c r="C426" s="748"/>
      <c r="F426" s="748"/>
      <c r="G426" s="748"/>
    </row>
    <row r="427" ht="15.75" customHeight="1">
      <c r="C427" s="748"/>
      <c r="F427" s="748"/>
      <c r="G427" s="748"/>
    </row>
    <row r="428" ht="15.75" customHeight="1">
      <c r="C428" s="748"/>
      <c r="F428" s="748"/>
      <c r="G428" s="748"/>
    </row>
    <row r="429" ht="15.75" customHeight="1">
      <c r="C429" s="748"/>
      <c r="F429" s="748"/>
      <c r="G429" s="748"/>
    </row>
    <row r="430" ht="15.75" customHeight="1">
      <c r="C430" s="748"/>
      <c r="F430" s="748"/>
      <c r="G430" s="748"/>
    </row>
    <row r="431" ht="15.75" customHeight="1">
      <c r="C431" s="748"/>
      <c r="F431" s="748"/>
      <c r="G431" s="748"/>
    </row>
    <row r="432" ht="15.75" customHeight="1">
      <c r="C432" s="748"/>
      <c r="F432" s="748"/>
      <c r="G432" s="748"/>
    </row>
    <row r="433" ht="15.75" customHeight="1">
      <c r="C433" s="748"/>
      <c r="F433" s="748"/>
      <c r="G433" s="748"/>
    </row>
    <row r="434" ht="15.75" customHeight="1">
      <c r="C434" s="748"/>
      <c r="F434" s="748"/>
      <c r="G434" s="748"/>
    </row>
    <row r="435" ht="15.75" customHeight="1">
      <c r="C435" s="748"/>
      <c r="F435" s="748"/>
      <c r="G435" s="748"/>
    </row>
    <row r="436" ht="15.75" customHeight="1">
      <c r="C436" s="748"/>
      <c r="F436" s="748"/>
      <c r="G436" s="748"/>
    </row>
    <row r="437" ht="15.75" customHeight="1">
      <c r="C437" s="748"/>
      <c r="F437" s="748"/>
      <c r="G437" s="748"/>
    </row>
    <row r="438" ht="15.75" customHeight="1">
      <c r="C438" s="748"/>
      <c r="F438" s="748"/>
      <c r="G438" s="748"/>
    </row>
    <row r="439" ht="15.75" customHeight="1">
      <c r="C439" s="748"/>
      <c r="F439" s="748"/>
      <c r="G439" s="748"/>
    </row>
    <row r="440" ht="15.75" customHeight="1">
      <c r="C440" s="748"/>
      <c r="F440" s="748"/>
      <c r="G440" s="748"/>
    </row>
    <row r="441" ht="15.75" customHeight="1">
      <c r="C441" s="748"/>
      <c r="F441" s="748"/>
      <c r="G441" s="748"/>
    </row>
    <row r="442" ht="15.75" customHeight="1">
      <c r="C442" s="748"/>
      <c r="F442" s="748"/>
      <c r="G442" s="748"/>
    </row>
    <row r="443" ht="15.75" customHeight="1">
      <c r="C443" s="748"/>
      <c r="F443" s="748"/>
      <c r="G443" s="748"/>
    </row>
    <row r="444" ht="15.75" customHeight="1">
      <c r="C444" s="748"/>
      <c r="F444" s="748"/>
      <c r="G444" s="748"/>
    </row>
    <row r="445" ht="15.75" customHeight="1">
      <c r="C445" s="748"/>
      <c r="F445" s="748"/>
      <c r="G445" s="748"/>
    </row>
    <row r="446" ht="15.75" customHeight="1">
      <c r="C446" s="748"/>
      <c r="F446" s="748"/>
      <c r="G446" s="748"/>
    </row>
    <row r="447" ht="15.75" customHeight="1">
      <c r="C447" s="748"/>
      <c r="F447" s="748"/>
      <c r="G447" s="748"/>
    </row>
    <row r="448" ht="15.75" customHeight="1">
      <c r="C448" s="748"/>
      <c r="F448" s="748"/>
      <c r="G448" s="748"/>
    </row>
    <row r="449" ht="15.75" customHeight="1">
      <c r="C449" s="748"/>
      <c r="F449" s="748"/>
      <c r="G449" s="748"/>
    </row>
    <row r="450" ht="15.75" customHeight="1">
      <c r="C450" s="748"/>
      <c r="F450" s="748"/>
      <c r="G450" s="748"/>
    </row>
    <row r="451" ht="15.75" customHeight="1">
      <c r="C451" s="748"/>
      <c r="F451" s="748"/>
      <c r="G451" s="748"/>
    </row>
    <row r="452" ht="15.75" customHeight="1">
      <c r="C452" s="748"/>
      <c r="F452" s="748"/>
      <c r="G452" s="748"/>
    </row>
    <row r="453" ht="15.75" customHeight="1">
      <c r="C453" s="748"/>
      <c r="F453" s="748"/>
      <c r="G453" s="748"/>
    </row>
    <row r="454" ht="15.75" customHeight="1">
      <c r="C454" s="748"/>
      <c r="F454" s="748"/>
      <c r="G454" s="748"/>
    </row>
    <row r="455" ht="15.75" customHeight="1">
      <c r="C455" s="748"/>
      <c r="F455" s="748"/>
      <c r="G455" s="748"/>
    </row>
    <row r="456" ht="15.75" customHeight="1">
      <c r="C456" s="748"/>
      <c r="F456" s="748"/>
      <c r="G456" s="748"/>
    </row>
    <row r="457" ht="15.75" customHeight="1">
      <c r="C457" s="748"/>
      <c r="F457" s="748"/>
      <c r="G457" s="748"/>
    </row>
    <row r="458" ht="15.75" customHeight="1">
      <c r="C458" s="748"/>
      <c r="F458" s="748"/>
      <c r="G458" s="748"/>
    </row>
    <row r="459" ht="15.75" customHeight="1">
      <c r="C459" s="748"/>
      <c r="F459" s="748"/>
      <c r="G459" s="748"/>
    </row>
    <row r="460" ht="15.75" customHeight="1">
      <c r="C460" s="748"/>
      <c r="F460" s="748"/>
      <c r="G460" s="748"/>
    </row>
    <row r="461" ht="15.75" customHeight="1">
      <c r="C461" s="748"/>
      <c r="F461" s="748"/>
      <c r="G461" s="748"/>
    </row>
    <row r="462" ht="15.75" customHeight="1">
      <c r="C462" s="748"/>
      <c r="F462" s="748"/>
      <c r="G462" s="748"/>
    </row>
    <row r="463" ht="15.75" customHeight="1">
      <c r="C463" s="748"/>
      <c r="F463" s="748"/>
      <c r="G463" s="748"/>
    </row>
    <row r="464" ht="15.75" customHeight="1">
      <c r="C464" s="748"/>
      <c r="F464" s="748"/>
      <c r="G464" s="748"/>
    </row>
    <row r="465" ht="15.75" customHeight="1">
      <c r="C465" s="748"/>
      <c r="F465" s="748"/>
      <c r="G465" s="748"/>
    </row>
    <row r="466" ht="15.75" customHeight="1">
      <c r="C466" s="748"/>
      <c r="F466" s="748"/>
      <c r="G466" s="748"/>
    </row>
    <row r="467" ht="15.75" customHeight="1">
      <c r="C467" s="748"/>
      <c r="F467" s="748"/>
      <c r="G467" s="748"/>
    </row>
    <row r="468" ht="15.75" customHeight="1">
      <c r="C468" s="748"/>
      <c r="F468" s="748"/>
      <c r="G468" s="748"/>
    </row>
    <row r="469" ht="15.75" customHeight="1">
      <c r="C469" s="748"/>
      <c r="F469" s="748"/>
      <c r="G469" s="748"/>
    </row>
    <row r="470" ht="15.75" customHeight="1">
      <c r="C470" s="748"/>
      <c r="F470" s="748"/>
      <c r="G470" s="748"/>
    </row>
    <row r="471" ht="15.75" customHeight="1">
      <c r="C471" s="748"/>
      <c r="F471" s="748"/>
      <c r="G471" s="748"/>
    </row>
    <row r="472" ht="15.75" customHeight="1">
      <c r="C472" s="748"/>
      <c r="F472" s="748"/>
      <c r="G472" s="748"/>
    </row>
    <row r="473" ht="15.75" customHeight="1">
      <c r="C473" s="748"/>
      <c r="F473" s="748"/>
      <c r="G473" s="748"/>
    </row>
    <row r="474" ht="15.75" customHeight="1">
      <c r="C474" s="748"/>
      <c r="F474" s="748"/>
      <c r="G474" s="748"/>
    </row>
    <row r="475" ht="15.75" customHeight="1">
      <c r="C475" s="748"/>
      <c r="F475" s="748"/>
      <c r="G475" s="748"/>
    </row>
    <row r="476" ht="15.75" customHeight="1">
      <c r="C476" s="748"/>
      <c r="F476" s="748"/>
      <c r="G476" s="748"/>
    </row>
    <row r="477" ht="15.75" customHeight="1">
      <c r="C477" s="748"/>
      <c r="F477" s="748"/>
      <c r="G477" s="748"/>
    </row>
    <row r="478" ht="15.75" customHeight="1">
      <c r="C478" s="748"/>
      <c r="F478" s="748"/>
      <c r="G478" s="748"/>
    </row>
    <row r="479" ht="15.75" customHeight="1">
      <c r="C479" s="748"/>
      <c r="F479" s="748"/>
      <c r="G479" s="748"/>
    </row>
    <row r="480" ht="15.75" customHeight="1">
      <c r="C480" s="748"/>
      <c r="F480" s="748"/>
      <c r="G480" s="748"/>
    </row>
    <row r="481" ht="15.75" customHeight="1">
      <c r="C481" s="748"/>
      <c r="F481" s="748"/>
      <c r="G481" s="748"/>
    </row>
    <row r="482" ht="15.75" customHeight="1">
      <c r="C482" s="748"/>
      <c r="F482" s="748"/>
      <c r="G482" s="748"/>
    </row>
    <row r="483" ht="15.75" customHeight="1">
      <c r="C483" s="748"/>
      <c r="F483" s="748"/>
      <c r="G483" s="748"/>
    </row>
    <row r="484" ht="15.75" customHeight="1">
      <c r="C484" s="748"/>
      <c r="F484" s="748"/>
      <c r="G484" s="748"/>
    </row>
    <row r="485" ht="15.75" customHeight="1">
      <c r="C485" s="748"/>
      <c r="F485" s="748"/>
      <c r="G485" s="748"/>
    </row>
    <row r="486" ht="15.75" customHeight="1">
      <c r="C486" s="748"/>
      <c r="F486" s="748"/>
      <c r="G486" s="748"/>
    </row>
    <row r="487" ht="15.75" customHeight="1">
      <c r="C487" s="748"/>
      <c r="F487" s="748"/>
      <c r="G487" s="748"/>
    </row>
    <row r="488" ht="15.75" customHeight="1">
      <c r="C488" s="748"/>
      <c r="F488" s="748"/>
      <c r="G488" s="748"/>
    </row>
    <row r="489" ht="15.75" customHeight="1">
      <c r="C489" s="748"/>
      <c r="F489" s="748"/>
      <c r="G489" s="748"/>
    </row>
    <row r="490" ht="15.75" customHeight="1">
      <c r="C490" s="748"/>
      <c r="F490" s="748"/>
      <c r="G490" s="748"/>
    </row>
    <row r="491" ht="15.75" customHeight="1">
      <c r="C491" s="748"/>
      <c r="F491" s="748"/>
      <c r="G491" s="748"/>
    </row>
    <row r="492" ht="15.75" customHeight="1">
      <c r="C492" s="748"/>
      <c r="F492" s="748"/>
      <c r="G492" s="748"/>
    </row>
    <row r="493" ht="15.75" customHeight="1">
      <c r="C493" s="748"/>
      <c r="F493" s="748"/>
      <c r="G493" s="748"/>
    </row>
    <row r="494" ht="15.75" customHeight="1">
      <c r="C494" s="748"/>
      <c r="F494" s="748"/>
      <c r="G494" s="748"/>
    </row>
    <row r="495" ht="15.75" customHeight="1">
      <c r="C495" s="748"/>
      <c r="F495" s="748"/>
      <c r="G495" s="748"/>
    </row>
    <row r="496" ht="15.75" customHeight="1">
      <c r="C496" s="748"/>
      <c r="F496" s="748"/>
      <c r="G496" s="748"/>
    </row>
    <row r="497" ht="15.75" customHeight="1">
      <c r="C497" s="748"/>
      <c r="F497" s="748"/>
      <c r="G497" s="748"/>
    </row>
    <row r="498" ht="15.75" customHeight="1">
      <c r="C498" s="748"/>
      <c r="F498" s="748"/>
      <c r="G498" s="748"/>
    </row>
    <row r="499" ht="15.75" customHeight="1">
      <c r="C499" s="748"/>
      <c r="F499" s="748"/>
      <c r="G499" s="748"/>
    </row>
    <row r="500" ht="15.75" customHeight="1">
      <c r="C500" s="748"/>
      <c r="F500" s="748"/>
      <c r="G500" s="748"/>
    </row>
    <row r="501" ht="15.75" customHeight="1">
      <c r="C501" s="748"/>
      <c r="F501" s="748"/>
      <c r="G501" s="748"/>
    </row>
    <row r="502" ht="15.75" customHeight="1">
      <c r="C502" s="748"/>
      <c r="F502" s="748"/>
      <c r="G502" s="748"/>
    </row>
    <row r="503" ht="15.75" customHeight="1">
      <c r="C503" s="748"/>
      <c r="F503" s="748"/>
      <c r="G503" s="748"/>
    </row>
    <row r="504" ht="15.75" customHeight="1">
      <c r="C504" s="748"/>
      <c r="F504" s="748"/>
      <c r="G504" s="748"/>
    </row>
    <row r="505" ht="15.75" customHeight="1">
      <c r="C505" s="748"/>
      <c r="F505" s="748"/>
      <c r="G505" s="748"/>
    </row>
    <row r="506" ht="15.75" customHeight="1">
      <c r="C506" s="748"/>
      <c r="F506" s="748"/>
      <c r="G506" s="748"/>
    </row>
    <row r="507" ht="15.75" customHeight="1">
      <c r="C507" s="748"/>
      <c r="F507" s="748"/>
      <c r="G507" s="748"/>
    </row>
    <row r="508" ht="15.75" customHeight="1">
      <c r="C508" s="748"/>
      <c r="F508" s="748"/>
      <c r="G508" s="748"/>
    </row>
    <row r="509" ht="15.75" customHeight="1">
      <c r="C509" s="748"/>
      <c r="F509" s="748"/>
      <c r="G509" s="748"/>
    </row>
    <row r="510" ht="15.75" customHeight="1">
      <c r="C510" s="748"/>
      <c r="F510" s="748"/>
      <c r="G510" s="748"/>
    </row>
    <row r="511" ht="15.75" customHeight="1">
      <c r="C511" s="748"/>
      <c r="F511" s="748"/>
      <c r="G511" s="748"/>
    </row>
    <row r="512" ht="15.75" customHeight="1">
      <c r="C512" s="748"/>
      <c r="F512" s="748"/>
      <c r="G512" s="748"/>
    </row>
    <row r="513" ht="15.75" customHeight="1">
      <c r="C513" s="748"/>
      <c r="F513" s="748"/>
      <c r="G513" s="748"/>
    </row>
    <row r="514" ht="15.75" customHeight="1">
      <c r="C514" s="748"/>
      <c r="F514" s="748"/>
      <c r="G514" s="748"/>
    </row>
    <row r="515" ht="15.75" customHeight="1">
      <c r="C515" s="748"/>
      <c r="F515" s="748"/>
      <c r="G515" s="748"/>
    </row>
    <row r="516" ht="15.75" customHeight="1">
      <c r="C516" s="748"/>
      <c r="F516" s="748"/>
      <c r="G516" s="748"/>
    </row>
    <row r="517" ht="15.75" customHeight="1">
      <c r="C517" s="748"/>
      <c r="F517" s="748"/>
      <c r="G517" s="748"/>
    </row>
    <row r="518" ht="15.75" customHeight="1">
      <c r="C518" s="748"/>
      <c r="F518" s="748"/>
      <c r="G518" s="748"/>
    </row>
    <row r="519" ht="15.75" customHeight="1">
      <c r="C519" s="748"/>
      <c r="F519" s="748"/>
      <c r="G519" s="748"/>
    </row>
    <row r="520" ht="15.75" customHeight="1">
      <c r="C520" s="748"/>
      <c r="F520" s="748"/>
      <c r="G520" s="748"/>
    </row>
    <row r="521" ht="15.75" customHeight="1">
      <c r="C521" s="748"/>
      <c r="F521" s="748"/>
      <c r="G521" s="748"/>
    </row>
    <row r="522" ht="15.75" customHeight="1">
      <c r="C522" s="748"/>
      <c r="F522" s="748"/>
      <c r="G522" s="748"/>
    </row>
    <row r="523" ht="15.75" customHeight="1">
      <c r="C523" s="748"/>
      <c r="F523" s="748"/>
      <c r="G523" s="748"/>
    </row>
    <row r="524" ht="15.75" customHeight="1">
      <c r="C524" s="748"/>
      <c r="F524" s="748"/>
      <c r="G524" s="748"/>
    </row>
    <row r="525" ht="15.75" customHeight="1">
      <c r="C525" s="748"/>
      <c r="F525" s="748"/>
      <c r="G525" s="748"/>
    </row>
    <row r="526" ht="15.75" customHeight="1">
      <c r="C526" s="748"/>
      <c r="F526" s="748"/>
      <c r="G526" s="748"/>
    </row>
    <row r="527" ht="15.75" customHeight="1">
      <c r="C527" s="748"/>
      <c r="F527" s="748"/>
      <c r="G527" s="748"/>
    </row>
    <row r="528" ht="15.75" customHeight="1">
      <c r="C528" s="748"/>
      <c r="F528" s="748"/>
      <c r="G528" s="748"/>
    </row>
    <row r="529" ht="15.75" customHeight="1">
      <c r="C529" s="748"/>
      <c r="F529" s="748"/>
      <c r="G529" s="748"/>
    </row>
    <row r="530" ht="15.75" customHeight="1">
      <c r="C530" s="748"/>
      <c r="F530" s="748"/>
      <c r="G530" s="748"/>
    </row>
    <row r="531" ht="15.75" customHeight="1">
      <c r="C531" s="748"/>
      <c r="F531" s="748"/>
      <c r="G531" s="748"/>
    </row>
    <row r="532" ht="15.75" customHeight="1">
      <c r="C532" s="748"/>
      <c r="F532" s="748"/>
      <c r="G532" s="748"/>
    </row>
    <row r="533" ht="15.75" customHeight="1">
      <c r="C533" s="748"/>
      <c r="F533" s="748"/>
      <c r="G533" s="748"/>
    </row>
    <row r="534" ht="15.75" customHeight="1">
      <c r="C534" s="748"/>
      <c r="F534" s="748"/>
      <c r="G534" s="748"/>
    </row>
    <row r="535" ht="15.75" customHeight="1">
      <c r="C535" s="748"/>
      <c r="F535" s="748"/>
      <c r="G535" s="748"/>
    </row>
    <row r="536" ht="15.75" customHeight="1">
      <c r="C536" s="748"/>
      <c r="F536" s="748"/>
      <c r="G536" s="748"/>
    </row>
    <row r="537" ht="15.75" customHeight="1">
      <c r="C537" s="748"/>
      <c r="F537" s="748"/>
      <c r="G537" s="748"/>
    </row>
    <row r="538" ht="15.75" customHeight="1">
      <c r="C538" s="748"/>
      <c r="F538" s="748"/>
      <c r="G538" s="748"/>
    </row>
    <row r="539" ht="15.75" customHeight="1">
      <c r="C539" s="748"/>
      <c r="F539" s="748"/>
      <c r="G539" s="748"/>
    </row>
    <row r="540" ht="15.75" customHeight="1">
      <c r="C540" s="748"/>
      <c r="F540" s="748"/>
      <c r="G540" s="748"/>
    </row>
    <row r="541" ht="15.75" customHeight="1">
      <c r="C541" s="748"/>
      <c r="F541" s="748"/>
      <c r="G541" s="748"/>
    </row>
    <row r="542" ht="15.75" customHeight="1">
      <c r="C542" s="748"/>
      <c r="F542" s="748"/>
      <c r="G542" s="748"/>
    </row>
    <row r="543" ht="15.75" customHeight="1">
      <c r="C543" s="748"/>
      <c r="F543" s="748"/>
      <c r="G543" s="748"/>
    </row>
    <row r="544" ht="15.75" customHeight="1">
      <c r="C544" s="748"/>
      <c r="F544" s="748"/>
      <c r="G544" s="748"/>
    </row>
    <row r="545" ht="15.75" customHeight="1">
      <c r="C545" s="748"/>
      <c r="F545" s="748"/>
      <c r="G545" s="748"/>
    </row>
    <row r="546" ht="15.75" customHeight="1">
      <c r="C546" s="748"/>
      <c r="F546" s="748"/>
      <c r="G546" s="748"/>
    </row>
    <row r="547" ht="15.75" customHeight="1">
      <c r="C547" s="748"/>
      <c r="F547" s="748"/>
      <c r="G547" s="748"/>
    </row>
    <row r="548" ht="15.75" customHeight="1">
      <c r="C548" s="748"/>
      <c r="F548" s="748"/>
      <c r="G548" s="748"/>
    </row>
    <row r="549" ht="15.75" customHeight="1">
      <c r="C549" s="748"/>
      <c r="F549" s="748"/>
      <c r="G549" s="748"/>
    </row>
    <row r="550" ht="15.75" customHeight="1">
      <c r="C550" s="748"/>
      <c r="F550" s="748"/>
      <c r="G550" s="748"/>
    </row>
    <row r="551" ht="15.75" customHeight="1">
      <c r="C551" s="748"/>
      <c r="F551" s="748"/>
      <c r="G551" s="748"/>
    </row>
    <row r="552" ht="15.75" customHeight="1">
      <c r="C552" s="748"/>
      <c r="F552" s="748"/>
      <c r="G552" s="748"/>
    </row>
    <row r="553" ht="15.75" customHeight="1">
      <c r="C553" s="748"/>
      <c r="F553" s="748"/>
      <c r="G553" s="748"/>
    </row>
    <row r="554" ht="15.75" customHeight="1">
      <c r="C554" s="748"/>
      <c r="F554" s="748"/>
      <c r="G554" s="748"/>
    </row>
    <row r="555" ht="15.75" customHeight="1">
      <c r="C555" s="748"/>
      <c r="F555" s="748"/>
      <c r="G555" s="748"/>
    </row>
    <row r="556" ht="15.75" customHeight="1">
      <c r="C556" s="748"/>
      <c r="F556" s="748"/>
      <c r="G556" s="748"/>
    </row>
    <row r="557" ht="15.75" customHeight="1">
      <c r="C557" s="748"/>
      <c r="F557" s="748"/>
      <c r="G557" s="748"/>
    </row>
    <row r="558" ht="15.75" customHeight="1">
      <c r="C558" s="748"/>
      <c r="F558" s="748"/>
      <c r="G558" s="748"/>
    </row>
    <row r="559" ht="15.75" customHeight="1">
      <c r="C559" s="748"/>
      <c r="F559" s="748"/>
      <c r="G559" s="748"/>
    </row>
    <row r="560" ht="15.75" customHeight="1">
      <c r="C560" s="748"/>
      <c r="F560" s="748"/>
      <c r="G560" s="748"/>
    </row>
    <row r="561" ht="15.75" customHeight="1">
      <c r="C561" s="748"/>
      <c r="F561" s="748"/>
      <c r="G561" s="748"/>
    </row>
    <row r="562" ht="15.75" customHeight="1">
      <c r="C562" s="748"/>
      <c r="F562" s="748"/>
      <c r="G562" s="748"/>
    </row>
    <row r="563" ht="15.75" customHeight="1">
      <c r="C563" s="748"/>
      <c r="F563" s="748"/>
      <c r="G563" s="748"/>
    </row>
    <row r="564" ht="15.75" customHeight="1">
      <c r="C564" s="748"/>
      <c r="F564" s="748"/>
      <c r="G564" s="748"/>
    </row>
    <row r="565" ht="15.75" customHeight="1">
      <c r="C565" s="748"/>
      <c r="F565" s="748"/>
      <c r="G565" s="748"/>
    </row>
    <row r="566" ht="15.75" customHeight="1">
      <c r="C566" s="748"/>
      <c r="F566" s="748"/>
      <c r="G566" s="748"/>
    </row>
    <row r="567" ht="15.75" customHeight="1">
      <c r="C567" s="748"/>
      <c r="F567" s="748"/>
      <c r="G567" s="748"/>
    </row>
    <row r="568" ht="15.75" customHeight="1">
      <c r="C568" s="748"/>
      <c r="F568" s="748"/>
      <c r="G568" s="748"/>
    </row>
    <row r="569" ht="15.75" customHeight="1">
      <c r="C569" s="748"/>
      <c r="F569" s="748"/>
      <c r="G569" s="748"/>
    </row>
    <row r="570" ht="15.75" customHeight="1">
      <c r="C570" s="748"/>
      <c r="F570" s="748"/>
      <c r="G570" s="748"/>
    </row>
    <row r="571" ht="15.75" customHeight="1">
      <c r="C571" s="748"/>
      <c r="F571" s="748"/>
      <c r="G571" s="748"/>
    </row>
    <row r="572" ht="15.75" customHeight="1">
      <c r="C572" s="748"/>
      <c r="F572" s="748"/>
      <c r="G572" s="748"/>
    </row>
    <row r="573" ht="15.75" customHeight="1">
      <c r="C573" s="748"/>
      <c r="F573" s="748"/>
      <c r="G573" s="748"/>
    </row>
    <row r="574" ht="15.75" customHeight="1">
      <c r="C574" s="748"/>
      <c r="F574" s="748"/>
      <c r="G574" s="748"/>
    </row>
    <row r="575" ht="15.75" customHeight="1">
      <c r="C575" s="748"/>
      <c r="F575" s="748"/>
      <c r="G575" s="748"/>
    </row>
    <row r="576" ht="15.75" customHeight="1">
      <c r="C576" s="748"/>
      <c r="F576" s="748"/>
      <c r="G576" s="748"/>
    </row>
    <row r="577" ht="15.75" customHeight="1">
      <c r="C577" s="748"/>
      <c r="F577" s="748"/>
      <c r="G577" s="748"/>
    </row>
    <row r="578" ht="15.75" customHeight="1">
      <c r="C578" s="748"/>
      <c r="F578" s="748"/>
      <c r="G578" s="748"/>
    </row>
    <row r="579" ht="15.75" customHeight="1">
      <c r="C579" s="748"/>
      <c r="F579" s="748"/>
      <c r="G579" s="748"/>
    </row>
    <row r="580" ht="15.75" customHeight="1">
      <c r="C580" s="748"/>
      <c r="F580" s="748"/>
      <c r="G580" s="748"/>
    </row>
    <row r="581" ht="15.75" customHeight="1">
      <c r="C581" s="748"/>
      <c r="F581" s="748"/>
      <c r="G581" s="748"/>
    </row>
    <row r="582" ht="15.75" customHeight="1">
      <c r="C582" s="748"/>
      <c r="F582" s="748"/>
      <c r="G582" s="748"/>
    </row>
    <row r="583" ht="15.75" customHeight="1">
      <c r="C583" s="748"/>
      <c r="F583" s="748"/>
      <c r="G583" s="748"/>
    </row>
    <row r="584" ht="15.75" customHeight="1">
      <c r="C584" s="748"/>
      <c r="F584" s="748"/>
      <c r="G584" s="748"/>
    </row>
    <row r="585" ht="15.75" customHeight="1">
      <c r="C585" s="748"/>
      <c r="F585" s="748"/>
      <c r="G585" s="748"/>
    </row>
    <row r="586" ht="15.75" customHeight="1">
      <c r="C586" s="748"/>
      <c r="F586" s="748"/>
      <c r="G586" s="748"/>
    </row>
    <row r="587" ht="15.75" customHeight="1">
      <c r="C587" s="748"/>
      <c r="F587" s="748"/>
      <c r="G587" s="748"/>
    </row>
    <row r="588" ht="15.75" customHeight="1">
      <c r="C588" s="748"/>
      <c r="F588" s="748"/>
      <c r="G588" s="748"/>
    </row>
    <row r="589" ht="15.75" customHeight="1">
      <c r="C589" s="748"/>
      <c r="F589" s="748"/>
      <c r="G589" s="748"/>
    </row>
    <row r="590" ht="15.75" customHeight="1">
      <c r="C590" s="748"/>
      <c r="F590" s="748"/>
      <c r="G590" s="748"/>
    </row>
    <row r="591" ht="15.75" customHeight="1">
      <c r="C591" s="748"/>
      <c r="F591" s="748"/>
      <c r="G591" s="748"/>
    </row>
    <row r="592" ht="15.75" customHeight="1">
      <c r="C592" s="748"/>
      <c r="F592" s="748"/>
      <c r="G592" s="748"/>
    </row>
    <row r="593" ht="15.75" customHeight="1">
      <c r="C593" s="748"/>
      <c r="F593" s="748"/>
      <c r="G593" s="748"/>
    </row>
    <row r="594" ht="15.75" customHeight="1">
      <c r="C594" s="748"/>
      <c r="F594" s="748"/>
      <c r="G594" s="748"/>
    </row>
    <row r="595" ht="15.75" customHeight="1">
      <c r="C595" s="748"/>
      <c r="F595" s="748"/>
      <c r="G595" s="748"/>
    </row>
    <row r="596" ht="15.75" customHeight="1">
      <c r="C596" s="748"/>
      <c r="F596" s="748"/>
      <c r="G596" s="748"/>
    </row>
    <row r="597" ht="15.75" customHeight="1">
      <c r="C597" s="748"/>
      <c r="F597" s="748"/>
      <c r="G597" s="748"/>
    </row>
    <row r="598" ht="15.75" customHeight="1">
      <c r="C598" s="748"/>
      <c r="F598" s="748"/>
      <c r="G598" s="748"/>
    </row>
    <row r="599" ht="15.75" customHeight="1">
      <c r="C599" s="748"/>
      <c r="F599" s="748"/>
      <c r="G599" s="748"/>
    </row>
    <row r="600" ht="15.75" customHeight="1">
      <c r="C600" s="748"/>
      <c r="F600" s="748"/>
      <c r="G600" s="748"/>
    </row>
    <row r="601" ht="15.75" customHeight="1">
      <c r="C601" s="748"/>
      <c r="F601" s="748"/>
      <c r="G601" s="748"/>
    </row>
    <row r="602" ht="15.75" customHeight="1">
      <c r="C602" s="748"/>
      <c r="F602" s="748"/>
      <c r="G602" s="748"/>
    </row>
    <row r="603" ht="15.75" customHeight="1">
      <c r="C603" s="748"/>
      <c r="F603" s="748"/>
      <c r="G603" s="748"/>
    </row>
    <row r="604" ht="15.75" customHeight="1">
      <c r="C604" s="748"/>
      <c r="F604" s="748"/>
      <c r="G604" s="748"/>
    </row>
    <row r="605" ht="15.75" customHeight="1">
      <c r="C605" s="748"/>
      <c r="F605" s="748"/>
      <c r="G605" s="748"/>
    </row>
    <row r="606" ht="15.75" customHeight="1">
      <c r="C606" s="748"/>
      <c r="F606" s="748"/>
      <c r="G606" s="748"/>
    </row>
    <row r="607" ht="15.75" customHeight="1">
      <c r="C607" s="748"/>
      <c r="F607" s="748"/>
      <c r="G607" s="748"/>
    </row>
    <row r="608" ht="15.75" customHeight="1">
      <c r="C608" s="748"/>
      <c r="F608" s="748"/>
      <c r="G608" s="748"/>
    </row>
    <row r="609" ht="15.75" customHeight="1">
      <c r="C609" s="748"/>
      <c r="F609" s="748"/>
      <c r="G609" s="748"/>
    </row>
    <row r="610" ht="15.75" customHeight="1">
      <c r="C610" s="748"/>
      <c r="F610" s="748"/>
      <c r="G610" s="748"/>
    </row>
    <row r="611" ht="15.75" customHeight="1">
      <c r="C611" s="748"/>
      <c r="F611" s="748"/>
      <c r="G611" s="748"/>
    </row>
    <row r="612" ht="15.75" customHeight="1">
      <c r="C612" s="748"/>
      <c r="F612" s="748"/>
      <c r="G612" s="748"/>
    </row>
    <row r="613" ht="15.75" customHeight="1">
      <c r="C613" s="748"/>
      <c r="F613" s="748"/>
      <c r="G613" s="748"/>
    </row>
    <row r="614" ht="15.75" customHeight="1">
      <c r="C614" s="748"/>
      <c r="F614" s="748"/>
      <c r="G614" s="748"/>
    </row>
    <row r="615" ht="15.75" customHeight="1">
      <c r="C615" s="748"/>
      <c r="F615" s="748"/>
      <c r="G615" s="748"/>
    </row>
    <row r="616" ht="15.75" customHeight="1">
      <c r="C616" s="748"/>
      <c r="F616" s="748"/>
      <c r="G616" s="748"/>
    </row>
    <row r="617" ht="15.75" customHeight="1">
      <c r="C617" s="748"/>
      <c r="F617" s="748"/>
      <c r="G617" s="748"/>
    </row>
    <row r="618" ht="15.75" customHeight="1">
      <c r="C618" s="748"/>
      <c r="F618" s="748"/>
      <c r="G618" s="748"/>
    </row>
    <row r="619" ht="15.75" customHeight="1">
      <c r="C619" s="748"/>
      <c r="F619" s="748"/>
      <c r="G619" s="748"/>
    </row>
    <row r="620" ht="15.75" customHeight="1">
      <c r="C620" s="748"/>
      <c r="F620" s="748"/>
      <c r="G620" s="748"/>
    </row>
    <row r="621" ht="15.75" customHeight="1">
      <c r="C621" s="748"/>
      <c r="F621" s="748"/>
      <c r="G621" s="748"/>
    </row>
    <row r="622" ht="15.75" customHeight="1">
      <c r="C622" s="748"/>
      <c r="F622" s="748"/>
      <c r="G622" s="748"/>
    </row>
    <row r="623" ht="15.75" customHeight="1">
      <c r="C623" s="748"/>
      <c r="F623" s="748"/>
      <c r="G623" s="748"/>
    </row>
    <row r="624" ht="15.75" customHeight="1">
      <c r="C624" s="748"/>
      <c r="F624" s="748"/>
      <c r="G624" s="748"/>
    </row>
    <row r="625" ht="15.75" customHeight="1">
      <c r="C625" s="748"/>
      <c r="F625" s="748"/>
      <c r="G625" s="748"/>
    </row>
    <row r="626" ht="15.75" customHeight="1">
      <c r="C626" s="748"/>
      <c r="F626" s="748"/>
      <c r="G626" s="748"/>
    </row>
    <row r="627" ht="15.75" customHeight="1">
      <c r="C627" s="748"/>
      <c r="F627" s="748"/>
      <c r="G627" s="748"/>
    </row>
    <row r="628" ht="15.75" customHeight="1">
      <c r="C628" s="748"/>
      <c r="F628" s="748"/>
      <c r="G628" s="748"/>
    </row>
    <row r="629" ht="15.75" customHeight="1">
      <c r="C629" s="748"/>
      <c r="F629" s="748"/>
      <c r="G629" s="748"/>
    </row>
    <row r="630" ht="15.75" customHeight="1">
      <c r="C630" s="748"/>
      <c r="F630" s="748"/>
      <c r="G630" s="748"/>
    </row>
    <row r="631" ht="15.75" customHeight="1">
      <c r="C631" s="748"/>
      <c r="F631" s="748"/>
      <c r="G631" s="748"/>
    </row>
    <row r="632" ht="15.75" customHeight="1">
      <c r="C632" s="748"/>
      <c r="F632" s="748"/>
      <c r="G632" s="748"/>
    </row>
    <row r="633" ht="15.75" customHeight="1">
      <c r="C633" s="748"/>
      <c r="F633" s="748"/>
      <c r="G633" s="748"/>
    </row>
    <row r="634" ht="15.75" customHeight="1">
      <c r="C634" s="748"/>
      <c r="F634" s="748"/>
      <c r="G634" s="748"/>
    </row>
    <row r="635" ht="15.75" customHeight="1">
      <c r="C635" s="748"/>
      <c r="F635" s="748"/>
      <c r="G635" s="748"/>
    </row>
    <row r="636" ht="15.75" customHeight="1">
      <c r="C636" s="748"/>
      <c r="F636" s="748"/>
      <c r="G636" s="748"/>
    </row>
    <row r="637" ht="15.75" customHeight="1">
      <c r="C637" s="748"/>
      <c r="F637" s="748"/>
      <c r="G637" s="748"/>
    </row>
    <row r="638" ht="15.75" customHeight="1">
      <c r="C638" s="748"/>
      <c r="F638" s="748"/>
      <c r="G638" s="748"/>
    </row>
    <row r="639" ht="15.75" customHeight="1">
      <c r="C639" s="748"/>
      <c r="F639" s="748"/>
      <c r="G639" s="748"/>
    </row>
    <row r="640" ht="15.75" customHeight="1">
      <c r="C640" s="748"/>
      <c r="F640" s="748"/>
      <c r="G640" s="748"/>
    </row>
    <row r="641" ht="15.75" customHeight="1">
      <c r="C641" s="748"/>
      <c r="F641" s="748"/>
      <c r="G641" s="748"/>
    </row>
    <row r="642" ht="15.75" customHeight="1">
      <c r="C642" s="748"/>
      <c r="F642" s="748"/>
      <c r="G642" s="748"/>
    </row>
    <row r="643" ht="15.75" customHeight="1">
      <c r="C643" s="748"/>
      <c r="F643" s="748"/>
      <c r="G643" s="748"/>
    </row>
    <row r="644" ht="15.75" customHeight="1">
      <c r="C644" s="748"/>
      <c r="F644" s="748"/>
      <c r="G644" s="748"/>
    </row>
    <row r="645" ht="15.75" customHeight="1">
      <c r="C645" s="748"/>
      <c r="F645" s="748"/>
      <c r="G645" s="748"/>
    </row>
    <row r="646" ht="15.75" customHeight="1">
      <c r="C646" s="748"/>
      <c r="F646" s="748"/>
      <c r="G646" s="748"/>
    </row>
    <row r="647" ht="15.75" customHeight="1">
      <c r="C647" s="748"/>
      <c r="F647" s="748"/>
      <c r="G647" s="748"/>
    </row>
    <row r="648" ht="15.75" customHeight="1">
      <c r="C648" s="748"/>
      <c r="F648" s="748"/>
      <c r="G648" s="748"/>
    </row>
    <row r="649" ht="15.75" customHeight="1">
      <c r="C649" s="748"/>
      <c r="F649" s="748"/>
      <c r="G649" s="748"/>
    </row>
    <row r="650" ht="15.75" customHeight="1">
      <c r="C650" s="748"/>
      <c r="F650" s="748"/>
      <c r="G650" s="748"/>
    </row>
    <row r="651" ht="15.75" customHeight="1">
      <c r="C651" s="748"/>
      <c r="F651" s="748"/>
      <c r="G651" s="748"/>
    </row>
    <row r="652" ht="15.75" customHeight="1">
      <c r="C652" s="748"/>
      <c r="F652" s="748"/>
      <c r="G652" s="748"/>
    </row>
    <row r="653" ht="15.75" customHeight="1">
      <c r="C653" s="748"/>
      <c r="F653" s="748"/>
      <c r="G653" s="748"/>
    </row>
    <row r="654" ht="15.75" customHeight="1">
      <c r="C654" s="748"/>
      <c r="F654" s="748"/>
      <c r="G654" s="748"/>
    </row>
    <row r="655" ht="15.75" customHeight="1">
      <c r="C655" s="748"/>
      <c r="F655" s="748"/>
      <c r="G655" s="748"/>
    </row>
    <row r="656" ht="15.75" customHeight="1">
      <c r="C656" s="748"/>
      <c r="F656" s="748"/>
      <c r="G656" s="748"/>
    </row>
    <row r="657" ht="15.75" customHeight="1">
      <c r="C657" s="748"/>
      <c r="F657" s="748"/>
      <c r="G657" s="748"/>
    </row>
    <row r="658" ht="15.75" customHeight="1">
      <c r="C658" s="748"/>
      <c r="F658" s="748"/>
      <c r="G658" s="748"/>
    </row>
    <row r="659" ht="15.75" customHeight="1">
      <c r="C659" s="748"/>
      <c r="F659" s="748"/>
      <c r="G659" s="748"/>
    </row>
    <row r="660" ht="15.75" customHeight="1">
      <c r="C660" s="748"/>
      <c r="F660" s="748"/>
      <c r="G660" s="748"/>
    </row>
    <row r="661" ht="15.75" customHeight="1">
      <c r="C661" s="748"/>
      <c r="F661" s="748"/>
      <c r="G661" s="748"/>
    </row>
    <row r="662" ht="15.75" customHeight="1">
      <c r="C662" s="748"/>
      <c r="F662" s="748"/>
      <c r="G662" s="748"/>
    </row>
    <row r="663" ht="15.75" customHeight="1">
      <c r="C663" s="748"/>
      <c r="F663" s="748"/>
      <c r="G663" s="748"/>
    </row>
    <row r="664" ht="15.75" customHeight="1">
      <c r="C664" s="748"/>
      <c r="F664" s="748"/>
      <c r="G664" s="748"/>
    </row>
    <row r="665" ht="15.75" customHeight="1">
      <c r="C665" s="748"/>
      <c r="F665" s="748"/>
      <c r="G665" s="748"/>
    </row>
    <row r="666" ht="15.75" customHeight="1">
      <c r="C666" s="748"/>
      <c r="F666" s="748"/>
      <c r="G666" s="748"/>
    </row>
    <row r="667" ht="15.75" customHeight="1">
      <c r="C667" s="748"/>
      <c r="F667" s="748"/>
      <c r="G667" s="748"/>
    </row>
    <row r="668" ht="15.75" customHeight="1">
      <c r="C668" s="748"/>
      <c r="F668" s="748"/>
      <c r="G668" s="748"/>
    </row>
    <row r="669" ht="15.75" customHeight="1">
      <c r="C669" s="748"/>
      <c r="F669" s="748"/>
      <c r="G669" s="748"/>
    </row>
    <row r="670" ht="15.75" customHeight="1">
      <c r="C670" s="748"/>
      <c r="F670" s="748"/>
      <c r="G670" s="748"/>
    </row>
    <row r="671" ht="15.75" customHeight="1">
      <c r="C671" s="748"/>
      <c r="F671" s="748"/>
      <c r="G671" s="748"/>
    </row>
    <row r="672" ht="15.75" customHeight="1">
      <c r="C672" s="748"/>
      <c r="F672" s="748"/>
      <c r="G672" s="748"/>
    </row>
    <row r="673" ht="15.75" customHeight="1">
      <c r="C673" s="748"/>
      <c r="F673" s="748"/>
      <c r="G673" s="748"/>
    </row>
    <row r="674" ht="15.75" customHeight="1">
      <c r="C674" s="748"/>
      <c r="F674" s="748"/>
      <c r="G674" s="748"/>
    </row>
    <row r="675" ht="15.75" customHeight="1">
      <c r="C675" s="748"/>
      <c r="F675" s="748"/>
      <c r="G675" s="748"/>
    </row>
    <row r="676" ht="15.75" customHeight="1">
      <c r="C676" s="748"/>
      <c r="F676" s="748"/>
      <c r="G676" s="748"/>
    </row>
    <row r="677" ht="15.75" customHeight="1">
      <c r="C677" s="748"/>
      <c r="F677" s="748"/>
      <c r="G677" s="748"/>
    </row>
    <row r="678" ht="15.75" customHeight="1">
      <c r="C678" s="748"/>
      <c r="F678" s="748"/>
      <c r="G678" s="748"/>
    </row>
    <row r="679" ht="15.75" customHeight="1">
      <c r="C679" s="748"/>
      <c r="F679" s="748"/>
      <c r="G679" s="748"/>
    </row>
    <row r="680" ht="15.75" customHeight="1">
      <c r="C680" s="748"/>
      <c r="F680" s="748"/>
      <c r="G680" s="748"/>
    </row>
    <row r="681" ht="15.75" customHeight="1">
      <c r="C681" s="748"/>
      <c r="F681" s="748"/>
      <c r="G681" s="748"/>
    </row>
    <row r="682" ht="15.75" customHeight="1">
      <c r="C682" s="748"/>
      <c r="F682" s="748"/>
      <c r="G682" s="748"/>
    </row>
    <row r="683" ht="15.75" customHeight="1">
      <c r="C683" s="748"/>
      <c r="F683" s="748"/>
      <c r="G683" s="748"/>
    </row>
    <row r="684" ht="15.75" customHeight="1">
      <c r="C684" s="748"/>
      <c r="F684" s="748"/>
      <c r="G684" s="748"/>
    </row>
    <row r="685" ht="15.75" customHeight="1">
      <c r="C685" s="748"/>
      <c r="F685" s="748"/>
      <c r="G685" s="748"/>
    </row>
    <row r="686" ht="15.75" customHeight="1">
      <c r="C686" s="748"/>
      <c r="F686" s="748"/>
      <c r="G686" s="748"/>
    </row>
    <row r="687" ht="15.75" customHeight="1">
      <c r="C687" s="748"/>
      <c r="F687" s="748"/>
      <c r="G687" s="748"/>
    </row>
    <row r="688" ht="15.75" customHeight="1">
      <c r="C688" s="748"/>
      <c r="F688" s="748"/>
      <c r="G688" s="748"/>
    </row>
    <row r="689" ht="15.75" customHeight="1">
      <c r="C689" s="748"/>
      <c r="F689" s="748"/>
      <c r="G689" s="748"/>
    </row>
    <row r="690" ht="15.75" customHeight="1">
      <c r="C690" s="748"/>
      <c r="F690" s="748"/>
      <c r="G690" s="748"/>
    </row>
    <row r="691" ht="15.75" customHeight="1">
      <c r="C691" s="748"/>
      <c r="F691" s="748"/>
      <c r="G691" s="748"/>
    </row>
    <row r="692" ht="15.75" customHeight="1">
      <c r="C692" s="748"/>
      <c r="F692" s="748"/>
      <c r="G692" s="748"/>
    </row>
    <row r="693" ht="15.75" customHeight="1">
      <c r="C693" s="748"/>
      <c r="F693" s="748"/>
      <c r="G693" s="748"/>
    </row>
    <row r="694" ht="15.75" customHeight="1">
      <c r="C694" s="748"/>
      <c r="F694" s="748"/>
      <c r="G694" s="748"/>
    </row>
    <row r="695" ht="15.75" customHeight="1">
      <c r="C695" s="748"/>
      <c r="F695" s="748"/>
      <c r="G695" s="748"/>
    </row>
    <row r="696" ht="15.75" customHeight="1">
      <c r="C696" s="748"/>
      <c r="F696" s="748"/>
      <c r="G696" s="748"/>
    </row>
    <row r="697" ht="15.75" customHeight="1">
      <c r="C697" s="748"/>
      <c r="F697" s="748"/>
      <c r="G697" s="748"/>
    </row>
    <row r="698" ht="15.75" customHeight="1">
      <c r="C698" s="748"/>
      <c r="F698" s="748"/>
      <c r="G698" s="748"/>
    </row>
    <row r="699" ht="15.75" customHeight="1">
      <c r="C699" s="748"/>
      <c r="F699" s="748"/>
      <c r="G699" s="748"/>
    </row>
    <row r="700" ht="15.75" customHeight="1">
      <c r="C700" s="748"/>
      <c r="F700" s="748"/>
      <c r="G700" s="748"/>
    </row>
    <row r="701" ht="15.75" customHeight="1">
      <c r="C701" s="748"/>
      <c r="F701" s="748"/>
      <c r="G701" s="748"/>
    </row>
    <row r="702" ht="15.75" customHeight="1">
      <c r="C702" s="748"/>
      <c r="F702" s="748"/>
      <c r="G702" s="748"/>
    </row>
    <row r="703" ht="15.75" customHeight="1">
      <c r="C703" s="748"/>
      <c r="F703" s="748"/>
      <c r="G703" s="748"/>
    </row>
    <row r="704" ht="15.75" customHeight="1">
      <c r="C704" s="748"/>
      <c r="F704" s="748"/>
      <c r="G704" s="748"/>
    </row>
    <row r="705" ht="15.75" customHeight="1">
      <c r="C705" s="748"/>
      <c r="F705" s="748"/>
      <c r="G705" s="748"/>
    </row>
    <row r="706" ht="15.75" customHeight="1">
      <c r="C706" s="748"/>
      <c r="F706" s="748"/>
      <c r="G706" s="748"/>
    </row>
    <row r="707" ht="15.75" customHeight="1">
      <c r="C707" s="748"/>
      <c r="F707" s="748"/>
      <c r="G707" s="748"/>
    </row>
    <row r="708" ht="15.75" customHeight="1">
      <c r="C708" s="748"/>
      <c r="F708" s="748"/>
      <c r="G708" s="748"/>
    </row>
    <row r="709" ht="15.75" customHeight="1">
      <c r="C709" s="748"/>
      <c r="F709" s="748"/>
      <c r="G709" s="748"/>
    </row>
    <row r="710" ht="15.75" customHeight="1">
      <c r="C710" s="748"/>
      <c r="F710" s="748"/>
      <c r="G710" s="748"/>
    </row>
    <row r="711" ht="15.75" customHeight="1">
      <c r="C711" s="748"/>
      <c r="F711" s="748"/>
      <c r="G711" s="748"/>
    </row>
    <row r="712" ht="15.75" customHeight="1">
      <c r="C712" s="748"/>
      <c r="F712" s="748"/>
      <c r="G712" s="748"/>
    </row>
    <row r="713" ht="15.75" customHeight="1">
      <c r="C713" s="748"/>
      <c r="F713" s="748"/>
      <c r="G713" s="748"/>
    </row>
    <row r="714" ht="15.75" customHeight="1">
      <c r="C714" s="748"/>
      <c r="F714" s="748"/>
      <c r="G714" s="748"/>
    </row>
    <row r="715" ht="15.75" customHeight="1">
      <c r="C715" s="748"/>
      <c r="F715" s="748"/>
      <c r="G715" s="748"/>
    </row>
    <row r="716" ht="15.75" customHeight="1">
      <c r="C716" s="748"/>
      <c r="F716" s="748"/>
      <c r="G716" s="748"/>
    </row>
    <row r="717" ht="15.75" customHeight="1">
      <c r="C717" s="748"/>
      <c r="F717" s="748"/>
      <c r="G717" s="748"/>
    </row>
    <row r="718" ht="15.75" customHeight="1">
      <c r="C718" s="748"/>
      <c r="F718" s="748"/>
      <c r="G718" s="748"/>
    </row>
    <row r="719" ht="15.75" customHeight="1">
      <c r="C719" s="748"/>
      <c r="F719" s="748"/>
      <c r="G719" s="748"/>
    </row>
    <row r="720" ht="15.75" customHeight="1">
      <c r="C720" s="748"/>
      <c r="F720" s="748"/>
      <c r="G720" s="748"/>
    </row>
    <row r="721" ht="15.75" customHeight="1">
      <c r="C721" s="748"/>
      <c r="F721" s="748"/>
      <c r="G721" s="748"/>
    </row>
    <row r="722" ht="15.75" customHeight="1">
      <c r="C722" s="748"/>
      <c r="F722" s="748"/>
      <c r="G722" s="748"/>
    </row>
    <row r="723" ht="15.75" customHeight="1">
      <c r="C723" s="748"/>
      <c r="F723" s="748"/>
      <c r="G723" s="748"/>
    </row>
    <row r="724" ht="15.75" customHeight="1">
      <c r="C724" s="748"/>
      <c r="F724" s="748"/>
      <c r="G724" s="748"/>
    </row>
    <row r="725" ht="15.75" customHeight="1">
      <c r="C725" s="748"/>
      <c r="F725" s="748"/>
      <c r="G725" s="748"/>
    </row>
    <row r="726" ht="15.75" customHeight="1">
      <c r="C726" s="748"/>
      <c r="F726" s="748"/>
      <c r="G726" s="748"/>
    </row>
    <row r="727" ht="15.75" customHeight="1">
      <c r="C727" s="748"/>
      <c r="F727" s="748"/>
      <c r="G727" s="748"/>
    </row>
    <row r="728" ht="15.75" customHeight="1">
      <c r="C728" s="748"/>
      <c r="F728" s="748"/>
      <c r="G728" s="748"/>
    </row>
    <row r="729" ht="15.75" customHeight="1">
      <c r="C729" s="748"/>
      <c r="F729" s="748"/>
      <c r="G729" s="748"/>
    </row>
    <row r="730" ht="15.75" customHeight="1">
      <c r="C730" s="748"/>
      <c r="F730" s="748"/>
      <c r="G730" s="748"/>
    </row>
    <row r="731" ht="15.75" customHeight="1">
      <c r="C731" s="748"/>
      <c r="F731" s="748"/>
      <c r="G731" s="748"/>
    </row>
    <row r="732" ht="15.75" customHeight="1">
      <c r="C732" s="748"/>
      <c r="F732" s="748"/>
      <c r="G732" s="748"/>
    </row>
    <row r="733" ht="15.75" customHeight="1">
      <c r="C733" s="748"/>
      <c r="F733" s="748"/>
      <c r="G733" s="748"/>
    </row>
    <row r="734" ht="15.75" customHeight="1">
      <c r="C734" s="748"/>
      <c r="F734" s="748"/>
      <c r="G734" s="748"/>
    </row>
    <row r="735" ht="15.75" customHeight="1">
      <c r="C735" s="748"/>
      <c r="F735" s="748"/>
      <c r="G735" s="748"/>
    </row>
    <row r="736" ht="15.75" customHeight="1">
      <c r="C736" s="748"/>
      <c r="F736" s="748"/>
      <c r="G736" s="748"/>
    </row>
    <row r="737" ht="15.75" customHeight="1">
      <c r="C737" s="748"/>
      <c r="F737" s="748"/>
      <c r="G737" s="748"/>
    </row>
    <row r="738" ht="15.75" customHeight="1">
      <c r="C738" s="748"/>
      <c r="F738" s="748"/>
      <c r="G738" s="748"/>
    </row>
    <row r="739" ht="15.75" customHeight="1">
      <c r="C739" s="748"/>
      <c r="F739" s="748"/>
      <c r="G739" s="748"/>
    </row>
    <row r="740" ht="15.75" customHeight="1">
      <c r="C740" s="748"/>
      <c r="F740" s="748"/>
      <c r="G740" s="748"/>
    </row>
    <row r="741" ht="15.75" customHeight="1">
      <c r="C741" s="748"/>
      <c r="F741" s="748"/>
      <c r="G741" s="748"/>
    </row>
    <row r="742" ht="15.75" customHeight="1">
      <c r="C742" s="748"/>
      <c r="F742" s="748"/>
      <c r="G742" s="748"/>
    </row>
    <row r="743" ht="15.75" customHeight="1">
      <c r="C743" s="748"/>
      <c r="F743" s="748"/>
      <c r="G743" s="748"/>
    </row>
    <row r="744" ht="15.75" customHeight="1">
      <c r="C744" s="748"/>
      <c r="F744" s="748"/>
      <c r="G744" s="748"/>
    </row>
    <row r="745" ht="15.75" customHeight="1">
      <c r="C745" s="748"/>
      <c r="F745" s="748"/>
      <c r="G745" s="748"/>
    </row>
    <row r="746" ht="15.75" customHeight="1">
      <c r="C746" s="748"/>
      <c r="F746" s="748"/>
      <c r="G746" s="748"/>
    </row>
    <row r="747" ht="15.75" customHeight="1">
      <c r="C747" s="748"/>
      <c r="F747" s="748"/>
      <c r="G747" s="748"/>
    </row>
    <row r="748" ht="15.75" customHeight="1">
      <c r="C748" s="748"/>
      <c r="F748" s="748"/>
      <c r="G748" s="748"/>
    </row>
    <row r="749" ht="15.75" customHeight="1">
      <c r="C749" s="748"/>
      <c r="F749" s="748"/>
      <c r="G749" s="748"/>
    </row>
    <row r="750" ht="15.75" customHeight="1">
      <c r="C750" s="748"/>
      <c r="F750" s="748"/>
      <c r="G750" s="748"/>
    </row>
    <row r="751" ht="15.75" customHeight="1">
      <c r="C751" s="748"/>
      <c r="F751" s="748"/>
      <c r="G751" s="748"/>
    </row>
    <row r="752" ht="15.75" customHeight="1">
      <c r="C752" s="748"/>
      <c r="F752" s="748"/>
      <c r="G752" s="748"/>
    </row>
    <row r="753" ht="15.75" customHeight="1">
      <c r="C753" s="748"/>
      <c r="F753" s="748"/>
      <c r="G753" s="748"/>
    </row>
    <row r="754" ht="15.75" customHeight="1">
      <c r="C754" s="748"/>
      <c r="F754" s="748"/>
      <c r="G754" s="748"/>
    </row>
    <row r="755" ht="15.75" customHeight="1">
      <c r="C755" s="748"/>
      <c r="F755" s="748"/>
      <c r="G755" s="748"/>
    </row>
    <row r="756" ht="15.75" customHeight="1">
      <c r="C756" s="748"/>
      <c r="F756" s="748"/>
      <c r="G756" s="748"/>
    </row>
    <row r="757" ht="15.75" customHeight="1">
      <c r="C757" s="748"/>
      <c r="F757" s="748"/>
      <c r="G757" s="748"/>
    </row>
    <row r="758" ht="15.75" customHeight="1">
      <c r="C758" s="748"/>
      <c r="F758" s="748"/>
      <c r="G758" s="748"/>
    </row>
    <row r="759" ht="15.75" customHeight="1">
      <c r="C759" s="748"/>
      <c r="F759" s="748"/>
      <c r="G759" s="748"/>
    </row>
    <row r="760" ht="15.75" customHeight="1">
      <c r="C760" s="748"/>
      <c r="F760" s="748"/>
      <c r="G760" s="748"/>
    </row>
    <row r="761" ht="15.75" customHeight="1">
      <c r="C761" s="748"/>
      <c r="F761" s="748"/>
      <c r="G761" s="748"/>
    </row>
    <row r="762" ht="15.75" customHeight="1">
      <c r="C762" s="748"/>
      <c r="F762" s="748"/>
      <c r="G762" s="748"/>
    </row>
    <row r="763" ht="15.75" customHeight="1">
      <c r="C763" s="748"/>
      <c r="F763" s="748"/>
      <c r="G763" s="748"/>
    </row>
    <row r="764" ht="15.75" customHeight="1">
      <c r="C764" s="748"/>
      <c r="F764" s="748"/>
      <c r="G764" s="748"/>
    </row>
    <row r="765" ht="15.75" customHeight="1">
      <c r="C765" s="748"/>
      <c r="F765" s="748"/>
      <c r="G765" s="748"/>
    </row>
    <row r="766" ht="15.75" customHeight="1">
      <c r="C766" s="748"/>
      <c r="F766" s="748"/>
      <c r="G766" s="748"/>
    </row>
    <row r="767" ht="15.75" customHeight="1">
      <c r="C767" s="748"/>
      <c r="F767" s="748"/>
      <c r="G767" s="748"/>
    </row>
    <row r="768" ht="15.75" customHeight="1">
      <c r="C768" s="748"/>
      <c r="F768" s="748"/>
      <c r="G768" s="748"/>
    </row>
    <row r="769" ht="15.75" customHeight="1">
      <c r="C769" s="748"/>
      <c r="F769" s="748"/>
      <c r="G769" s="748"/>
    </row>
    <row r="770" ht="15.75" customHeight="1">
      <c r="C770" s="748"/>
      <c r="F770" s="748"/>
      <c r="G770" s="748"/>
    </row>
    <row r="771" ht="15.75" customHeight="1">
      <c r="C771" s="748"/>
      <c r="F771" s="748"/>
      <c r="G771" s="748"/>
    </row>
    <row r="772" ht="15.75" customHeight="1">
      <c r="C772" s="748"/>
      <c r="F772" s="748"/>
      <c r="G772" s="748"/>
    </row>
    <row r="773" ht="15.75" customHeight="1">
      <c r="C773" s="748"/>
      <c r="F773" s="748"/>
      <c r="G773" s="748"/>
    </row>
    <row r="774" ht="15.75" customHeight="1">
      <c r="C774" s="748"/>
      <c r="F774" s="748"/>
      <c r="G774" s="748"/>
    </row>
    <row r="775" ht="15.75" customHeight="1">
      <c r="C775" s="748"/>
      <c r="F775" s="748"/>
      <c r="G775" s="748"/>
    </row>
    <row r="776" ht="15.75" customHeight="1">
      <c r="C776" s="748"/>
      <c r="F776" s="748"/>
      <c r="G776" s="748"/>
    </row>
    <row r="777" ht="15.75" customHeight="1">
      <c r="C777" s="748"/>
      <c r="F777" s="748"/>
      <c r="G777" s="748"/>
    </row>
    <row r="778" ht="15.75" customHeight="1">
      <c r="C778" s="748"/>
      <c r="F778" s="748"/>
      <c r="G778" s="748"/>
    </row>
    <row r="779" ht="15.75" customHeight="1">
      <c r="C779" s="748"/>
      <c r="F779" s="748"/>
      <c r="G779" s="748"/>
    </row>
    <row r="780" ht="15.75" customHeight="1">
      <c r="C780" s="748"/>
      <c r="F780" s="748"/>
      <c r="G780" s="748"/>
    </row>
    <row r="781" ht="15.75" customHeight="1">
      <c r="C781" s="748"/>
      <c r="F781" s="748"/>
      <c r="G781" s="748"/>
    </row>
    <row r="782" ht="15.75" customHeight="1">
      <c r="C782" s="748"/>
      <c r="F782" s="748"/>
      <c r="G782" s="748"/>
    </row>
    <row r="783" ht="15.75" customHeight="1">
      <c r="C783" s="748"/>
      <c r="F783" s="748"/>
      <c r="G783" s="748"/>
    </row>
    <row r="784" ht="15.75" customHeight="1">
      <c r="C784" s="748"/>
      <c r="F784" s="748"/>
      <c r="G784" s="748"/>
    </row>
    <row r="785" ht="15.75" customHeight="1">
      <c r="C785" s="748"/>
      <c r="F785" s="748"/>
      <c r="G785" s="748"/>
    </row>
    <row r="786" ht="15.75" customHeight="1">
      <c r="C786" s="748"/>
      <c r="F786" s="748"/>
      <c r="G786" s="748"/>
    </row>
    <row r="787" ht="15.75" customHeight="1">
      <c r="C787" s="748"/>
      <c r="F787" s="748"/>
      <c r="G787" s="748"/>
    </row>
    <row r="788" ht="15.75" customHeight="1">
      <c r="C788" s="748"/>
      <c r="F788" s="748"/>
      <c r="G788" s="748"/>
    </row>
    <row r="789" ht="15.75" customHeight="1">
      <c r="C789" s="748"/>
      <c r="F789" s="748"/>
      <c r="G789" s="748"/>
    </row>
    <row r="790" ht="15.75" customHeight="1">
      <c r="C790" s="748"/>
      <c r="F790" s="748"/>
      <c r="G790" s="748"/>
    </row>
    <row r="791" ht="15.75" customHeight="1">
      <c r="C791" s="748"/>
      <c r="F791" s="748"/>
      <c r="G791" s="748"/>
    </row>
    <row r="792" ht="15.75" customHeight="1">
      <c r="C792" s="748"/>
      <c r="F792" s="748"/>
      <c r="G792" s="748"/>
    </row>
    <row r="793" ht="15.75" customHeight="1">
      <c r="C793" s="748"/>
      <c r="F793" s="748"/>
      <c r="G793" s="748"/>
    </row>
    <row r="794" ht="15.75" customHeight="1">
      <c r="C794" s="748"/>
      <c r="F794" s="748"/>
      <c r="G794" s="748"/>
    </row>
    <row r="795" ht="15.75" customHeight="1">
      <c r="C795" s="748"/>
      <c r="F795" s="748"/>
      <c r="G795" s="748"/>
    </row>
    <row r="796" ht="15.75" customHeight="1">
      <c r="C796" s="748"/>
      <c r="F796" s="748"/>
      <c r="G796" s="748"/>
    </row>
    <row r="797" ht="15.75" customHeight="1">
      <c r="C797" s="748"/>
      <c r="F797" s="748"/>
      <c r="G797" s="748"/>
    </row>
    <row r="798" ht="15.75" customHeight="1">
      <c r="C798" s="748"/>
      <c r="F798" s="748"/>
      <c r="G798" s="748"/>
    </row>
    <row r="799" ht="15.75" customHeight="1">
      <c r="C799" s="748"/>
      <c r="F799" s="748"/>
      <c r="G799" s="748"/>
    </row>
    <row r="800" ht="15.75" customHeight="1">
      <c r="C800" s="748"/>
      <c r="F800" s="748"/>
      <c r="G800" s="748"/>
    </row>
    <row r="801" ht="15.75" customHeight="1">
      <c r="C801" s="748"/>
      <c r="F801" s="748"/>
      <c r="G801" s="748"/>
    </row>
    <row r="802" ht="15.75" customHeight="1">
      <c r="C802" s="748"/>
      <c r="F802" s="748"/>
      <c r="G802" s="748"/>
    </row>
    <row r="803" ht="15.75" customHeight="1">
      <c r="C803" s="748"/>
      <c r="F803" s="748"/>
      <c r="G803" s="748"/>
    </row>
    <row r="804" ht="15.75" customHeight="1">
      <c r="C804" s="748"/>
      <c r="F804" s="748"/>
      <c r="G804" s="748"/>
    </row>
    <row r="805" ht="15.75" customHeight="1">
      <c r="C805" s="748"/>
      <c r="F805" s="748"/>
      <c r="G805" s="748"/>
    </row>
    <row r="806" ht="15.75" customHeight="1">
      <c r="C806" s="748"/>
      <c r="F806" s="748"/>
      <c r="G806" s="748"/>
    </row>
    <row r="807" ht="15.75" customHeight="1">
      <c r="C807" s="748"/>
      <c r="F807" s="748"/>
      <c r="G807" s="748"/>
    </row>
    <row r="808" ht="15.75" customHeight="1">
      <c r="C808" s="748"/>
      <c r="F808" s="748"/>
      <c r="G808" s="748"/>
    </row>
    <row r="809" ht="15.75" customHeight="1">
      <c r="C809" s="748"/>
      <c r="F809" s="748"/>
      <c r="G809" s="748"/>
    </row>
    <row r="810" ht="15.75" customHeight="1">
      <c r="C810" s="748"/>
      <c r="F810" s="748"/>
      <c r="G810" s="748"/>
    </row>
    <row r="811" ht="15.75" customHeight="1">
      <c r="C811" s="748"/>
      <c r="F811" s="748"/>
      <c r="G811" s="748"/>
    </row>
    <row r="812" ht="15.75" customHeight="1">
      <c r="C812" s="748"/>
      <c r="F812" s="748"/>
      <c r="G812" s="748"/>
    </row>
    <row r="813" ht="15.75" customHeight="1">
      <c r="C813" s="748"/>
      <c r="F813" s="748"/>
      <c r="G813" s="748"/>
    </row>
    <row r="814" ht="15.75" customHeight="1">
      <c r="C814" s="748"/>
      <c r="F814" s="748"/>
      <c r="G814" s="748"/>
    </row>
    <row r="815" ht="15.75" customHeight="1">
      <c r="C815" s="748"/>
      <c r="F815" s="748"/>
      <c r="G815" s="748"/>
    </row>
    <row r="816" ht="15.75" customHeight="1">
      <c r="C816" s="748"/>
      <c r="F816" s="748"/>
      <c r="G816" s="748"/>
    </row>
    <row r="817" ht="15.75" customHeight="1">
      <c r="C817" s="748"/>
      <c r="F817" s="748"/>
      <c r="G817" s="748"/>
    </row>
    <row r="818" ht="15.75" customHeight="1">
      <c r="C818" s="748"/>
      <c r="F818" s="748"/>
      <c r="G818" s="748"/>
    </row>
    <row r="819" ht="15.75" customHeight="1">
      <c r="C819" s="748"/>
      <c r="F819" s="748"/>
      <c r="G819" s="748"/>
    </row>
    <row r="820" ht="15.75" customHeight="1">
      <c r="C820" s="748"/>
      <c r="F820" s="748"/>
      <c r="G820" s="748"/>
    </row>
    <row r="821" ht="15.75" customHeight="1">
      <c r="C821" s="748"/>
      <c r="F821" s="748"/>
      <c r="G821" s="748"/>
    </row>
    <row r="822" ht="15.75" customHeight="1">
      <c r="C822" s="748"/>
      <c r="F822" s="748"/>
      <c r="G822" s="748"/>
    </row>
    <row r="823" ht="15.75" customHeight="1">
      <c r="C823" s="748"/>
      <c r="F823" s="748"/>
      <c r="G823" s="748"/>
    </row>
    <row r="824" ht="15.75" customHeight="1">
      <c r="C824" s="748"/>
      <c r="F824" s="748"/>
      <c r="G824" s="748"/>
    </row>
    <row r="825" ht="15.75" customHeight="1">
      <c r="C825" s="748"/>
      <c r="F825" s="748"/>
      <c r="G825" s="748"/>
    </row>
    <row r="826" ht="15.75" customHeight="1">
      <c r="C826" s="748"/>
      <c r="F826" s="748"/>
      <c r="G826" s="748"/>
    </row>
    <row r="827" ht="15.75" customHeight="1">
      <c r="C827" s="748"/>
      <c r="F827" s="748"/>
      <c r="G827" s="748"/>
    </row>
    <row r="828" ht="15.75" customHeight="1">
      <c r="C828" s="748"/>
      <c r="F828" s="748"/>
      <c r="G828" s="748"/>
    </row>
    <row r="829" ht="15.75" customHeight="1">
      <c r="C829" s="748"/>
      <c r="F829" s="748"/>
      <c r="G829" s="748"/>
    </row>
    <row r="830" ht="15.75" customHeight="1">
      <c r="C830" s="748"/>
      <c r="F830" s="748"/>
      <c r="G830" s="748"/>
    </row>
    <row r="831" ht="15.75" customHeight="1">
      <c r="C831" s="748"/>
      <c r="F831" s="748"/>
      <c r="G831" s="748"/>
    </row>
    <row r="832" ht="15.75" customHeight="1">
      <c r="C832" s="748"/>
      <c r="F832" s="748"/>
      <c r="G832" s="748"/>
    </row>
    <row r="833" ht="15.75" customHeight="1">
      <c r="C833" s="748"/>
      <c r="F833" s="748"/>
      <c r="G833" s="748"/>
    </row>
    <row r="834" ht="15.75" customHeight="1">
      <c r="C834" s="748"/>
      <c r="F834" s="748"/>
      <c r="G834" s="748"/>
    </row>
    <row r="835" ht="15.75" customHeight="1">
      <c r="C835" s="748"/>
      <c r="F835" s="748"/>
      <c r="G835" s="748"/>
    </row>
    <row r="836" ht="15.75" customHeight="1">
      <c r="C836" s="748"/>
      <c r="F836" s="748"/>
      <c r="G836" s="748"/>
    </row>
    <row r="837" ht="15.75" customHeight="1">
      <c r="C837" s="748"/>
      <c r="F837" s="748"/>
      <c r="G837" s="748"/>
    </row>
    <row r="838" ht="15.75" customHeight="1">
      <c r="C838" s="748"/>
      <c r="F838" s="748"/>
      <c r="G838" s="748"/>
    </row>
    <row r="839" ht="15.75" customHeight="1">
      <c r="C839" s="748"/>
      <c r="F839" s="748"/>
      <c r="G839" s="748"/>
    </row>
    <row r="840" ht="15.75" customHeight="1">
      <c r="C840" s="748"/>
      <c r="F840" s="748"/>
      <c r="G840" s="748"/>
    </row>
    <row r="841" ht="15.75" customHeight="1">
      <c r="C841" s="748"/>
      <c r="F841" s="748"/>
      <c r="G841" s="748"/>
    </row>
    <row r="842" ht="15.75" customHeight="1">
      <c r="C842" s="748"/>
      <c r="F842" s="748"/>
      <c r="G842" s="748"/>
    </row>
    <row r="843" ht="15.75" customHeight="1">
      <c r="C843" s="748"/>
      <c r="F843" s="748"/>
      <c r="G843" s="748"/>
    </row>
    <row r="844" ht="15.75" customHeight="1">
      <c r="C844" s="748"/>
      <c r="F844" s="748"/>
      <c r="G844" s="748"/>
    </row>
    <row r="845" ht="15.75" customHeight="1">
      <c r="C845" s="748"/>
      <c r="F845" s="748"/>
      <c r="G845" s="748"/>
    </row>
    <row r="846" ht="15.75" customHeight="1">
      <c r="C846" s="748"/>
      <c r="F846" s="748"/>
      <c r="G846" s="748"/>
    </row>
    <row r="847" ht="15.75" customHeight="1">
      <c r="C847" s="748"/>
      <c r="F847" s="748"/>
      <c r="G847" s="748"/>
    </row>
    <row r="848" ht="15.75" customHeight="1">
      <c r="C848" s="748"/>
      <c r="F848" s="748"/>
      <c r="G848" s="748"/>
    </row>
    <row r="849" ht="15.75" customHeight="1">
      <c r="C849" s="748"/>
      <c r="F849" s="748"/>
      <c r="G849" s="748"/>
    </row>
    <row r="850" ht="15.75" customHeight="1">
      <c r="C850" s="748"/>
      <c r="F850" s="748"/>
      <c r="G850" s="748"/>
    </row>
    <row r="851" ht="15.75" customHeight="1">
      <c r="C851" s="748"/>
      <c r="F851" s="748"/>
      <c r="G851" s="748"/>
    </row>
    <row r="852" ht="15.75" customHeight="1">
      <c r="C852" s="748"/>
      <c r="F852" s="748"/>
      <c r="G852" s="748"/>
    </row>
    <row r="853" ht="15.75" customHeight="1">
      <c r="C853" s="748"/>
      <c r="F853" s="748"/>
      <c r="G853" s="748"/>
    </row>
    <row r="854" ht="15.75" customHeight="1">
      <c r="C854" s="748"/>
      <c r="F854" s="748"/>
      <c r="G854" s="748"/>
    </row>
    <row r="855" ht="15.75" customHeight="1">
      <c r="C855" s="748"/>
      <c r="F855" s="748"/>
      <c r="G855" s="748"/>
    </row>
    <row r="856" ht="15.75" customHeight="1">
      <c r="C856" s="748"/>
      <c r="F856" s="748"/>
      <c r="G856" s="748"/>
    </row>
    <row r="857" ht="15.75" customHeight="1">
      <c r="C857" s="748"/>
      <c r="F857" s="748"/>
      <c r="G857" s="748"/>
    </row>
    <row r="858" ht="15.75" customHeight="1">
      <c r="C858" s="748"/>
      <c r="F858" s="748"/>
      <c r="G858" s="748"/>
    </row>
    <row r="859" ht="15.75" customHeight="1">
      <c r="C859" s="748"/>
      <c r="F859" s="748"/>
      <c r="G859" s="748"/>
    </row>
    <row r="860" ht="15.75" customHeight="1">
      <c r="C860" s="748"/>
      <c r="F860" s="748"/>
      <c r="G860" s="748"/>
    </row>
    <row r="861" ht="15.75" customHeight="1">
      <c r="C861" s="748"/>
      <c r="F861" s="748"/>
      <c r="G861" s="748"/>
    </row>
    <row r="862" ht="15.75" customHeight="1">
      <c r="C862" s="748"/>
      <c r="F862" s="748"/>
      <c r="G862" s="748"/>
    </row>
    <row r="863" ht="15.75" customHeight="1">
      <c r="C863" s="748"/>
      <c r="F863" s="748"/>
      <c r="G863" s="748"/>
    </row>
    <row r="864" ht="15.75" customHeight="1">
      <c r="C864" s="748"/>
      <c r="F864" s="748"/>
      <c r="G864" s="748"/>
    </row>
    <row r="865" ht="15.75" customHeight="1">
      <c r="C865" s="748"/>
      <c r="F865" s="748"/>
      <c r="G865" s="748"/>
    </row>
    <row r="866" ht="15.75" customHeight="1">
      <c r="C866" s="748"/>
      <c r="F866" s="748"/>
      <c r="G866" s="748"/>
    </row>
    <row r="867" ht="15.75" customHeight="1">
      <c r="C867" s="748"/>
      <c r="F867" s="748"/>
      <c r="G867" s="748"/>
    </row>
    <row r="868" ht="15.75" customHeight="1">
      <c r="C868" s="748"/>
      <c r="F868" s="748"/>
      <c r="G868" s="748"/>
    </row>
    <row r="869" ht="15.75" customHeight="1">
      <c r="C869" s="748"/>
      <c r="F869" s="748"/>
      <c r="G869" s="748"/>
    </row>
    <row r="870" ht="15.75" customHeight="1">
      <c r="C870" s="748"/>
      <c r="F870" s="748"/>
      <c r="G870" s="748"/>
    </row>
    <row r="871" ht="15.75" customHeight="1">
      <c r="C871" s="748"/>
      <c r="F871" s="748"/>
      <c r="G871" s="748"/>
    </row>
    <row r="872" ht="15.75" customHeight="1">
      <c r="C872" s="748"/>
      <c r="F872" s="748"/>
      <c r="G872" s="748"/>
    </row>
    <row r="873" ht="15.75" customHeight="1">
      <c r="C873" s="748"/>
      <c r="F873" s="748"/>
      <c r="G873" s="748"/>
    </row>
    <row r="874" ht="15.75" customHeight="1">
      <c r="C874" s="748"/>
      <c r="F874" s="748"/>
      <c r="G874" s="748"/>
    </row>
    <row r="875" ht="15.75" customHeight="1">
      <c r="C875" s="748"/>
      <c r="F875" s="748"/>
      <c r="G875" s="748"/>
    </row>
    <row r="876" ht="15.75" customHeight="1">
      <c r="C876" s="748"/>
      <c r="F876" s="748"/>
      <c r="G876" s="748"/>
    </row>
    <row r="877" ht="15.75" customHeight="1">
      <c r="C877" s="748"/>
      <c r="F877" s="748"/>
      <c r="G877" s="748"/>
    </row>
    <row r="878" ht="15.75" customHeight="1">
      <c r="C878" s="748"/>
      <c r="F878" s="748"/>
      <c r="G878" s="748"/>
    </row>
    <row r="879" ht="15.75" customHeight="1">
      <c r="C879" s="748"/>
      <c r="F879" s="748"/>
      <c r="G879" s="748"/>
    </row>
    <row r="880" ht="15.75" customHeight="1">
      <c r="C880" s="748"/>
      <c r="F880" s="748"/>
      <c r="G880" s="748"/>
    </row>
    <row r="881" ht="15.75" customHeight="1">
      <c r="C881" s="748"/>
      <c r="F881" s="748"/>
      <c r="G881" s="748"/>
    </row>
    <row r="882" ht="15.75" customHeight="1">
      <c r="C882" s="748"/>
      <c r="F882" s="748"/>
      <c r="G882" s="748"/>
    </row>
    <row r="883" ht="15.75" customHeight="1">
      <c r="C883" s="748"/>
      <c r="F883" s="748"/>
      <c r="G883" s="748"/>
    </row>
    <row r="884" ht="15.75" customHeight="1">
      <c r="C884" s="748"/>
      <c r="F884" s="748"/>
      <c r="G884" s="748"/>
    </row>
    <row r="885" ht="15.75" customHeight="1">
      <c r="C885" s="748"/>
      <c r="F885" s="748"/>
      <c r="G885" s="748"/>
    </row>
    <row r="886" ht="15.75" customHeight="1">
      <c r="C886" s="748"/>
      <c r="F886" s="748"/>
      <c r="G886" s="748"/>
    </row>
    <row r="887" ht="15.75" customHeight="1">
      <c r="C887" s="748"/>
      <c r="F887" s="748"/>
      <c r="G887" s="748"/>
    </row>
    <row r="888" ht="15.75" customHeight="1">
      <c r="C888" s="748"/>
      <c r="F888" s="748"/>
      <c r="G888" s="748"/>
    </row>
    <row r="889" ht="15.75" customHeight="1">
      <c r="C889" s="748"/>
      <c r="F889" s="748"/>
      <c r="G889" s="748"/>
    </row>
    <row r="890" ht="15.75" customHeight="1">
      <c r="C890" s="748"/>
      <c r="F890" s="748"/>
      <c r="G890" s="748"/>
    </row>
    <row r="891" ht="15.75" customHeight="1">
      <c r="C891" s="748"/>
      <c r="F891" s="748"/>
      <c r="G891" s="748"/>
    </row>
    <row r="892" ht="15.75" customHeight="1">
      <c r="C892" s="748"/>
      <c r="F892" s="748"/>
      <c r="G892" s="748"/>
    </row>
    <row r="893" ht="15.75" customHeight="1">
      <c r="C893" s="748"/>
      <c r="F893" s="748"/>
      <c r="G893" s="748"/>
    </row>
    <row r="894" ht="15.75" customHeight="1">
      <c r="C894" s="748"/>
      <c r="F894" s="748"/>
      <c r="G894" s="748"/>
    </row>
    <row r="895" ht="15.75" customHeight="1">
      <c r="C895" s="748"/>
      <c r="F895" s="748"/>
      <c r="G895" s="748"/>
    </row>
    <row r="896" ht="15.75" customHeight="1">
      <c r="C896" s="748"/>
      <c r="F896" s="748"/>
      <c r="G896" s="748"/>
    </row>
    <row r="897" ht="15.75" customHeight="1">
      <c r="C897" s="748"/>
      <c r="F897" s="748"/>
      <c r="G897" s="748"/>
    </row>
    <row r="898" ht="15.75" customHeight="1">
      <c r="C898" s="748"/>
      <c r="F898" s="748"/>
      <c r="G898" s="748"/>
    </row>
    <row r="899" ht="15.75" customHeight="1">
      <c r="C899" s="748"/>
      <c r="F899" s="748"/>
      <c r="G899" s="748"/>
    </row>
    <row r="900" ht="15.75" customHeight="1">
      <c r="C900" s="748"/>
      <c r="F900" s="748"/>
      <c r="G900" s="748"/>
    </row>
    <row r="901" ht="15.75" customHeight="1">
      <c r="C901" s="748"/>
      <c r="F901" s="748"/>
      <c r="G901" s="748"/>
    </row>
    <row r="902" ht="15.75" customHeight="1">
      <c r="C902" s="748"/>
      <c r="F902" s="748"/>
      <c r="G902" s="748"/>
    </row>
    <row r="903" ht="15.75" customHeight="1">
      <c r="C903" s="748"/>
      <c r="F903" s="748"/>
      <c r="G903" s="748"/>
    </row>
    <row r="904" ht="15.75" customHeight="1">
      <c r="C904" s="748"/>
      <c r="F904" s="748"/>
      <c r="G904" s="748"/>
    </row>
    <row r="905" ht="15.75" customHeight="1">
      <c r="C905" s="748"/>
      <c r="F905" s="748"/>
      <c r="G905" s="748"/>
    </row>
    <row r="906" ht="15.75" customHeight="1">
      <c r="C906" s="748"/>
      <c r="F906" s="748"/>
      <c r="G906" s="748"/>
    </row>
    <row r="907" ht="15.75" customHeight="1">
      <c r="C907" s="748"/>
      <c r="F907" s="748"/>
      <c r="G907" s="748"/>
    </row>
    <row r="908" ht="15.75" customHeight="1">
      <c r="C908" s="748"/>
      <c r="F908" s="748"/>
      <c r="G908" s="748"/>
    </row>
    <row r="909" ht="15.75" customHeight="1">
      <c r="C909" s="748"/>
      <c r="F909" s="748"/>
      <c r="G909" s="748"/>
    </row>
    <row r="910" ht="15.75" customHeight="1">
      <c r="C910" s="748"/>
      <c r="F910" s="748"/>
      <c r="G910" s="748"/>
    </row>
    <row r="911" ht="15.75" customHeight="1">
      <c r="C911" s="748"/>
      <c r="F911" s="748"/>
      <c r="G911" s="748"/>
    </row>
    <row r="912" ht="15.75" customHeight="1">
      <c r="C912" s="748"/>
      <c r="F912" s="748"/>
      <c r="G912" s="748"/>
    </row>
    <row r="913" ht="15.75" customHeight="1">
      <c r="C913" s="748"/>
      <c r="F913" s="748"/>
      <c r="G913" s="748"/>
    </row>
    <row r="914" ht="15.75" customHeight="1">
      <c r="C914" s="748"/>
      <c r="F914" s="748"/>
      <c r="G914" s="748"/>
    </row>
    <row r="915" ht="15.75" customHeight="1">
      <c r="C915" s="748"/>
      <c r="F915" s="748"/>
      <c r="G915" s="748"/>
    </row>
    <row r="916" ht="15.75" customHeight="1">
      <c r="C916" s="748"/>
      <c r="F916" s="748"/>
      <c r="G916" s="748"/>
    </row>
    <row r="917" ht="15.75" customHeight="1">
      <c r="C917" s="748"/>
      <c r="F917" s="748"/>
      <c r="G917" s="748"/>
    </row>
    <row r="918" ht="15.75" customHeight="1">
      <c r="C918" s="748"/>
      <c r="F918" s="748"/>
      <c r="G918" s="748"/>
    </row>
    <row r="919" ht="15.75" customHeight="1">
      <c r="C919" s="748"/>
      <c r="F919" s="748"/>
      <c r="G919" s="748"/>
    </row>
    <row r="920" ht="15.75" customHeight="1">
      <c r="C920" s="748"/>
      <c r="F920" s="748"/>
      <c r="G920" s="748"/>
    </row>
    <row r="921" ht="15.75" customHeight="1">
      <c r="C921" s="748"/>
      <c r="F921" s="748"/>
      <c r="G921" s="748"/>
    </row>
    <row r="922" ht="15.75" customHeight="1">
      <c r="C922" s="748"/>
      <c r="F922" s="748"/>
      <c r="G922" s="748"/>
    </row>
    <row r="923" ht="15.75" customHeight="1">
      <c r="C923" s="748"/>
      <c r="F923" s="748"/>
      <c r="G923" s="748"/>
    </row>
    <row r="924" ht="15.75" customHeight="1">
      <c r="C924" s="748"/>
      <c r="F924" s="748"/>
      <c r="G924" s="748"/>
    </row>
    <row r="925" ht="15.75" customHeight="1">
      <c r="C925" s="748"/>
      <c r="F925" s="748"/>
      <c r="G925" s="748"/>
    </row>
    <row r="926" ht="15.75" customHeight="1">
      <c r="C926" s="748"/>
      <c r="F926" s="748"/>
      <c r="G926" s="748"/>
    </row>
    <row r="927" ht="15.75" customHeight="1">
      <c r="C927" s="748"/>
      <c r="F927" s="748"/>
      <c r="G927" s="748"/>
    </row>
    <row r="928" ht="15.75" customHeight="1">
      <c r="C928" s="748"/>
      <c r="F928" s="748"/>
      <c r="G928" s="748"/>
    </row>
    <row r="929" ht="15.75" customHeight="1">
      <c r="C929" s="748"/>
      <c r="F929" s="748"/>
      <c r="G929" s="748"/>
    </row>
    <row r="930" ht="15.75" customHeight="1">
      <c r="C930" s="748"/>
      <c r="F930" s="748"/>
      <c r="G930" s="748"/>
    </row>
    <row r="931" ht="15.75" customHeight="1">
      <c r="C931" s="748"/>
      <c r="F931" s="748"/>
      <c r="G931" s="748"/>
    </row>
    <row r="932" ht="15.75" customHeight="1">
      <c r="C932" s="748"/>
      <c r="F932" s="748"/>
      <c r="G932" s="748"/>
    </row>
    <row r="933" ht="15.75" customHeight="1">
      <c r="C933" s="748"/>
      <c r="F933" s="748"/>
      <c r="G933" s="748"/>
    </row>
    <row r="934" ht="15.75" customHeight="1">
      <c r="C934" s="748"/>
      <c r="F934" s="748"/>
      <c r="G934" s="748"/>
    </row>
    <row r="935" ht="15.75" customHeight="1">
      <c r="C935" s="748"/>
      <c r="F935" s="748"/>
      <c r="G935" s="748"/>
    </row>
    <row r="936" ht="15.75" customHeight="1">
      <c r="C936" s="748"/>
      <c r="F936" s="748"/>
      <c r="G936" s="748"/>
    </row>
    <row r="937" ht="15.75" customHeight="1">
      <c r="C937" s="748"/>
      <c r="F937" s="748"/>
      <c r="G937" s="748"/>
    </row>
    <row r="938" ht="15.75" customHeight="1">
      <c r="C938" s="748"/>
      <c r="F938" s="748"/>
      <c r="G938" s="748"/>
    </row>
    <row r="939" ht="15.75" customHeight="1">
      <c r="C939" s="748"/>
      <c r="F939" s="748"/>
      <c r="G939" s="748"/>
    </row>
    <row r="940" ht="15.75" customHeight="1">
      <c r="C940" s="748"/>
      <c r="F940" s="748"/>
      <c r="G940" s="748"/>
    </row>
    <row r="941" ht="15.75" customHeight="1">
      <c r="C941" s="748"/>
      <c r="F941" s="748"/>
      <c r="G941" s="748"/>
    </row>
    <row r="942" ht="15.75" customHeight="1">
      <c r="C942" s="748"/>
      <c r="F942" s="748"/>
      <c r="G942" s="748"/>
    </row>
    <row r="943" ht="15.75" customHeight="1">
      <c r="C943" s="748"/>
      <c r="F943" s="748"/>
      <c r="G943" s="748"/>
    </row>
    <row r="944" ht="15.75" customHeight="1">
      <c r="C944" s="748"/>
      <c r="F944" s="748"/>
      <c r="G944" s="748"/>
    </row>
    <row r="945" ht="15.75" customHeight="1">
      <c r="C945" s="748"/>
      <c r="F945" s="748"/>
      <c r="G945" s="748"/>
    </row>
    <row r="946" ht="15.75" customHeight="1">
      <c r="C946" s="748"/>
      <c r="F946" s="748"/>
      <c r="G946" s="748"/>
    </row>
    <row r="947" ht="15.75" customHeight="1">
      <c r="C947" s="748"/>
      <c r="F947" s="748"/>
      <c r="G947" s="748"/>
    </row>
    <row r="948" ht="15.75" customHeight="1">
      <c r="C948" s="748"/>
      <c r="F948" s="748"/>
      <c r="G948" s="748"/>
    </row>
    <row r="949" ht="15.75" customHeight="1">
      <c r="C949" s="748"/>
      <c r="F949" s="748"/>
      <c r="G949" s="748"/>
    </row>
    <row r="950" ht="15.75" customHeight="1">
      <c r="C950" s="748"/>
      <c r="F950" s="748"/>
      <c r="G950" s="748"/>
    </row>
    <row r="951" ht="15.75" customHeight="1">
      <c r="C951" s="748"/>
      <c r="F951" s="748"/>
      <c r="G951" s="748"/>
    </row>
    <row r="952" ht="15.75" customHeight="1">
      <c r="C952" s="748"/>
      <c r="F952" s="748"/>
      <c r="G952" s="748"/>
    </row>
    <row r="953" ht="15.75" customHeight="1">
      <c r="C953" s="748"/>
      <c r="F953" s="748"/>
      <c r="G953" s="748"/>
    </row>
    <row r="954" ht="15.75" customHeight="1">
      <c r="C954" s="748"/>
      <c r="F954" s="748"/>
      <c r="G954" s="748"/>
    </row>
    <row r="955" ht="15.75" customHeight="1">
      <c r="C955" s="748"/>
      <c r="F955" s="748"/>
      <c r="G955" s="748"/>
    </row>
    <row r="956" ht="15.75" customHeight="1">
      <c r="C956" s="748"/>
      <c r="F956" s="748"/>
      <c r="G956" s="748"/>
    </row>
    <row r="957" ht="15.75" customHeight="1">
      <c r="C957" s="748"/>
      <c r="F957" s="748"/>
      <c r="G957" s="748"/>
    </row>
    <row r="958" ht="15.75" customHeight="1">
      <c r="C958" s="748"/>
      <c r="F958" s="748"/>
      <c r="G958" s="748"/>
    </row>
    <row r="959" ht="15.75" customHeight="1">
      <c r="C959" s="748"/>
      <c r="F959" s="748"/>
      <c r="G959" s="748"/>
    </row>
    <row r="960" ht="15.75" customHeight="1">
      <c r="C960" s="748"/>
      <c r="F960" s="748"/>
      <c r="G960" s="748"/>
    </row>
    <row r="961" ht="15.75" customHeight="1">
      <c r="C961" s="748"/>
      <c r="F961" s="748"/>
      <c r="G961" s="748"/>
    </row>
    <row r="962" ht="15.75" customHeight="1">
      <c r="C962" s="748"/>
      <c r="F962" s="748"/>
      <c r="G962" s="748"/>
    </row>
    <row r="963" ht="15.75" customHeight="1">
      <c r="C963" s="748"/>
      <c r="F963" s="748"/>
      <c r="G963" s="748"/>
    </row>
    <row r="964" ht="15.75" customHeight="1">
      <c r="C964" s="748"/>
      <c r="F964" s="748"/>
      <c r="G964" s="748"/>
    </row>
    <row r="965" ht="15.75" customHeight="1">
      <c r="C965" s="748"/>
      <c r="F965" s="748"/>
      <c r="G965" s="748"/>
    </row>
    <row r="966" ht="15.75" customHeight="1">
      <c r="C966" s="748"/>
      <c r="F966" s="748"/>
      <c r="G966" s="748"/>
    </row>
    <row r="967" ht="15.75" customHeight="1">
      <c r="C967" s="748"/>
      <c r="F967" s="748"/>
      <c r="G967" s="748"/>
    </row>
    <row r="968" ht="15.75" customHeight="1">
      <c r="C968" s="748"/>
      <c r="F968" s="748"/>
      <c r="G968" s="748"/>
    </row>
    <row r="969" ht="15.75" customHeight="1">
      <c r="C969" s="748"/>
      <c r="F969" s="748"/>
      <c r="G969" s="748"/>
    </row>
    <row r="970" ht="15.75" customHeight="1">
      <c r="C970" s="748"/>
      <c r="F970" s="748"/>
      <c r="G970" s="748"/>
    </row>
    <row r="971" ht="15.75" customHeight="1">
      <c r="C971" s="748"/>
      <c r="F971" s="748"/>
      <c r="G971" s="748"/>
    </row>
    <row r="972" ht="15.75" customHeight="1">
      <c r="C972" s="748"/>
      <c r="F972" s="748"/>
      <c r="G972" s="748"/>
    </row>
    <row r="973" ht="15.75" customHeight="1">
      <c r="C973" s="748"/>
      <c r="F973" s="748"/>
      <c r="G973" s="748"/>
    </row>
    <row r="974" ht="15.75" customHeight="1">
      <c r="C974" s="748"/>
      <c r="F974" s="748"/>
      <c r="G974" s="748"/>
    </row>
  </sheetData>
  <mergeCells count="2">
    <mergeCell ref="B2:G2"/>
    <mergeCell ref="B65:G65"/>
  </mergeCells>
  <printOptions/>
  <pageMargins bottom="0.75" footer="0.0" header="0.0" left="0.25" right="0.25" top="0.75"/>
  <pageSetup paperSize="9"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4" max="4" width="12.0"/>
  </cols>
  <sheetData>
    <row r="1">
      <c r="A1" s="649" t="s">
        <v>1644</v>
      </c>
      <c r="B1" s="652" t="s">
        <v>1645</v>
      </c>
      <c r="C1" s="615"/>
    </row>
    <row r="2">
      <c r="A2" s="1091" t="s">
        <v>1646</v>
      </c>
      <c r="B2" s="627" t="s">
        <v>1647</v>
      </c>
      <c r="C2" s="628"/>
      <c r="F2" s="526" t="s">
        <v>1648</v>
      </c>
    </row>
    <row r="3">
      <c r="A3" s="1001" t="s">
        <v>1649</v>
      </c>
      <c r="B3" s="647" t="s">
        <v>1650</v>
      </c>
      <c r="C3" s="648"/>
      <c r="F3" s="526" t="s">
        <v>1651</v>
      </c>
    </row>
    <row r="5">
      <c r="A5" s="526" t="s">
        <v>1652</v>
      </c>
    </row>
    <row r="6">
      <c r="D6" s="637"/>
      <c r="E6" s="1092" t="s">
        <v>1653</v>
      </c>
      <c r="F6" s="1089"/>
      <c r="G6" s="762"/>
    </row>
    <row r="7">
      <c r="A7" s="1093" t="s">
        <v>1654</v>
      </c>
      <c r="B7" s="1089"/>
      <c r="C7" s="762"/>
      <c r="D7" s="1000" t="s">
        <v>1026</v>
      </c>
      <c r="E7" s="1094" t="s">
        <v>1655</v>
      </c>
      <c r="F7" s="1095" t="s">
        <v>1656</v>
      </c>
      <c r="G7" s="1096" t="s">
        <v>1657</v>
      </c>
    </row>
    <row r="8">
      <c r="A8" s="1041" t="s">
        <v>1658</v>
      </c>
      <c r="B8" s="559"/>
      <c r="C8" s="559"/>
      <c r="D8" s="1017"/>
      <c r="E8" s="649"/>
      <c r="F8" s="649"/>
      <c r="G8" s="649"/>
    </row>
    <row r="9">
      <c r="A9" s="1097" t="s">
        <v>1659</v>
      </c>
      <c r="B9" s="611"/>
      <c r="C9" s="611"/>
      <c r="D9" s="1098" t="s">
        <v>313</v>
      </c>
      <c r="E9" s="1001"/>
      <c r="F9" s="1001"/>
      <c r="G9" s="1001"/>
    </row>
    <row r="10">
      <c r="A10" s="1041" t="s">
        <v>1660</v>
      </c>
      <c r="B10" s="559"/>
      <c r="C10" s="559"/>
      <c r="D10" s="1017"/>
      <c r="E10" s="649"/>
      <c r="F10" s="649"/>
      <c r="G10" s="649"/>
    </row>
    <row r="11">
      <c r="A11" s="1097" t="s">
        <v>1661</v>
      </c>
      <c r="B11" s="611"/>
      <c r="C11" s="611"/>
      <c r="D11" s="1098">
        <v>3000.0</v>
      </c>
      <c r="E11" s="1001"/>
      <c r="F11" s="1001"/>
      <c r="G11" s="1001"/>
    </row>
    <row r="12">
      <c r="A12" s="1041" t="s">
        <v>1662</v>
      </c>
      <c r="B12" s="559"/>
      <c r="C12" s="559"/>
      <c r="D12" s="1017"/>
      <c r="E12" s="649"/>
      <c r="F12" s="649"/>
      <c r="G12" s="649"/>
    </row>
    <row r="13">
      <c r="A13" s="1097" t="s">
        <v>1663</v>
      </c>
      <c r="B13" s="611"/>
      <c r="C13" s="611"/>
      <c r="D13" s="1098">
        <v>3200.0</v>
      </c>
      <c r="E13" s="1001"/>
      <c r="F13" s="1001"/>
      <c r="G13" s="1001"/>
    </row>
    <row r="14">
      <c r="D14" s="637"/>
    </row>
    <row r="15">
      <c r="D15" s="526" t="s">
        <v>578</v>
      </c>
    </row>
    <row r="16">
      <c r="A16" s="1099" t="s">
        <v>1664</v>
      </c>
      <c r="B16" s="1099" t="s">
        <v>1665</v>
      </c>
    </row>
    <row r="18">
      <c r="B18" s="1100" t="s">
        <v>1666</v>
      </c>
      <c r="E18" s="964" t="s">
        <v>1667</v>
      </c>
      <c r="G18" s="1101" t="s">
        <v>1668</v>
      </c>
      <c r="H18" s="1101"/>
    </row>
    <row r="20">
      <c r="A20" s="1041" t="s">
        <v>1669</v>
      </c>
      <c r="B20" s="559"/>
      <c r="C20" s="615"/>
      <c r="E20" s="625" t="s">
        <v>1670</v>
      </c>
      <c r="G20" s="625" t="s">
        <v>1671</v>
      </c>
    </row>
    <row r="21">
      <c r="A21" s="627" t="s">
        <v>1659</v>
      </c>
      <c r="C21" s="628"/>
      <c r="E21" s="625"/>
      <c r="G21" s="625"/>
    </row>
    <row r="22">
      <c r="A22" s="647"/>
      <c r="B22" s="611"/>
      <c r="C22" s="648"/>
    </row>
    <row r="23">
      <c r="A23" s="1041" t="s">
        <v>1672</v>
      </c>
      <c r="B23" s="559"/>
      <c r="C23" s="615"/>
      <c r="E23" s="625" t="s">
        <v>1673</v>
      </c>
      <c r="G23" s="625" t="s">
        <v>1674</v>
      </c>
    </row>
    <row r="24">
      <c r="A24" s="627" t="s">
        <v>1661</v>
      </c>
      <c r="C24" s="628"/>
    </row>
    <row r="25">
      <c r="A25" s="647"/>
      <c r="B25" s="611"/>
      <c r="C25" s="648"/>
    </row>
    <row r="26">
      <c r="A26" s="1041" t="s">
        <v>1675</v>
      </c>
      <c r="B26" s="559"/>
      <c r="C26" s="615"/>
      <c r="E26" s="625" t="s">
        <v>1676</v>
      </c>
      <c r="G26" s="625" t="s">
        <v>1677</v>
      </c>
    </row>
    <row r="27">
      <c r="A27" s="627" t="s">
        <v>1663</v>
      </c>
      <c r="C27" s="628"/>
    </row>
    <row r="28">
      <c r="A28" s="647"/>
      <c r="B28" s="611"/>
      <c r="C28" s="648"/>
    </row>
    <row r="47">
      <c r="A47" s="526" t="s">
        <v>1678</v>
      </c>
    </row>
    <row r="49">
      <c r="A49" s="526" t="s">
        <v>1679</v>
      </c>
    </row>
    <row r="50">
      <c r="A50" s="529" t="s">
        <v>1680</v>
      </c>
    </row>
    <row r="51">
      <c r="A51" s="529"/>
    </row>
  </sheetData>
  <mergeCells count="2">
    <mergeCell ref="E6:G6"/>
    <mergeCell ref="A7:C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86"/>
    <col customWidth="1" min="3" max="3" width="22.43"/>
    <col customWidth="1" min="4" max="6" width="10.71"/>
    <col customWidth="1" min="7" max="7" width="19.14"/>
    <col customWidth="1" min="8" max="26" width="10.71"/>
  </cols>
  <sheetData>
    <row r="1">
      <c r="A1" s="526" t="s">
        <v>291</v>
      </c>
    </row>
    <row r="2">
      <c r="B2" s="1102" t="s">
        <v>1681</v>
      </c>
      <c r="C2" s="178"/>
      <c r="D2" s="178"/>
      <c r="E2" s="178"/>
      <c r="F2" s="178"/>
      <c r="G2" s="179"/>
    </row>
    <row r="3">
      <c r="B3" s="1103" t="s">
        <v>283</v>
      </c>
      <c r="C3" s="1104" t="s">
        <v>1178</v>
      </c>
      <c r="D3" s="1104" t="s">
        <v>285</v>
      </c>
      <c r="E3" s="1104" t="s">
        <v>286</v>
      </c>
      <c r="F3" s="1105" t="s">
        <v>287</v>
      </c>
      <c r="G3" s="1106" t="s">
        <v>288</v>
      </c>
    </row>
    <row r="4">
      <c r="B4" s="679" t="s">
        <v>1682</v>
      </c>
      <c r="C4" s="1107">
        <v>139.0</v>
      </c>
      <c r="D4" s="681">
        <f t="shared" ref="D4:D5" si="1">E4/C4</f>
        <v>0.2</v>
      </c>
      <c r="E4" s="680">
        <f t="shared" ref="E4:E5" si="2">F4-C4</f>
        <v>27.8</v>
      </c>
      <c r="F4" s="1014">
        <f t="shared" ref="F4:F5" si="3">C4*1.2</f>
        <v>166.8</v>
      </c>
      <c r="G4" s="1108">
        <f t="shared" ref="G4:G5" si="4">F4*1.22</f>
        <v>203.496</v>
      </c>
    </row>
    <row r="5">
      <c r="B5" s="679" t="s">
        <v>1683</v>
      </c>
      <c r="C5" s="1107">
        <v>149.0</v>
      </c>
      <c r="D5" s="681">
        <f t="shared" si="1"/>
        <v>0.2</v>
      </c>
      <c r="E5" s="680">
        <f t="shared" si="2"/>
        <v>29.8</v>
      </c>
      <c r="F5" s="1014">
        <f t="shared" si="3"/>
        <v>178.8</v>
      </c>
      <c r="G5" s="1108">
        <f t="shared" si="4"/>
        <v>218.136</v>
      </c>
    </row>
    <row r="6">
      <c r="B6" s="162"/>
      <c r="C6" s="1109"/>
      <c r="D6" s="747"/>
      <c r="E6" s="332"/>
      <c r="F6" s="332"/>
      <c r="G6" s="1110"/>
    </row>
    <row r="7">
      <c r="B7" s="679" t="s">
        <v>1684</v>
      </c>
      <c r="C7" s="1107"/>
      <c r="D7" s="681" t="str">
        <f t="shared" ref="D7:D10" si="5">E7/C7</f>
        <v>#DIV/0!</v>
      </c>
      <c r="E7" s="680">
        <f t="shared" ref="E7:E10" si="6">F7-C7</f>
        <v>0</v>
      </c>
      <c r="F7" s="680">
        <f t="shared" ref="F7:F10" si="7">C7*1.15</f>
        <v>0</v>
      </c>
      <c r="G7" s="1108">
        <f t="shared" ref="G7:G10" si="8">F7*1.22</f>
        <v>0</v>
      </c>
    </row>
    <row r="8">
      <c r="B8" s="679" t="s">
        <v>1685</v>
      </c>
      <c r="C8" s="1107"/>
      <c r="D8" s="681" t="str">
        <f t="shared" si="5"/>
        <v>#DIV/0!</v>
      </c>
      <c r="E8" s="680">
        <f t="shared" si="6"/>
        <v>0</v>
      </c>
      <c r="F8" s="680">
        <f t="shared" si="7"/>
        <v>0</v>
      </c>
      <c r="G8" s="1108">
        <f t="shared" si="8"/>
        <v>0</v>
      </c>
    </row>
    <row r="9">
      <c r="B9" s="679" t="s">
        <v>1686</v>
      </c>
      <c r="C9" s="1107"/>
      <c r="D9" s="681" t="str">
        <f t="shared" si="5"/>
        <v>#DIV/0!</v>
      </c>
      <c r="E9" s="680">
        <f t="shared" si="6"/>
        <v>0</v>
      </c>
      <c r="F9" s="680">
        <f t="shared" si="7"/>
        <v>0</v>
      </c>
      <c r="G9" s="1108">
        <f t="shared" si="8"/>
        <v>0</v>
      </c>
    </row>
    <row r="10">
      <c r="B10" s="679" t="s">
        <v>1687</v>
      </c>
      <c r="C10" s="1107"/>
      <c r="D10" s="681" t="str">
        <f t="shared" si="5"/>
        <v>#DIV/0!</v>
      </c>
      <c r="E10" s="680">
        <f t="shared" si="6"/>
        <v>0</v>
      </c>
      <c r="F10" s="680">
        <f t="shared" si="7"/>
        <v>0</v>
      </c>
      <c r="G10" s="1108">
        <f t="shared" si="8"/>
        <v>0</v>
      </c>
    </row>
    <row r="12">
      <c r="B12" s="1111" t="s">
        <v>1688</v>
      </c>
    </row>
    <row r="13">
      <c r="B13" s="1111" t="s">
        <v>1689</v>
      </c>
    </row>
    <row r="14">
      <c r="B14" s="1111" t="s">
        <v>1690</v>
      </c>
    </row>
    <row r="15">
      <c r="B15" s="1102" t="s">
        <v>1691</v>
      </c>
      <c r="C15" s="178"/>
      <c r="D15" s="178"/>
      <c r="E15" s="178"/>
      <c r="F15" s="178"/>
      <c r="G15" s="179"/>
    </row>
    <row r="16">
      <c r="B16" s="1103" t="s">
        <v>283</v>
      </c>
      <c r="C16" s="1104" t="s">
        <v>1178</v>
      </c>
      <c r="D16" s="1104" t="s">
        <v>285</v>
      </c>
      <c r="E16" s="1104" t="s">
        <v>286</v>
      </c>
      <c r="F16" s="1105" t="s">
        <v>287</v>
      </c>
      <c r="G16" s="1106" t="s">
        <v>288</v>
      </c>
    </row>
    <row r="17">
      <c r="B17" s="679" t="s">
        <v>1692</v>
      </c>
      <c r="C17" s="1107">
        <v>12.0</v>
      </c>
      <c r="D17" s="681">
        <f t="shared" ref="D17:D18" si="9">E17/C17</f>
        <v>0.1</v>
      </c>
      <c r="E17" s="680">
        <f t="shared" ref="E17:E18" si="10">F17-C17</f>
        <v>1.2</v>
      </c>
      <c r="F17" s="680">
        <f t="shared" ref="F17:F18" si="11">C17*1.1</f>
        <v>13.2</v>
      </c>
      <c r="G17" s="1108">
        <f t="shared" ref="G17:G18" si="12">F17*1.22</f>
        <v>16.104</v>
      </c>
    </row>
    <row r="18" ht="15.75" customHeight="1">
      <c r="B18" s="679" t="s">
        <v>1693</v>
      </c>
      <c r="C18" s="1107">
        <v>17.0</v>
      </c>
      <c r="D18" s="681">
        <f t="shared" si="9"/>
        <v>0.1</v>
      </c>
      <c r="E18" s="680">
        <f t="shared" si="10"/>
        <v>1.7</v>
      </c>
      <c r="F18" s="680">
        <f t="shared" si="11"/>
        <v>18.7</v>
      </c>
      <c r="G18" s="1108">
        <f t="shared" si="12"/>
        <v>22.814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B2:G2"/>
    <mergeCell ref="B15:G1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3.29"/>
    <col customWidth="1" min="3" max="3" width="28.86"/>
    <col customWidth="1" min="4" max="4" width="18.14"/>
    <col customWidth="1" min="5" max="7" width="10.71"/>
    <col customWidth="1" min="8" max="8" width="19.14"/>
    <col customWidth="1" min="9" max="27" width="10.71"/>
  </cols>
  <sheetData>
    <row r="2">
      <c r="B2" s="1112" t="s">
        <v>1694</v>
      </c>
      <c r="C2" s="178"/>
      <c r="D2" s="178"/>
      <c r="E2" s="178"/>
      <c r="F2" s="178"/>
      <c r="G2" s="178"/>
      <c r="H2" s="179"/>
    </row>
    <row r="3">
      <c r="B3" s="1055" t="s">
        <v>283</v>
      </c>
      <c r="C3" s="1056" t="s">
        <v>1695</v>
      </c>
      <c r="D3" s="1056" t="s">
        <v>436</v>
      </c>
      <c r="E3" s="1056" t="s">
        <v>285</v>
      </c>
      <c r="F3" s="1056" t="s">
        <v>286</v>
      </c>
      <c r="G3" s="1057" t="s">
        <v>287</v>
      </c>
      <c r="H3" s="1113" t="s">
        <v>288</v>
      </c>
    </row>
    <row r="4">
      <c r="B4" s="726" t="s">
        <v>1696</v>
      </c>
      <c r="C4" s="1114" t="s">
        <v>1697</v>
      </c>
      <c r="D4" s="728"/>
      <c r="E4" s="728"/>
      <c r="F4" s="728"/>
      <c r="G4" s="403">
        <v>3.78</v>
      </c>
      <c r="H4" s="1115">
        <f t="shared" ref="H4:H6" si="1">G4*1.22</f>
        <v>4.6116</v>
      </c>
    </row>
    <row r="5">
      <c r="B5" s="726" t="s">
        <v>1698</v>
      </c>
      <c r="C5" s="1114" t="s">
        <v>1699</v>
      </c>
      <c r="D5" s="728"/>
      <c r="E5" s="728"/>
      <c r="F5" s="728"/>
      <c r="G5" s="403">
        <v>2.92</v>
      </c>
      <c r="H5" s="1115">
        <f t="shared" si="1"/>
        <v>3.5624</v>
      </c>
    </row>
    <row r="6">
      <c r="B6" s="726" t="s">
        <v>1700</v>
      </c>
      <c r="C6" s="1114" t="s">
        <v>1697</v>
      </c>
      <c r="D6" s="728"/>
      <c r="E6" s="728"/>
      <c r="F6" s="728"/>
      <c r="G6" s="403">
        <v>2.66</v>
      </c>
      <c r="H6" s="1115">
        <f t="shared" si="1"/>
        <v>3.2452</v>
      </c>
    </row>
    <row r="7">
      <c r="C7" s="1116"/>
    </row>
    <row r="8">
      <c r="B8" s="679" t="s">
        <v>1701</v>
      </c>
      <c r="C8" s="1117" t="s">
        <v>1702</v>
      </c>
      <c r="D8" s="758"/>
      <c r="E8" s="758"/>
      <c r="F8" s="758"/>
      <c r="G8" s="323">
        <v>4.32</v>
      </c>
      <c r="H8" s="999">
        <f t="shared" ref="H8:H11" si="2">G8*1.22</f>
        <v>5.2704</v>
      </c>
    </row>
    <row r="9">
      <c r="B9" s="679" t="s">
        <v>1703</v>
      </c>
      <c r="C9" s="1117" t="s">
        <v>1702</v>
      </c>
      <c r="D9" s="758"/>
      <c r="E9" s="758"/>
      <c r="F9" s="758"/>
      <c r="G9" s="323">
        <v>2.94</v>
      </c>
      <c r="H9" s="999">
        <f t="shared" si="2"/>
        <v>3.5868</v>
      </c>
    </row>
    <row r="10">
      <c r="B10" s="679" t="s">
        <v>1704</v>
      </c>
      <c r="C10" s="1117" t="s">
        <v>1702</v>
      </c>
      <c r="D10" s="758"/>
      <c r="E10" s="758"/>
      <c r="F10" s="758"/>
      <c r="G10" s="323">
        <v>5.92</v>
      </c>
      <c r="H10" s="999">
        <f t="shared" si="2"/>
        <v>7.2224</v>
      </c>
    </row>
    <row r="11">
      <c r="B11" s="679" t="s">
        <v>1705</v>
      </c>
      <c r="C11" s="1117" t="s">
        <v>1702</v>
      </c>
      <c r="D11" s="758"/>
      <c r="E11" s="758"/>
      <c r="F11" s="758"/>
      <c r="G11" s="323">
        <v>3.86</v>
      </c>
      <c r="H11" s="999">
        <f t="shared" si="2"/>
        <v>4.7092</v>
      </c>
    </row>
    <row r="12" ht="15.75" customHeight="1">
      <c r="C12" s="1116"/>
    </row>
    <row r="13" ht="15.75" customHeight="1">
      <c r="B13" s="679" t="s">
        <v>1705</v>
      </c>
      <c r="C13" s="1117" t="s">
        <v>1702</v>
      </c>
      <c r="D13" s="758"/>
      <c r="E13" s="758"/>
      <c r="F13" s="758"/>
      <c r="G13" s="323">
        <v>3.86</v>
      </c>
      <c r="H13" s="999">
        <f>G13*1.22</f>
        <v>4.7092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8.14"/>
    <col customWidth="1" min="4" max="6" width="10.71"/>
    <col customWidth="1" min="7" max="7" width="19.14"/>
    <col customWidth="1" min="8" max="8" width="10.71"/>
    <col customWidth="1" min="9" max="9" width="15.29"/>
    <col customWidth="1" min="10" max="26" width="10.71"/>
  </cols>
  <sheetData>
    <row r="1">
      <c r="B1" s="526" t="s">
        <v>1017</v>
      </c>
    </row>
    <row r="2">
      <c r="B2" s="1102" t="s">
        <v>1706</v>
      </c>
      <c r="C2" s="178"/>
      <c r="D2" s="178"/>
      <c r="E2" s="178"/>
      <c r="F2" s="178"/>
      <c r="G2" s="179"/>
    </row>
    <row r="4">
      <c r="B4" s="1118" t="s">
        <v>1707</v>
      </c>
      <c r="C4" s="178"/>
      <c r="D4" s="178"/>
      <c r="E4" s="178"/>
      <c r="F4" s="178"/>
      <c r="G4" s="179"/>
    </row>
    <row r="5">
      <c r="B5" s="975" t="s">
        <v>283</v>
      </c>
      <c r="C5" s="976" t="s">
        <v>436</v>
      </c>
      <c r="D5" s="976" t="s">
        <v>285</v>
      </c>
      <c r="E5" s="976" t="s">
        <v>286</v>
      </c>
      <c r="F5" s="1119" t="s">
        <v>287</v>
      </c>
      <c r="G5" s="977" t="s">
        <v>288</v>
      </c>
      <c r="I5" s="526" t="s">
        <v>1708</v>
      </c>
    </row>
    <row r="6">
      <c r="B6" s="726" t="s">
        <v>1709</v>
      </c>
      <c r="C6" s="171">
        <f t="shared" ref="C6:C8" si="1">F6/1.1/1.05</f>
        <v>9.454545455</v>
      </c>
      <c r="D6" s="170">
        <f t="shared" ref="D6:D8" si="2">E6/C6</f>
        <v>0.155</v>
      </c>
      <c r="E6" s="171">
        <f t="shared" ref="E6:E8" si="3">F6-C6</f>
        <v>1.465454545</v>
      </c>
      <c r="F6" s="728">
        <v>10.92</v>
      </c>
      <c r="G6" s="1120">
        <f t="shared" ref="G6:G8" si="4">F6*1.22</f>
        <v>13.3224</v>
      </c>
      <c r="I6" s="526" t="s">
        <v>1710</v>
      </c>
    </row>
    <row r="7">
      <c r="B7" s="726" t="s">
        <v>1711</v>
      </c>
      <c r="C7" s="171">
        <f t="shared" si="1"/>
        <v>9.454545455</v>
      </c>
      <c r="D7" s="170">
        <f t="shared" si="2"/>
        <v>0.155</v>
      </c>
      <c r="E7" s="171">
        <f t="shared" si="3"/>
        <v>1.465454545</v>
      </c>
      <c r="F7" s="728">
        <v>10.92</v>
      </c>
      <c r="G7" s="1120">
        <f t="shared" si="4"/>
        <v>13.3224</v>
      </c>
      <c r="I7" s="526" t="s">
        <v>1712</v>
      </c>
    </row>
    <row r="8">
      <c r="B8" s="726" t="s">
        <v>1713</v>
      </c>
      <c r="C8" s="171">
        <f t="shared" si="1"/>
        <v>9.454545455</v>
      </c>
      <c r="D8" s="170">
        <f t="shared" si="2"/>
        <v>0.155</v>
      </c>
      <c r="E8" s="171">
        <f t="shared" si="3"/>
        <v>1.465454545</v>
      </c>
      <c r="F8" s="728">
        <v>10.92</v>
      </c>
      <c r="G8" s="1120">
        <f t="shared" si="4"/>
        <v>13.3224</v>
      </c>
      <c r="I8" s="526" t="s">
        <v>1714</v>
      </c>
    </row>
    <row r="10">
      <c r="B10" s="1118" t="s">
        <v>1715</v>
      </c>
      <c r="C10" s="178"/>
      <c r="D10" s="178"/>
      <c r="E10" s="178"/>
      <c r="F10" s="178"/>
      <c r="G10" s="179"/>
    </row>
    <row r="11">
      <c r="B11" s="975" t="s">
        <v>283</v>
      </c>
      <c r="C11" s="976" t="s">
        <v>436</v>
      </c>
      <c r="D11" s="976" t="s">
        <v>285</v>
      </c>
      <c r="E11" s="976" t="s">
        <v>286</v>
      </c>
      <c r="F11" s="1119" t="s">
        <v>287</v>
      </c>
      <c r="G11" s="977" t="s">
        <v>288</v>
      </c>
    </row>
    <row r="12">
      <c r="B12" s="726" t="s">
        <v>1716</v>
      </c>
      <c r="C12" s="171">
        <f t="shared" ref="C12:C14" si="5">F12/1.1/1.05</f>
        <v>15.47186147</v>
      </c>
      <c r="D12" s="170">
        <f t="shared" ref="D12:D14" si="6">E12/C12</f>
        <v>0.155</v>
      </c>
      <c r="E12" s="171">
        <f t="shared" ref="E12:E14" si="7">F12-C12</f>
        <v>2.398138528</v>
      </c>
      <c r="F12" s="728">
        <v>17.87</v>
      </c>
      <c r="G12" s="1120">
        <f t="shared" ref="G12:G14" si="8">F12*1.22</f>
        <v>21.8014</v>
      </c>
      <c r="I12" s="526" t="s">
        <v>1717</v>
      </c>
    </row>
    <row r="13">
      <c r="B13" s="726" t="s">
        <v>1718</v>
      </c>
      <c r="C13" s="171">
        <f t="shared" si="5"/>
        <v>15.47186147</v>
      </c>
      <c r="D13" s="170">
        <f t="shared" si="6"/>
        <v>0.155</v>
      </c>
      <c r="E13" s="171">
        <f t="shared" si="7"/>
        <v>2.398138528</v>
      </c>
      <c r="F13" s="728">
        <v>17.87</v>
      </c>
      <c r="G13" s="1120">
        <f t="shared" si="8"/>
        <v>21.8014</v>
      </c>
      <c r="I13" s="526" t="s">
        <v>1717</v>
      </c>
    </row>
    <row r="14">
      <c r="B14" s="686" t="s">
        <v>1719</v>
      </c>
      <c r="C14" s="1121">
        <f t="shared" si="5"/>
        <v>15.47186147</v>
      </c>
      <c r="D14" s="987">
        <f t="shared" si="6"/>
        <v>0.155</v>
      </c>
      <c r="E14" s="1121">
        <f t="shared" si="7"/>
        <v>2.398138528</v>
      </c>
      <c r="F14" s="734">
        <v>17.87</v>
      </c>
      <c r="G14" s="1122">
        <f t="shared" si="8"/>
        <v>21.8014</v>
      </c>
      <c r="I14" s="526" t="s">
        <v>1717</v>
      </c>
    </row>
    <row r="15">
      <c r="B15" s="764"/>
      <c r="C15" s="764"/>
      <c r="D15" s="764"/>
      <c r="E15" s="764"/>
      <c r="F15" s="764"/>
      <c r="G15" s="764"/>
      <c r="I15" s="526"/>
    </row>
    <row r="16">
      <c r="B16" s="1118" t="s">
        <v>1715</v>
      </c>
      <c r="C16" s="178"/>
      <c r="D16" s="178"/>
      <c r="E16" s="178"/>
      <c r="F16" s="178"/>
      <c r="G16" s="179"/>
      <c r="I16" s="526"/>
    </row>
    <row r="17">
      <c r="B17" s="726" t="s">
        <v>1720</v>
      </c>
      <c r="C17" s="171">
        <f t="shared" ref="C17:C19" si="9">F17/1.1/1.05</f>
        <v>12.58008658</v>
      </c>
      <c r="D17" s="170">
        <f t="shared" ref="D17:D19" si="10">E17/C17</f>
        <v>0.155</v>
      </c>
      <c r="E17" s="171">
        <f t="shared" ref="E17:E19" si="11">F17-C17</f>
        <v>1.94991342</v>
      </c>
      <c r="F17" s="728">
        <v>14.53</v>
      </c>
      <c r="G17" s="979">
        <f t="shared" ref="G17:G19" si="12">F17*1.22</f>
        <v>17.7266</v>
      </c>
      <c r="I17" s="526" t="s">
        <v>1717</v>
      </c>
    </row>
    <row r="18">
      <c r="B18" s="726" t="s">
        <v>1721</v>
      </c>
      <c r="C18" s="171">
        <f t="shared" si="9"/>
        <v>12.58008658</v>
      </c>
      <c r="D18" s="170">
        <f t="shared" si="10"/>
        <v>0.155</v>
      </c>
      <c r="E18" s="171">
        <f t="shared" si="11"/>
        <v>1.94991342</v>
      </c>
      <c r="F18" s="758">
        <v>14.53</v>
      </c>
      <c r="G18" s="1120">
        <f t="shared" si="12"/>
        <v>17.7266</v>
      </c>
      <c r="I18" s="526" t="s">
        <v>1717</v>
      </c>
    </row>
    <row r="19">
      <c r="B19" s="686" t="s">
        <v>1722</v>
      </c>
      <c r="C19" s="1121">
        <f t="shared" si="9"/>
        <v>12.58008658</v>
      </c>
      <c r="D19" s="987">
        <f t="shared" si="10"/>
        <v>0.155</v>
      </c>
      <c r="E19" s="1121">
        <f t="shared" si="11"/>
        <v>1.94991342</v>
      </c>
      <c r="F19" s="718">
        <v>14.53</v>
      </c>
      <c r="G19" s="1122">
        <f t="shared" si="12"/>
        <v>17.7266</v>
      </c>
      <c r="I19" s="526" t="s">
        <v>1717</v>
      </c>
    </row>
    <row r="20">
      <c r="B20" s="764"/>
      <c r="C20" s="764"/>
      <c r="D20" s="764"/>
      <c r="E20" s="764"/>
      <c r="F20" s="764"/>
      <c r="G20" s="764"/>
      <c r="I20" s="526"/>
    </row>
    <row r="21">
      <c r="B21" s="1118" t="s">
        <v>1715</v>
      </c>
      <c r="C21" s="178"/>
      <c r="D21" s="178"/>
      <c r="E21" s="178"/>
      <c r="F21" s="178"/>
      <c r="G21" s="179"/>
      <c r="I21" s="526"/>
    </row>
    <row r="22">
      <c r="B22" s="686" t="s">
        <v>1723</v>
      </c>
      <c r="C22" s="1121">
        <f>F22/1.1/1.05</f>
        <v>13.29004329</v>
      </c>
      <c r="D22" s="987">
        <f>E22/C22</f>
        <v>0.155</v>
      </c>
      <c r="E22" s="1121">
        <f>F22-C22</f>
        <v>2.05995671</v>
      </c>
      <c r="F22" s="734">
        <v>15.35</v>
      </c>
      <c r="G22" s="1123">
        <f>F22*1.22</f>
        <v>18.727</v>
      </c>
      <c r="I22" s="526" t="s">
        <v>1724</v>
      </c>
    </row>
    <row r="23">
      <c r="B23" s="764"/>
      <c r="C23" s="764"/>
      <c r="D23" s="764"/>
      <c r="E23" s="764"/>
      <c r="F23" s="764"/>
      <c r="G23" s="764"/>
      <c r="I23" s="526"/>
    </row>
    <row r="24">
      <c r="B24" s="1118" t="s">
        <v>1725</v>
      </c>
      <c r="C24" s="178"/>
      <c r="D24" s="178"/>
      <c r="E24" s="178"/>
      <c r="F24" s="178"/>
      <c r="G24" s="179"/>
      <c r="I24" s="526"/>
    </row>
    <row r="25">
      <c r="B25" s="726" t="s">
        <v>1726</v>
      </c>
      <c r="C25" s="171">
        <f>F25/1.1/1.05</f>
        <v>7.670995671</v>
      </c>
      <c r="D25" s="170">
        <f>E25/C25</f>
        <v>0.155</v>
      </c>
      <c r="E25" s="171">
        <f>F25-C25</f>
        <v>1.189004329</v>
      </c>
      <c r="F25" s="728">
        <v>8.86</v>
      </c>
      <c r="G25" s="979">
        <f>F25*1.22</f>
        <v>10.8092</v>
      </c>
      <c r="I25" s="526" t="s">
        <v>1727</v>
      </c>
    </row>
    <row r="27">
      <c r="B27" s="1118" t="s">
        <v>1728</v>
      </c>
      <c r="C27" s="178"/>
      <c r="D27" s="178"/>
      <c r="E27" s="178"/>
      <c r="F27" s="178"/>
      <c r="G27" s="179"/>
    </row>
    <row r="28">
      <c r="B28" s="975" t="s">
        <v>283</v>
      </c>
      <c r="C28" s="976" t="s">
        <v>436</v>
      </c>
      <c r="D28" s="976" t="s">
        <v>285</v>
      </c>
      <c r="E28" s="976" t="s">
        <v>286</v>
      </c>
      <c r="F28" s="1119" t="s">
        <v>287</v>
      </c>
      <c r="G28" s="977" t="s">
        <v>288</v>
      </c>
    </row>
    <row r="29">
      <c r="B29" s="726" t="s">
        <v>1729</v>
      </c>
      <c r="C29" s="171">
        <v>7.35</v>
      </c>
      <c r="D29" s="170">
        <v>0.2</v>
      </c>
      <c r="E29" s="171">
        <f>F29-C29</f>
        <v>1.47</v>
      </c>
      <c r="F29" s="728">
        <f>C29*1.2</f>
        <v>8.82</v>
      </c>
      <c r="G29" s="1120">
        <f>F29*1.22</f>
        <v>10.7604</v>
      </c>
      <c r="I29" s="526" t="s">
        <v>1730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7">
    <mergeCell ref="B2:G2"/>
    <mergeCell ref="B4:G4"/>
    <mergeCell ref="B10:G10"/>
    <mergeCell ref="B16:G16"/>
    <mergeCell ref="B21:G21"/>
    <mergeCell ref="B24:G24"/>
    <mergeCell ref="B27:G27"/>
  </mergeCells>
  <printOptions/>
  <pageMargins bottom="0.75" footer="0.0" header="0.0" left="0.25" right="0.25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15" width="0.43"/>
    <col customWidth="1" min="18" max="18" width="15.71"/>
  </cols>
  <sheetData>
    <row r="6">
      <c r="Q6" s="526" t="s">
        <v>1731</v>
      </c>
      <c r="R6" s="526" t="s">
        <v>1732</v>
      </c>
      <c r="T6" s="526" t="s">
        <v>1733</v>
      </c>
    </row>
    <row r="7">
      <c r="B7" s="1124"/>
      <c r="Q7" s="637" t="s">
        <v>1734</v>
      </c>
      <c r="R7" s="637" t="s">
        <v>1735</v>
      </c>
      <c r="S7" s="637" t="s">
        <v>1736</v>
      </c>
      <c r="T7" s="637">
        <v>35.0</v>
      </c>
    </row>
    <row r="8">
      <c r="Q8" s="637" t="s">
        <v>1737</v>
      </c>
      <c r="R8" s="637" t="s">
        <v>1738</v>
      </c>
      <c r="S8" s="637" t="s">
        <v>1736</v>
      </c>
      <c r="T8" s="637">
        <v>40.0</v>
      </c>
    </row>
    <row r="9">
      <c r="Q9" s="637" t="s">
        <v>1739</v>
      </c>
      <c r="R9" s="637" t="s">
        <v>1740</v>
      </c>
      <c r="S9" s="637" t="s">
        <v>1741</v>
      </c>
      <c r="T9" s="637">
        <v>48.0</v>
      </c>
    </row>
    <row r="26">
      <c r="B26" s="526"/>
    </row>
  </sheetData>
  <mergeCells count="2">
    <mergeCell ref="B7:O21"/>
    <mergeCell ref="B26:V5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18.14"/>
    <col customWidth="1" min="7" max="7" width="18.43"/>
  </cols>
  <sheetData>
    <row r="1">
      <c r="A1" s="526">
        <v>43.8</v>
      </c>
    </row>
    <row r="2">
      <c r="B2" s="1125" t="s">
        <v>1742</v>
      </c>
      <c r="C2" s="178"/>
      <c r="D2" s="178"/>
      <c r="E2" s="178"/>
      <c r="F2" s="178"/>
      <c r="G2" s="179"/>
    </row>
    <row r="3">
      <c r="B3" s="1126" t="s">
        <v>283</v>
      </c>
      <c r="C3" s="1127" t="s">
        <v>436</v>
      </c>
      <c r="D3" s="1127" t="s">
        <v>285</v>
      </c>
      <c r="E3" s="1127" t="s">
        <v>286</v>
      </c>
      <c r="F3" s="1128" t="s">
        <v>287</v>
      </c>
      <c r="G3" s="1129" t="s">
        <v>288</v>
      </c>
    </row>
    <row r="4">
      <c r="B4" s="168" t="s">
        <v>1743</v>
      </c>
      <c r="C4" s="171">
        <v>0.1</v>
      </c>
      <c r="D4" s="170">
        <f>E4/C4</f>
        <v>1</v>
      </c>
      <c r="E4" s="171">
        <f>F4-C4</f>
        <v>0.1</v>
      </c>
      <c r="F4" s="171">
        <f>C4*2</f>
        <v>0.2</v>
      </c>
      <c r="G4" s="1130">
        <f>F4*1.22</f>
        <v>0.244</v>
      </c>
    </row>
    <row r="6">
      <c r="B6" s="1131" t="s">
        <v>283</v>
      </c>
      <c r="C6" s="1131" t="s">
        <v>436</v>
      </c>
      <c r="D6" s="1131" t="s">
        <v>285</v>
      </c>
      <c r="E6" s="1131" t="s">
        <v>286</v>
      </c>
      <c r="F6" s="1132" t="s">
        <v>287</v>
      </c>
      <c r="G6" s="1133" t="s">
        <v>288</v>
      </c>
    </row>
    <row r="7">
      <c r="B7" s="168" t="s">
        <v>1744</v>
      </c>
      <c r="C7" s="171">
        <v>6.63</v>
      </c>
      <c r="D7" s="170">
        <f t="shared" ref="D7:D10" si="1">E7/C7</f>
        <v>0.2</v>
      </c>
      <c r="E7" s="171">
        <f t="shared" ref="E7:E10" si="2">F7-C7</f>
        <v>1.326</v>
      </c>
      <c r="F7" s="171">
        <f t="shared" ref="F7:F10" si="3">C7*1.2</f>
        <v>7.956</v>
      </c>
      <c r="G7" s="1134">
        <f t="shared" ref="G7:G10" si="4">F7*1.22</f>
        <v>9.70632</v>
      </c>
    </row>
    <row r="8">
      <c r="B8" s="168" t="s">
        <v>1745</v>
      </c>
      <c r="C8" s="171">
        <v>14.43</v>
      </c>
      <c r="D8" s="170">
        <f t="shared" si="1"/>
        <v>0.2</v>
      </c>
      <c r="E8" s="171">
        <f t="shared" si="2"/>
        <v>2.886</v>
      </c>
      <c r="F8" s="171">
        <f t="shared" si="3"/>
        <v>17.316</v>
      </c>
      <c r="G8" s="1134">
        <f t="shared" si="4"/>
        <v>21.12552</v>
      </c>
    </row>
    <row r="9">
      <c r="B9" s="168" t="s">
        <v>1746</v>
      </c>
      <c r="C9" s="171">
        <v>8.14</v>
      </c>
      <c r="D9" s="170">
        <f t="shared" si="1"/>
        <v>0.2</v>
      </c>
      <c r="E9" s="171">
        <f t="shared" si="2"/>
        <v>1.628</v>
      </c>
      <c r="F9" s="171">
        <f t="shared" si="3"/>
        <v>9.768</v>
      </c>
      <c r="G9" s="1134">
        <f t="shared" si="4"/>
        <v>11.91696</v>
      </c>
    </row>
    <row r="10">
      <c r="B10" s="168" t="s">
        <v>1747</v>
      </c>
      <c r="C10" s="171">
        <v>15.9</v>
      </c>
      <c r="D10" s="170">
        <f t="shared" si="1"/>
        <v>0.2</v>
      </c>
      <c r="E10" s="171">
        <f t="shared" si="2"/>
        <v>3.18</v>
      </c>
      <c r="F10" s="171">
        <f t="shared" si="3"/>
        <v>19.08</v>
      </c>
      <c r="G10" s="1134">
        <f t="shared" si="4"/>
        <v>23.2776</v>
      </c>
    </row>
    <row r="11">
      <c r="B11" s="168"/>
      <c r="C11" s="171"/>
      <c r="D11" s="170"/>
      <c r="E11" s="171"/>
      <c r="F11" s="171"/>
      <c r="G11" s="1134"/>
    </row>
    <row r="12">
      <c r="B12" s="168"/>
      <c r="C12" s="171"/>
      <c r="D12" s="170"/>
      <c r="E12" s="171"/>
      <c r="F12" s="171"/>
      <c r="G12" s="1134"/>
    </row>
    <row r="13">
      <c r="B13" s="168"/>
      <c r="C13" s="171"/>
      <c r="D13" s="170"/>
      <c r="E13" s="171"/>
      <c r="F13" s="171"/>
      <c r="G13" s="1134"/>
    </row>
    <row r="20" ht="15.75" customHeight="1"/>
    <row r="21" ht="24.0" customHeight="1">
      <c r="B21" s="1135" t="s">
        <v>1748</v>
      </c>
      <c r="C21" s="178"/>
      <c r="D21" s="178"/>
      <c r="E21" s="178"/>
      <c r="F21" s="178"/>
      <c r="G21" s="179"/>
    </row>
    <row r="22">
      <c r="B22" s="1126" t="s">
        <v>283</v>
      </c>
      <c r="C22" s="1127" t="s">
        <v>476</v>
      </c>
      <c r="D22" s="1127" t="s">
        <v>285</v>
      </c>
      <c r="E22" s="1127" t="s">
        <v>286</v>
      </c>
      <c r="F22" s="1128" t="s">
        <v>287</v>
      </c>
      <c r="G22" s="1129" t="s">
        <v>288</v>
      </c>
    </row>
    <row r="23">
      <c r="B23" s="168" t="s">
        <v>1749</v>
      </c>
      <c r="C23" s="171">
        <v>25.0</v>
      </c>
      <c r="D23" s="170">
        <f>E23/C23</f>
        <v>0.18</v>
      </c>
      <c r="E23" s="171">
        <f>F23-C23</f>
        <v>4.5</v>
      </c>
      <c r="F23" s="171">
        <f>C23*1.18</f>
        <v>29.5</v>
      </c>
      <c r="G23" s="1130">
        <f>F23*1.22</f>
        <v>35.99</v>
      </c>
    </row>
    <row r="25">
      <c r="B25" s="1131"/>
      <c r="C25" s="1131"/>
      <c r="D25" s="1131"/>
      <c r="E25" s="1131"/>
      <c r="F25" s="1132"/>
      <c r="G25" s="1133"/>
    </row>
    <row r="26">
      <c r="B26" s="168"/>
      <c r="C26" s="171"/>
      <c r="D26" s="170"/>
      <c r="E26" s="171"/>
      <c r="F26" s="171"/>
      <c r="G26" s="1134"/>
    </row>
    <row r="27">
      <c r="B27" s="168"/>
      <c r="C27" s="171"/>
      <c r="D27" s="170"/>
      <c r="E27" s="171"/>
      <c r="F27" s="171"/>
      <c r="G27" s="1134"/>
    </row>
    <row r="28">
      <c r="B28" s="168"/>
      <c r="C28" s="171"/>
      <c r="D28" s="170"/>
      <c r="E28" s="171"/>
      <c r="F28" s="171"/>
      <c r="G28" s="1134"/>
    </row>
    <row r="29">
      <c r="B29" s="168"/>
      <c r="C29" s="171"/>
      <c r="D29" s="170"/>
      <c r="E29" s="171"/>
      <c r="F29" s="171"/>
      <c r="G29" s="1134"/>
    </row>
    <row r="30">
      <c r="B30" s="168"/>
      <c r="C30" s="171"/>
      <c r="D30" s="170"/>
      <c r="E30" s="171"/>
      <c r="F30" s="171"/>
      <c r="G30" s="1134"/>
    </row>
    <row r="31">
      <c r="B31" s="168"/>
      <c r="C31" s="171"/>
      <c r="D31" s="170"/>
      <c r="E31" s="171"/>
      <c r="F31" s="171"/>
      <c r="G31" s="1134"/>
    </row>
    <row r="32">
      <c r="B32" s="168"/>
      <c r="C32" s="171"/>
      <c r="D32" s="170"/>
      <c r="E32" s="171"/>
      <c r="F32" s="171"/>
      <c r="G32" s="1134"/>
    </row>
  </sheetData>
  <mergeCells count="2">
    <mergeCell ref="B2:G2"/>
    <mergeCell ref="B21:G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2021-07-22T13:34:05Z</dcterms:created>
  <dc:creator>BMC</dc:creator>
</cp:coreProperties>
</file>