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xr:revisionPtr revIDLastSave="0" documentId="13_ncr:1_{D783AF2B-2179-414A-AD95-2DC520417BD3}" xr6:coauthVersionLast="47" xr6:coauthVersionMax="47" xr10:uidLastSave="{00000000-0000-0000-0000-000000000000}"/>
  <bookViews>
    <workbookView xWindow="-110" yWindow="-110" windowWidth="21820" windowHeight="14020" activeTab="3" xr2:uid="{958FF1F5-2565-42B0-AC9E-1A1F9F2239D9}"/>
  </bookViews>
  <sheets>
    <sheet name="Original" sheetId="6" r:id="rId1"/>
    <sheet name="Usuario" sheetId="9" r:id="rId2"/>
    <sheet name="Administrador" sheetId="7" r:id="rId3"/>
    <sheet name="Cálculo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6" l="1"/>
  <c r="E68" i="6"/>
  <c r="G30" i="6"/>
  <c r="H38" i="6"/>
  <c r="H36" i="6"/>
  <c r="H34" i="6"/>
  <c r="G32" i="6"/>
  <c r="G33" i="6"/>
  <c r="G34" i="6"/>
  <c r="G31" i="6"/>
  <c r="G29" i="6"/>
  <c r="E64" i="6"/>
  <c r="E54" i="6"/>
  <c r="E42" i="6"/>
  <c r="G28" i="6"/>
  <c r="G27" i="6"/>
  <c r="D5" i="6"/>
  <c r="F28" i="6"/>
  <c r="F27" i="6"/>
  <c r="G22" i="6"/>
  <c r="G20" i="6"/>
  <c r="F22" i="6"/>
  <c r="F20" i="6"/>
  <c r="E26" i="6"/>
  <c r="F26" i="6" s="1"/>
  <c r="E24" i="6"/>
  <c r="E22" i="6"/>
  <c r="F18" i="6" l="1"/>
  <c r="F25" i="6"/>
  <c r="G23" i="6"/>
  <c r="G26" i="6"/>
  <c r="G25" i="6"/>
  <c r="F24" i="6"/>
  <c r="G24" i="6"/>
  <c r="F23" i="6"/>
  <c r="I8" i="6"/>
  <c r="H8" i="6"/>
  <c r="G8" i="6"/>
  <c r="F8" i="6"/>
  <c r="I7" i="6"/>
  <c r="H7" i="6"/>
  <c r="G7" i="6"/>
  <c r="F7" i="6"/>
  <c r="I6" i="6"/>
  <c r="H6" i="6"/>
  <c r="G6" i="6"/>
  <c r="F6" i="6"/>
  <c r="I5" i="6"/>
  <c r="H5" i="6"/>
  <c r="G5" i="6"/>
  <c r="F5" i="6"/>
  <c r="I4" i="6"/>
  <c r="H4" i="6"/>
  <c r="G4" i="6"/>
  <c r="F4" i="6"/>
  <c r="I3" i="6"/>
  <c r="H3" i="6"/>
  <c r="G3" i="6"/>
  <c r="F3" i="6"/>
  <c r="I2" i="6"/>
  <c r="H2" i="6"/>
  <c r="G2" i="6"/>
  <c r="F2" i="6"/>
  <c r="E58" i="6" l="1"/>
  <c r="E40" i="6"/>
  <c r="C8" i="6"/>
  <c r="D8" i="6" s="1"/>
  <c r="C4" i="6"/>
  <c r="C6" i="6"/>
  <c r="D6" i="6" s="1"/>
  <c r="C7" i="6"/>
  <c r="D7" i="6" s="1"/>
  <c r="C2" i="6"/>
  <c r="C3" i="6"/>
  <c r="C5" i="6"/>
  <c r="G12" i="6" l="1"/>
  <c r="G18" i="6"/>
  <c r="G14" i="6"/>
  <c r="G16" i="6"/>
  <c r="D2" i="6"/>
  <c r="D3" i="6"/>
  <c r="D4" i="6"/>
  <c r="H16" i="6" l="1"/>
  <c r="E36" i="6"/>
  <c r="E38" i="6" s="1"/>
  <c r="E44" i="6" l="1"/>
  <c r="E46" i="6" l="1"/>
  <c r="F16" i="6"/>
  <c r="F12" i="6"/>
  <c r="E34" i="6" s="1"/>
  <c r="F14" i="6"/>
  <c r="B45" i="6" l="1"/>
  <c r="B47" i="6" s="1"/>
  <c r="B43" i="6" l="1"/>
</calcChain>
</file>

<file path=xl/sharedStrings.xml><?xml version="1.0" encoding="utf-8"?>
<sst xmlns="http://schemas.openxmlformats.org/spreadsheetml/2006/main" count="153" uniqueCount="137">
  <si>
    <t>Indice aprov.</t>
  </si>
  <si>
    <t>Dólar</t>
  </si>
  <si>
    <t>Cantidad</t>
  </si>
  <si>
    <t>Total sin IVA</t>
  </si>
  <si>
    <t>Unitario sin IVA</t>
  </si>
  <si>
    <t>Cajas estandar a medida</t>
  </si>
  <si>
    <t>Tipo de carton</t>
  </si>
  <si>
    <t>Marron-marron</t>
  </si>
  <si>
    <t>Blanco-marron</t>
  </si>
  <si>
    <t>Blanco HQ-marron</t>
  </si>
  <si>
    <t>Ancho consumo</t>
  </si>
  <si>
    <t>Impresión</t>
  </si>
  <si>
    <t>Laminado</t>
  </si>
  <si>
    <t>Total IVA incluido</t>
  </si>
  <si>
    <t>Tipo de caja</t>
  </si>
  <si>
    <t>Tipo de medida</t>
  </si>
  <si>
    <t>Exedente en largo</t>
  </si>
  <si>
    <t>Aprovechamiento</t>
  </si>
  <si>
    <t>Unidades en ancho</t>
  </si>
  <si>
    <t>Ancho util</t>
  </si>
  <si>
    <t>Referencia</t>
  </si>
  <si>
    <t>U$S base</t>
  </si>
  <si>
    <t>U$S base sin impresión</t>
  </si>
  <si>
    <t>U$S base impresión logo</t>
  </si>
  <si>
    <t>U$S base impresión total</t>
  </si>
  <si>
    <t>Consumo total en m2</t>
  </si>
  <si>
    <t>U$S pegado de caja m2</t>
  </si>
  <si>
    <t>U$S pegado de caja</t>
  </si>
  <si>
    <t>Largo (cm)</t>
  </si>
  <si>
    <t>Ancho (cm)</t>
  </si>
  <si>
    <t>Alto (cm)</t>
  </si>
  <si>
    <t>Largo corregido</t>
  </si>
  <si>
    <t>Ancho corregido</t>
  </si>
  <si>
    <t>Alto corregido</t>
  </si>
  <si>
    <t>Indice dto. por volumen</t>
  </si>
  <si>
    <t>Excedente en ancho</t>
  </si>
  <si>
    <t>Consumo m2/caja</t>
  </si>
  <si>
    <t>U$S Carton/m2</t>
  </si>
  <si>
    <t>U$S laminado/m2</t>
  </si>
  <si>
    <t>U$S sin impresión/m2</t>
  </si>
  <si>
    <t>U$S impresión logo/m2</t>
  </si>
  <si>
    <t>U$S impresión total/m2</t>
  </si>
  <si>
    <t>U$S lam/m2</t>
  </si>
  <si>
    <t>U$S impresion/m2</t>
  </si>
  <si>
    <t>Costo U$S marron-marron m2</t>
  </si>
  <si>
    <t>Costo U$S blanco-marron m2</t>
  </si>
  <si>
    <t>Costo U$S blan HQ-marron m2</t>
  </si>
  <si>
    <t>Ancho de onda F201</t>
  </si>
  <si>
    <t>Ancho de onda F200</t>
  </si>
  <si>
    <t>Ancho de onda F203</t>
  </si>
  <si>
    <t>Ancho de onda F426</t>
  </si>
  <si>
    <t>Ancho de onda F427</t>
  </si>
  <si>
    <t>Ancho de onda F215</t>
  </si>
  <si>
    <t>Largo de onda F201</t>
  </si>
  <si>
    <t>Largo de onda F200</t>
  </si>
  <si>
    <t>Largo de onda F203</t>
  </si>
  <si>
    <t>Largo de onda F215</t>
  </si>
  <si>
    <t>Largo de onda F426</t>
  </si>
  <si>
    <t>Largo de onda F427</t>
  </si>
  <si>
    <t>Largo de onda</t>
  </si>
  <si>
    <t>Troquel</t>
  </si>
  <si>
    <t>U$S Corte digital</t>
  </si>
  <si>
    <t>U$S hora corte Haire</t>
  </si>
  <si>
    <t>U$S corte Haire</t>
  </si>
  <si>
    <t>U$S por m2 placa troquel</t>
  </si>
  <si>
    <t>U$S por metro de cuchilla</t>
  </si>
  <si>
    <t>Metros de cuchilla</t>
  </si>
  <si>
    <t>Costo troquel $</t>
  </si>
  <si>
    <t>Margen F201</t>
  </si>
  <si>
    <t>Margen F200</t>
  </si>
  <si>
    <t>Margen F203</t>
  </si>
  <si>
    <t>Margen F215</t>
  </si>
  <si>
    <t>Margen F426</t>
  </si>
  <si>
    <t>Margen F427</t>
  </si>
  <si>
    <t>U$S marron-marron m2</t>
  </si>
  <si>
    <t>U$S blanco-marron m2</t>
  </si>
  <si>
    <t>U$S blanco HQ-marron m2</t>
  </si>
  <si>
    <t>U$S corte Aopack</t>
  </si>
  <si>
    <t>U$S por hora corte Aopack</t>
  </si>
  <si>
    <t>USS setup corte digital</t>
  </si>
  <si>
    <t>U$S por hora corte digital</t>
  </si>
  <si>
    <t>Ancho de solapa</t>
  </si>
  <si>
    <t>Tipo de cartón</t>
  </si>
  <si>
    <t>Marrón-marrón</t>
  </si>
  <si>
    <t>Blanco-marrón</t>
  </si>
  <si>
    <t>Blanco HQ-marrón</t>
  </si>
  <si>
    <t>F201</t>
  </si>
  <si>
    <t>F200</t>
  </si>
  <si>
    <t>F203</t>
  </si>
  <si>
    <t>F215</t>
  </si>
  <si>
    <t>F426</t>
  </si>
  <si>
    <t>F427</t>
  </si>
  <si>
    <t>Exterior</t>
  </si>
  <si>
    <t>Interior</t>
  </si>
  <si>
    <t>Sin impresión</t>
  </si>
  <si>
    <t>Impresión de logo</t>
  </si>
  <si>
    <t>Impresión total</t>
  </si>
  <si>
    <t>Si</t>
  </si>
  <si>
    <t>No</t>
  </si>
  <si>
    <t>Ancho</t>
  </si>
  <si>
    <t>Largo</t>
  </si>
  <si>
    <t>Alto</t>
  </si>
  <si>
    <t>DATOS INGRESADOS POR EL USUARIO</t>
  </si>
  <si>
    <t>Troqueles ?</t>
  </si>
  <si>
    <t>Valor del dólar</t>
  </si>
  <si>
    <t>Anchos útiles para cada tipo de cartón</t>
  </si>
  <si>
    <t>Costo en U$S por m2 para cada tipo de cartón</t>
  </si>
  <si>
    <t>Indice de descuento según volumen de m2</t>
  </si>
  <si>
    <t>Excedente de ancho</t>
  </si>
  <si>
    <t>Excedente de largo</t>
  </si>
  <si>
    <t>U$S base impresión de logo</t>
  </si>
  <si>
    <t>U$S por m2 para cada tipo de cartón</t>
  </si>
  <si>
    <t>U$S por m2 sin impresión</t>
  </si>
  <si>
    <t>U$S por m2 impresión de logo</t>
  </si>
  <si>
    <t>U$S por m2 impresión total</t>
  </si>
  <si>
    <t>U$S por m2 de solapa de pegado</t>
  </si>
  <si>
    <t>U$S por hora de corte Aopack</t>
  </si>
  <si>
    <t>U$S por hora de corte Haire</t>
  </si>
  <si>
    <t>U$S setup corte Aopack</t>
  </si>
  <si>
    <t>U$S setup corte Haire</t>
  </si>
  <si>
    <t>U$S setup corte digital</t>
  </si>
  <si>
    <t>U$S por hora de corte digital</t>
  </si>
  <si>
    <t>U$S por m2 de placa de troquel</t>
  </si>
  <si>
    <t>U$S por metro lineal de cuchilla</t>
  </si>
  <si>
    <t>Margen para cada tipo de caja</t>
  </si>
  <si>
    <t>DATOS DEL SISTEMA</t>
  </si>
  <si>
    <t>Ancho de onda para cada tipo de caja</t>
  </si>
  <si>
    <t>Largo de onda para cada tipo de caja</t>
  </si>
  <si>
    <t>Ancho de onda</t>
  </si>
  <si>
    <t>DATOS CALCULADOS DEL SISTEMA</t>
  </si>
  <si>
    <t>Ancho de solapa de pegado</t>
  </si>
  <si>
    <t>Consumo en m2 por caja</t>
  </si>
  <si>
    <t>U$S de corte Aopack</t>
  </si>
  <si>
    <t>U$S de corte Haire</t>
  </si>
  <si>
    <t>U$S de corte digital</t>
  </si>
  <si>
    <t>U$S de costo de troquel</t>
  </si>
  <si>
    <t>Precio en $ total sin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</si>
</sst>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Border="1"/>
    <xf numFmtId="2" fontId="0" fillId="0" borderId="0" xfId="0" applyNumberFormat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2" fontId="0" fillId="0" borderId="1" xfId="0" applyNumberFormat="1" applyBorder="1" applyAlignment="1" applyProtection="1">
      <alignment horizontal="center" vertical="center"/>
      <protection hidden="1"/>
    </xf>
    <xf numFmtId="164" fontId="0" fillId="0" borderId="1" xfId="0" applyNumberFormat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0" borderId="2" xfId="0" applyFont="1" applyBorder="1" applyAlignment="1" applyProtection="1">
      <alignment horizontal="center" vertical="center"/>
      <protection hidden="1"/>
    </xf>
    <xf numFmtId="0" fontId="0" fillId="0" borderId="3" xfId="0" applyFont="1" applyBorder="1" applyAlignment="1" applyProtection="1">
      <alignment horizontal="center" vertical="center"/>
      <protection hidden="1"/>
    </xf>
    <xf numFmtId="2" fontId="0" fillId="0" borderId="3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3" fillId="0" borderId="2" xfId="0" applyFont="1" applyBorder="1" applyProtection="1"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2" fontId="0" fillId="0" borderId="3" xfId="0" applyNumberFormat="1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1" xfId="0" applyFont="1" applyBorder="1" applyAlignment="1" applyProtection="1">
      <alignment horizontal="left" vertical="top"/>
      <protection hidden="1"/>
    </xf>
    <xf numFmtId="0" fontId="0" fillId="0" borderId="0" xfId="0" applyFont="1" applyBorder="1" applyAlignment="1" applyProtection="1">
      <alignment horizontal="left" vertical="top"/>
      <protection locked="0" hidden="1"/>
    </xf>
    <xf numFmtId="0" fontId="0" fillId="0" borderId="0" xfId="0" applyFont="1" applyBorder="1" applyAlignment="1" applyProtection="1">
      <alignment horizontal="center" vertical="center"/>
      <protection locked="0" hidden="1"/>
    </xf>
    <xf numFmtId="0" fontId="0" fillId="0" borderId="0" xfId="0" applyProtection="1">
      <protection locked="0" hidden="1"/>
    </xf>
    <xf numFmtId="0" fontId="0" fillId="0" borderId="1" xfId="0" applyBorder="1" applyProtection="1">
      <protection hidden="1"/>
    </xf>
    <xf numFmtId="0" fontId="0" fillId="3" borderId="1" xfId="0" applyFont="1" applyFill="1" applyBorder="1" applyAlignment="1" applyProtection="1">
      <alignment horizontal="left" vertical="top"/>
      <protection hidden="1"/>
    </xf>
    <xf numFmtId="2" fontId="0" fillId="3" borderId="1" xfId="0" applyNumberFormat="1" applyFont="1" applyFill="1" applyBorder="1" applyAlignment="1" applyProtection="1">
      <alignment horizontal="center" vertical="center"/>
      <protection hidden="1"/>
    </xf>
    <xf numFmtId="0" fontId="0" fillId="4" borderId="1" xfId="0" applyFont="1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4" xfId="0" applyFont="1" applyBorder="1" applyAlignment="1" applyProtection="1">
      <alignment horizontal="center" vertical="center"/>
      <protection hidden="1"/>
    </xf>
    <xf numFmtId="0" fontId="0" fillId="0" borderId="7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center" vertical="center"/>
      <protection hidden="1"/>
    </xf>
    <xf numFmtId="1" fontId="0" fillId="0" borderId="8" xfId="0" applyNumberFormat="1" applyFont="1" applyBorder="1" applyAlignment="1" applyProtection="1">
      <alignment horizontal="center" vertical="center"/>
      <protection hidden="1"/>
    </xf>
    <xf numFmtId="0" fontId="0" fillId="0" borderId="10" xfId="0" applyFont="1" applyBorder="1" applyAlignment="1" applyProtection="1">
      <alignment horizontal="center" vertical="center"/>
      <protection hidden="1"/>
    </xf>
    <xf numFmtId="2" fontId="0" fillId="2" borderId="3" xfId="0" applyNumberFormat="1" applyFont="1" applyFill="1" applyBorder="1" applyAlignment="1" applyProtection="1">
      <alignment horizontal="center" vertical="center"/>
      <protection hidden="1"/>
    </xf>
    <xf numFmtId="1" fontId="4" fillId="0" borderId="1" xfId="0" applyNumberFormat="1" applyFont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0" fillId="0" borderId="11" xfId="0" applyFont="1" applyBorder="1" applyAlignment="1" applyProtection="1">
      <alignment horizontal="center" vertical="center"/>
      <protection hidden="1"/>
    </xf>
    <xf numFmtId="2" fontId="0" fillId="0" borderId="6" xfId="0" applyNumberFormat="1" applyBorder="1" applyAlignment="1" applyProtection="1">
      <alignment horizontal="center" vertical="center"/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2" fontId="0" fillId="0" borderId="6" xfId="0" applyNumberFormat="1" applyFont="1" applyBorder="1" applyAlignment="1" applyProtection="1">
      <alignment horizontal="center" vertical="center"/>
      <protection hidden="1"/>
    </xf>
    <xf numFmtId="2" fontId="4" fillId="0" borderId="6" xfId="0" applyNumberFormat="1" applyFont="1" applyBorder="1" applyAlignment="1" applyProtection="1">
      <alignment horizontal="center" vertical="center"/>
      <protection hidden="1"/>
    </xf>
    <xf numFmtId="0" fontId="0" fillId="0" borderId="6" xfId="0" applyFont="1" applyBorder="1" applyAlignment="1" applyProtection="1">
      <alignment horizontal="center" vertical="center"/>
      <protection hidden="1"/>
    </xf>
    <xf numFmtId="0" fontId="0" fillId="0" borderId="13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 applyProtection="1">
      <alignment horizontal="center" vertical="center"/>
      <protection hidden="1"/>
    </xf>
    <xf numFmtId="0" fontId="0" fillId="0" borderId="16" xfId="0" applyFont="1" applyBorder="1" applyAlignment="1" applyProtection="1">
      <alignment horizontal="center" vertical="center"/>
      <protection hidden="1"/>
    </xf>
    <xf numFmtId="0" fontId="0" fillId="0" borderId="17" xfId="0" applyFill="1" applyBorder="1" applyAlignment="1" applyProtection="1">
      <alignment horizontal="center" vertical="center"/>
      <protection hidden="1"/>
    </xf>
    <xf numFmtId="0" fontId="0" fillId="2" borderId="18" xfId="0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center" vertical="center"/>
      <protection hidden="1"/>
    </xf>
    <xf numFmtId="2" fontId="0" fillId="0" borderId="15" xfId="0" applyNumberFormat="1" applyFont="1" applyBorder="1" applyAlignment="1" applyProtection="1">
      <alignment horizontal="center" vertical="center"/>
      <protection hidden="1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3" fillId="0" borderId="17" xfId="0" applyFont="1" applyBorder="1" applyAlignment="1" applyProtection="1">
      <alignment horizontal="center" vertical="center"/>
      <protection hidden="1"/>
    </xf>
    <xf numFmtId="2" fontId="0" fillId="0" borderId="4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fmlaLink="$E$20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firstButton="1" fmlaLink="$E$14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$E$12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CheckBox" fmlaLink="$E$56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firstButton="1" fmlaLink="$E$18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fmlaLink="$E$16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12</xdr:row>
          <xdr:rowOff>19050</xdr:rowOff>
        </xdr:from>
        <xdr:to>
          <xdr:col>2</xdr:col>
          <xdr:colOff>1200150</xdr:colOff>
          <xdr:row>15</xdr:row>
          <xdr:rowOff>114300</xdr:rowOff>
        </xdr:to>
        <xdr:sp macro="" textlink="">
          <xdr:nvSpPr>
            <xdr:cNvPr id="3073" name="Group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CARTON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12</xdr:row>
          <xdr:rowOff>139700</xdr:rowOff>
        </xdr:from>
        <xdr:to>
          <xdr:col>0</xdr:col>
          <xdr:colOff>1136650</xdr:colOff>
          <xdr:row>14</xdr:row>
          <xdr:rowOff>107950</xdr:rowOff>
        </xdr:to>
        <xdr:sp macro="" textlink="">
          <xdr:nvSpPr>
            <xdr:cNvPr id="3074" name="Option 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Marron kraft- marron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12</xdr:row>
          <xdr:rowOff>177800</xdr:rowOff>
        </xdr:from>
        <xdr:to>
          <xdr:col>1</xdr:col>
          <xdr:colOff>1104900</xdr:colOff>
          <xdr:row>14</xdr:row>
          <xdr:rowOff>101600</xdr:rowOff>
        </xdr:to>
        <xdr:sp macro="" textlink="">
          <xdr:nvSpPr>
            <xdr:cNvPr id="3075" name="Option 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Blanco-marron kraft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33</xdr:row>
          <xdr:rowOff>38100</xdr:rowOff>
        </xdr:from>
        <xdr:to>
          <xdr:col>0</xdr:col>
          <xdr:colOff>1136650</xdr:colOff>
          <xdr:row>35</xdr:row>
          <xdr:rowOff>0</xdr:rowOff>
        </xdr:to>
        <xdr:sp macro="" textlink="">
          <xdr:nvSpPr>
            <xdr:cNvPr id="3078" name="Option 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Sin impresion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33</xdr:row>
          <xdr:rowOff>31750</xdr:rowOff>
        </xdr:from>
        <xdr:to>
          <xdr:col>1</xdr:col>
          <xdr:colOff>1079500</xdr:colOff>
          <xdr:row>34</xdr:row>
          <xdr:rowOff>177800</xdr:rowOff>
        </xdr:to>
        <xdr:sp macro="" textlink="">
          <xdr:nvSpPr>
            <xdr:cNvPr id="3079" name="Option 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Impresión de logo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25</xdr:row>
          <xdr:rowOff>31750</xdr:rowOff>
        </xdr:from>
        <xdr:to>
          <xdr:col>1</xdr:col>
          <xdr:colOff>501650</xdr:colOff>
          <xdr:row>26</xdr:row>
          <xdr:rowOff>177800</xdr:rowOff>
        </xdr:to>
        <xdr:sp macro="" textlink="">
          <xdr:nvSpPr>
            <xdr:cNvPr id="3080" name="Option 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Medida exterior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717550</xdr:colOff>
          <xdr:row>25</xdr:row>
          <xdr:rowOff>12700</xdr:rowOff>
        </xdr:from>
        <xdr:to>
          <xdr:col>2</xdr:col>
          <xdr:colOff>882650</xdr:colOff>
          <xdr:row>26</xdr:row>
          <xdr:rowOff>165100</xdr:rowOff>
        </xdr:to>
        <xdr:sp macro="" textlink="">
          <xdr:nvSpPr>
            <xdr:cNvPr id="3081" name="Option 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Medida interior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</xdr:colOff>
          <xdr:row>24</xdr:row>
          <xdr:rowOff>127000</xdr:rowOff>
        </xdr:from>
        <xdr:to>
          <xdr:col>2</xdr:col>
          <xdr:colOff>1162050</xdr:colOff>
          <xdr:row>27</xdr:row>
          <xdr:rowOff>88900</xdr:rowOff>
        </xdr:to>
        <xdr:sp macro="" textlink="">
          <xdr:nvSpPr>
            <xdr:cNvPr id="3082" name="Group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MEDIDA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37</xdr:row>
          <xdr:rowOff>44450</xdr:rowOff>
        </xdr:from>
        <xdr:to>
          <xdr:col>2</xdr:col>
          <xdr:colOff>1003300</xdr:colOff>
          <xdr:row>40</xdr:row>
          <xdr:rowOff>133350</xdr:rowOff>
        </xdr:to>
        <xdr:sp macro="" textlink="">
          <xdr:nvSpPr>
            <xdr:cNvPr id="3083" name="Group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LAMINADO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539750</xdr:colOff>
      <xdr:row>37</xdr:row>
      <xdr:rowOff>69850</xdr:rowOff>
    </xdr:from>
    <xdr:to>
      <xdr:col>2</xdr:col>
      <xdr:colOff>1123950</xdr:colOff>
      <xdr:row>40</xdr:row>
      <xdr:rowOff>127000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71650" y="6883400"/>
          <a:ext cx="18161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La opcion de laminado existe</a:t>
          </a:r>
          <a:r>
            <a:rPr lang="en-GB" sz="1100" baseline="0"/>
            <a:t> para el caso de papel blanco calidad</a:t>
          </a:r>
        </a:p>
        <a:p>
          <a:r>
            <a:rPr lang="en-GB" sz="1100" baseline="0"/>
            <a:t>.</a:t>
          </a:r>
        </a:p>
        <a:p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38</xdr:row>
          <xdr:rowOff>50800</xdr:rowOff>
        </xdr:from>
        <xdr:to>
          <xdr:col>1</xdr:col>
          <xdr:colOff>419100</xdr:colOff>
          <xdr:row>39</xdr:row>
          <xdr:rowOff>133350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Marque  en caso afirmativo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17</xdr:row>
          <xdr:rowOff>120650</xdr:rowOff>
        </xdr:from>
        <xdr:to>
          <xdr:col>3</xdr:col>
          <xdr:colOff>1174750</xdr:colOff>
          <xdr:row>20</xdr:row>
          <xdr:rowOff>146050</xdr:rowOff>
        </xdr:to>
        <xdr:sp macro="" textlink="">
          <xdr:nvSpPr>
            <xdr:cNvPr id="3086" name="Group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TIPO DE CAJA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32</xdr:row>
          <xdr:rowOff>19050</xdr:rowOff>
        </xdr:from>
        <xdr:to>
          <xdr:col>2</xdr:col>
          <xdr:colOff>1149350</xdr:colOff>
          <xdr:row>35</xdr:row>
          <xdr:rowOff>165100</xdr:rowOff>
        </xdr:to>
        <xdr:sp macro="" textlink="">
          <xdr:nvSpPr>
            <xdr:cNvPr id="3088" name="Group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IMPRESION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1200150</xdr:colOff>
          <xdr:row>33</xdr:row>
          <xdr:rowOff>25400</xdr:rowOff>
        </xdr:from>
        <xdr:to>
          <xdr:col>2</xdr:col>
          <xdr:colOff>1060450</xdr:colOff>
          <xdr:row>34</xdr:row>
          <xdr:rowOff>171450</xdr:rowOff>
        </xdr:to>
        <xdr:sp macro="" textlink="">
          <xdr:nvSpPr>
            <xdr:cNvPr id="3089" name="Option 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Impresión total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18</xdr:row>
          <xdr:rowOff>158750</xdr:rowOff>
        </xdr:from>
        <xdr:to>
          <xdr:col>0</xdr:col>
          <xdr:colOff>882650</xdr:colOff>
          <xdr:row>20</xdr:row>
          <xdr:rowOff>6350</xdr:rowOff>
        </xdr:to>
        <xdr:sp macro="" textlink="">
          <xdr:nvSpPr>
            <xdr:cNvPr id="3107" name="Option 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F201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857250</xdr:colOff>
          <xdr:row>18</xdr:row>
          <xdr:rowOff>127000</xdr:rowOff>
        </xdr:from>
        <xdr:to>
          <xdr:col>1</xdr:col>
          <xdr:colOff>381000</xdr:colOff>
          <xdr:row>20</xdr:row>
          <xdr:rowOff>19050</xdr:rowOff>
        </xdr:to>
        <xdr:sp macro="" textlink="">
          <xdr:nvSpPr>
            <xdr:cNvPr id="3108" name="Option Button 36" descr="F200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F200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</xdr:row>
          <xdr:rowOff>158750</xdr:rowOff>
        </xdr:from>
        <xdr:to>
          <xdr:col>1</xdr:col>
          <xdr:colOff>1073150</xdr:colOff>
          <xdr:row>19</xdr:row>
          <xdr:rowOff>171450</xdr:rowOff>
        </xdr:to>
        <xdr:sp macro="" textlink="">
          <xdr:nvSpPr>
            <xdr:cNvPr id="3109" name="Option 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F203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1212850</xdr:colOff>
          <xdr:row>18</xdr:row>
          <xdr:rowOff>139700</xdr:rowOff>
        </xdr:from>
        <xdr:to>
          <xdr:col>2</xdr:col>
          <xdr:colOff>584200</xdr:colOff>
          <xdr:row>19</xdr:row>
          <xdr:rowOff>171450</xdr:rowOff>
        </xdr:to>
        <xdr:sp macro="" textlink="">
          <xdr:nvSpPr>
            <xdr:cNvPr id="3110" name="Option 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F215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552450</xdr:colOff>
          <xdr:row>18</xdr:row>
          <xdr:rowOff>171450</xdr:rowOff>
        </xdr:from>
        <xdr:to>
          <xdr:col>2</xdr:col>
          <xdr:colOff>1193800</xdr:colOff>
          <xdr:row>19</xdr:row>
          <xdr:rowOff>146050</xdr:rowOff>
        </xdr:to>
        <xdr:sp macro="" textlink="">
          <xdr:nvSpPr>
            <xdr:cNvPr id="3111" name="Option 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F426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25400</xdr:colOff>
          <xdr:row>19</xdr:row>
          <xdr:rowOff>0</xdr:rowOff>
        </xdr:from>
        <xdr:to>
          <xdr:col>3</xdr:col>
          <xdr:colOff>812800</xdr:colOff>
          <xdr:row>19</xdr:row>
          <xdr:rowOff>158750</xdr:rowOff>
        </xdr:to>
        <xdr:sp macro="" textlink="">
          <xdr:nvSpPr>
            <xdr:cNvPr id="3113" name="Option 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F427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1250950</xdr:colOff>
          <xdr:row>13</xdr:row>
          <xdr:rowOff>25400</xdr:rowOff>
        </xdr:from>
        <xdr:to>
          <xdr:col>2</xdr:col>
          <xdr:colOff>1003300</xdr:colOff>
          <xdr:row>14</xdr:row>
          <xdr:rowOff>133350</xdr:rowOff>
        </xdr:to>
        <xdr:sp macro="" textlink="">
          <xdr:nvSpPr>
            <xdr:cNvPr id="3115" name="Option 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Blanco-marron kraft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501650</xdr:colOff>
          <xdr:row>42</xdr:row>
          <xdr:rowOff>114300</xdr:rowOff>
        </xdr:from>
        <xdr:to>
          <xdr:col>3</xdr:col>
          <xdr:colOff>361950</xdr:colOff>
          <xdr:row>46</xdr:row>
          <xdr:rowOff>12700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HAY TROQUEL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7F44-FA35-4FDA-8A18-3D0E5245A932}">
  <dimension ref="A1:K70"/>
  <sheetViews>
    <sheetView zoomScale="82" zoomScaleNormal="82" workbookViewId="0">
      <selection activeCell="F11" sqref="F11"/>
    </sheetView>
  </sheetViews>
  <sheetFormatPr baseColWidth="10" defaultRowHeight="14.5" x14ac:dyDescent="0.35"/>
  <cols>
    <col min="1" max="1" width="17.6328125" customWidth="1"/>
    <col min="2" max="2" width="18.453125" customWidth="1"/>
    <col min="3" max="4" width="17.6328125" customWidth="1"/>
    <col min="5" max="5" width="23.90625" customWidth="1"/>
    <col min="6" max="6" width="18.7265625" customWidth="1"/>
    <col min="7" max="7" width="19.36328125" customWidth="1"/>
    <col min="8" max="8" width="21.453125" customWidth="1"/>
    <col min="9" max="9" width="18.36328125" customWidth="1"/>
    <col min="10" max="10" width="18.6328125" customWidth="1"/>
    <col min="11" max="11" width="17.26953125" customWidth="1"/>
  </cols>
  <sheetData>
    <row r="1" spans="1:11" x14ac:dyDescent="0.35">
      <c r="A1" s="13" t="s">
        <v>20</v>
      </c>
      <c r="B1" s="13" t="s">
        <v>19</v>
      </c>
      <c r="C1" s="13" t="s">
        <v>18</v>
      </c>
      <c r="D1" s="13" t="s">
        <v>17</v>
      </c>
      <c r="E1" s="13" t="s">
        <v>6</v>
      </c>
      <c r="F1" s="13" t="s">
        <v>37</v>
      </c>
      <c r="G1" s="13" t="s">
        <v>43</v>
      </c>
      <c r="H1" s="13" t="s">
        <v>42</v>
      </c>
      <c r="I1" s="13" t="s">
        <v>21</v>
      </c>
      <c r="J1" s="13"/>
      <c r="K1" s="13"/>
    </row>
    <row r="2" spans="1:11" x14ac:dyDescent="0.35">
      <c r="A2" s="14" t="s">
        <v>7</v>
      </c>
      <c r="B2" s="14">
        <v>109</v>
      </c>
      <c r="C2" s="14">
        <f>INT((B2)/MAX($F$23:$F$28))</f>
        <v>2</v>
      </c>
      <c r="D2" s="15">
        <f>IF(E2=$E$12,C2*MAX($F$23:$F$28)/B2,0)</f>
        <v>0.80366972477064225</v>
      </c>
      <c r="E2" s="14">
        <v>1</v>
      </c>
      <c r="F2" s="16">
        <f>IF(E2=$E$12,$H$34,0)</f>
        <v>0.76</v>
      </c>
      <c r="G2" s="14">
        <f>IF($E$18=1,$E$28,IF($E$18=2,$E$30,IF($E$18=3,$E$32)))</f>
        <v>0</v>
      </c>
      <c r="H2" s="14">
        <f t="shared" ref="H2:H8" si="0">IF($E$20=TRUE,$H$30,0)</f>
        <v>0</v>
      </c>
      <c r="I2" s="14">
        <f t="shared" ref="I2:I8" si="1">IF($E$18=1,$H$24,IF($E$18=2,$H$26,IF($E$18=3,$H$28)))</f>
        <v>3</v>
      </c>
    </row>
    <row r="3" spans="1:11" x14ac:dyDescent="0.35">
      <c r="A3" s="14" t="s">
        <v>7</v>
      </c>
      <c r="B3" s="14">
        <v>134</v>
      </c>
      <c r="C3" s="14">
        <f t="shared" ref="C3:C8" si="2">INT((B3)/MAX($F$23:$F$28))</f>
        <v>3</v>
      </c>
      <c r="D3" s="15">
        <f t="shared" ref="D3:D8" si="3">IF(E3=$E$12,C3*MAX($F$23:$F$28)/B3,0)</f>
        <v>0.98059701492537321</v>
      </c>
      <c r="E3" s="14">
        <v>1</v>
      </c>
      <c r="F3" s="16">
        <f>IF(E3=$E$12,$H$34,0)</f>
        <v>0.76</v>
      </c>
      <c r="G3" s="14">
        <f t="shared" ref="G3:G8" si="4">IF($E$18=1,$E$28,IF($E$18=2,$E$30,IF($E$18=3,$E$32)))</f>
        <v>0</v>
      </c>
      <c r="H3" s="14">
        <f t="shared" si="0"/>
        <v>0</v>
      </c>
      <c r="I3" s="14">
        <f t="shared" si="1"/>
        <v>3</v>
      </c>
    </row>
    <row r="4" spans="1:11" x14ac:dyDescent="0.35">
      <c r="A4" s="14" t="s">
        <v>7</v>
      </c>
      <c r="B4" s="14">
        <v>159</v>
      </c>
      <c r="C4" s="14">
        <f t="shared" si="2"/>
        <v>3</v>
      </c>
      <c r="D4" s="15">
        <f t="shared" si="3"/>
        <v>0.82641509433962268</v>
      </c>
      <c r="E4" s="14">
        <v>1</v>
      </c>
      <c r="F4" s="16">
        <f>IF(E4=$E$12,$H$34,0)</f>
        <v>0.76</v>
      </c>
      <c r="G4" s="14">
        <f t="shared" si="4"/>
        <v>0</v>
      </c>
      <c r="H4" s="14">
        <f t="shared" si="0"/>
        <v>0</v>
      </c>
      <c r="I4" s="14">
        <f t="shared" si="1"/>
        <v>3</v>
      </c>
    </row>
    <row r="5" spans="1:11" x14ac:dyDescent="0.35">
      <c r="A5" s="14" t="s">
        <v>8</v>
      </c>
      <c r="B5" s="14">
        <v>107</v>
      </c>
      <c r="C5" s="14">
        <f t="shared" si="2"/>
        <v>2</v>
      </c>
      <c r="D5" s="15">
        <f t="shared" si="3"/>
        <v>0</v>
      </c>
      <c r="E5" s="14">
        <v>2</v>
      </c>
      <c r="F5" s="16">
        <f>IF(E5=$E$12,$H$36,0)</f>
        <v>0</v>
      </c>
      <c r="G5" s="14">
        <f t="shared" si="4"/>
        <v>0</v>
      </c>
      <c r="H5" s="14">
        <f t="shared" si="0"/>
        <v>0</v>
      </c>
      <c r="I5" s="14">
        <f t="shared" si="1"/>
        <v>3</v>
      </c>
    </row>
    <row r="6" spans="1:11" x14ac:dyDescent="0.35">
      <c r="A6" s="14" t="s">
        <v>9</v>
      </c>
      <c r="B6" s="14">
        <v>109</v>
      </c>
      <c r="C6" s="14">
        <f t="shared" si="2"/>
        <v>2</v>
      </c>
      <c r="D6" s="15">
        <f t="shared" si="3"/>
        <v>0</v>
      </c>
      <c r="E6" s="14">
        <v>3</v>
      </c>
      <c r="F6" s="16">
        <f>IF(E6=$E$12,$H$38,0)</f>
        <v>0</v>
      </c>
      <c r="G6" s="14">
        <f t="shared" si="4"/>
        <v>0</v>
      </c>
      <c r="H6" s="14">
        <f t="shared" si="0"/>
        <v>0</v>
      </c>
      <c r="I6" s="14">
        <f t="shared" si="1"/>
        <v>3</v>
      </c>
    </row>
    <row r="7" spans="1:11" x14ac:dyDescent="0.35">
      <c r="A7" s="14" t="s">
        <v>9</v>
      </c>
      <c r="B7" s="14">
        <v>134</v>
      </c>
      <c r="C7" s="14">
        <f t="shared" si="2"/>
        <v>3</v>
      </c>
      <c r="D7" s="15">
        <f t="shared" si="3"/>
        <v>0</v>
      </c>
      <c r="E7" s="14">
        <v>3</v>
      </c>
      <c r="F7" s="16">
        <f>IF(E7=$E$12,$H$38,0)</f>
        <v>0</v>
      </c>
      <c r="G7" s="14">
        <f t="shared" si="4"/>
        <v>0</v>
      </c>
      <c r="H7" s="14">
        <f t="shared" si="0"/>
        <v>0</v>
      </c>
      <c r="I7" s="14">
        <f t="shared" si="1"/>
        <v>3</v>
      </c>
    </row>
    <row r="8" spans="1:11" x14ac:dyDescent="0.35">
      <c r="A8" s="14" t="s">
        <v>9</v>
      </c>
      <c r="B8" s="14">
        <v>159</v>
      </c>
      <c r="C8" s="14">
        <f t="shared" si="2"/>
        <v>3</v>
      </c>
      <c r="D8" s="15">
        <f t="shared" si="3"/>
        <v>0</v>
      </c>
      <c r="E8" s="14">
        <v>3</v>
      </c>
      <c r="F8" s="16">
        <f>IF(E8=$E$12,$H$38,0)</f>
        <v>0</v>
      </c>
      <c r="G8" s="14">
        <f t="shared" si="4"/>
        <v>0</v>
      </c>
      <c r="H8" s="14">
        <f t="shared" si="0"/>
        <v>0</v>
      </c>
      <c r="I8" s="14">
        <f t="shared" si="1"/>
        <v>3</v>
      </c>
    </row>
    <row r="10" spans="1:11" x14ac:dyDescent="0.35">
      <c r="A10" s="29"/>
      <c r="B10" s="29"/>
      <c r="C10" s="29"/>
    </row>
    <row r="11" spans="1:11" ht="14.5" customHeight="1" x14ac:dyDescent="0.35">
      <c r="A11" s="85" t="s">
        <v>5</v>
      </c>
      <c r="B11" s="85"/>
      <c r="C11" s="85"/>
      <c r="D11" s="6"/>
      <c r="E11" s="17" t="s">
        <v>6</v>
      </c>
      <c r="F11" s="20" t="s">
        <v>47</v>
      </c>
      <c r="G11" s="20" t="s">
        <v>53</v>
      </c>
      <c r="H11" s="17" t="s">
        <v>35</v>
      </c>
      <c r="I11" s="28" t="s">
        <v>1</v>
      </c>
    </row>
    <row r="12" spans="1:11" ht="14.5" customHeight="1" x14ac:dyDescent="0.35">
      <c r="A12" s="29"/>
      <c r="B12" s="29"/>
      <c r="C12" s="29"/>
      <c r="E12" s="38">
        <v>1</v>
      </c>
      <c r="F12" s="21">
        <f>$E$24+$E$26+$H$12</f>
        <v>43.800000000000004</v>
      </c>
      <c r="G12" s="21">
        <f>2*($E$22+$E$24)+$E$42</f>
        <v>53.5</v>
      </c>
      <c r="H12" s="19">
        <v>1</v>
      </c>
      <c r="I12" s="48">
        <v>45</v>
      </c>
    </row>
    <row r="13" spans="1:11" x14ac:dyDescent="0.35">
      <c r="A13" s="29"/>
      <c r="B13" s="30"/>
      <c r="C13" s="31"/>
      <c r="D13" s="6"/>
      <c r="E13" s="17" t="s">
        <v>14</v>
      </c>
      <c r="F13" s="20" t="s">
        <v>48</v>
      </c>
      <c r="G13" s="20" t="s">
        <v>54</v>
      </c>
      <c r="H13" s="17" t="s">
        <v>16</v>
      </c>
      <c r="I13" s="5"/>
    </row>
    <row r="14" spans="1:11" x14ac:dyDescent="0.35">
      <c r="A14" s="29"/>
      <c r="B14" s="29"/>
      <c r="C14" s="31"/>
      <c r="D14" s="6"/>
      <c r="E14" s="38">
        <v>1</v>
      </c>
      <c r="F14" s="21">
        <f>$E$24/2+$E$26+$H$12</f>
        <v>39.5</v>
      </c>
      <c r="G14" s="21">
        <f>2*($E$22+$E$24)+$E$42</f>
        <v>53.5</v>
      </c>
      <c r="H14" s="19">
        <v>2</v>
      </c>
      <c r="I14" s="5"/>
    </row>
    <row r="15" spans="1:11" x14ac:dyDescent="0.35">
      <c r="A15" s="29"/>
      <c r="B15" s="29"/>
      <c r="C15" s="31"/>
      <c r="D15" s="6"/>
      <c r="E15" s="17" t="s">
        <v>15</v>
      </c>
      <c r="F15" s="20" t="s">
        <v>49</v>
      </c>
      <c r="G15" s="20" t="s">
        <v>55</v>
      </c>
      <c r="H15" s="20" t="s">
        <v>36</v>
      </c>
      <c r="I15" s="5"/>
    </row>
    <row r="16" spans="1:11" x14ac:dyDescent="0.35">
      <c r="A16" s="32"/>
      <c r="B16" s="32"/>
      <c r="C16" s="32"/>
      <c r="D16" s="6"/>
      <c r="E16" s="38">
        <v>2</v>
      </c>
      <c r="F16" s="21">
        <f>2*$E$24+$E$26+$H$12</f>
        <v>52.400000000000006</v>
      </c>
      <c r="G16" s="21">
        <f>2*($E$22+$E$24)+$E$42</f>
        <v>53.5</v>
      </c>
      <c r="H16" s="56">
        <f>MAX(F23:F28)*MAX(G23:G28)*0.0001/MAX($D$2:$D$8)</f>
        <v>0.23896666666666669</v>
      </c>
      <c r="I16" s="7"/>
    </row>
    <row r="17" spans="1:9" x14ac:dyDescent="0.35">
      <c r="A17" s="29"/>
      <c r="B17" s="29"/>
      <c r="C17" s="29"/>
      <c r="D17" s="6"/>
      <c r="E17" s="17" t="s">
        <v>11</v>
      </c>
      <c r="F17" s="20" t="s">
        <v>52</v>
      </c>
      <c r="G17" s="20" t="s">
        <v>56</v>
      </c>
      <c r="H17" s="25" t="s">
        <v>44</v>
      </c>
      <c r="I17" s="5"/>
    </row>
    <row r="18" spans="1:9" x14ac:dyDescent="0.35">
      <c r="A18" s="29"/>
      <c r="B18" s="29"/>
      <c r="C18" s="29"/>
      <c r="D18" s="3"/>
      <c r="E18" s="38">
        <v>1</v>
      </c>
      <c r="F18" s="22">
        <f>$E$26+(1.75*$E$24)+4</f>
        <v>53.25</v>
      </c>
      <c r="G18" s="21">
        <f>2*($E$22+$E$24)+$E$42</f>
        <v>53.5</v>
      </c>
      <c r="H18" s="19">
        <v>0.76</v>
      </c>
      <c r="I18" s="7"/>
    </row>
    <row r="19" spans="1:9" x14ac:dyDescent="0.35">
      <c r="A19" s="29"/>
      <c r="B19" s="29"/>
      <c r="C19" s="29"/>
      <c r="E19" s="17" t="s">
        <v>12</v>
      </c>
      <c r="F19" s="20" t="s">
        <v>50</v>
      </c>
      <c r="G19" s="20" t="s">
        <v>57</v>
      </c>
      <c r="H19" s="25" t="s">
        <v>45</v>
      </c>
      <c r="I19" s="5"/>
    </row>
    <row r="20" spans="1:9" x14ac:dyDescent="0.35">
      <c r="A20" s="29"/>
      <c r="B20" s="29"/>
      <c r="C20" s="29"/>
      <c r="D20" s="4"/>
      <c r="E20" s="39" t="b">
        <v>0</v>
      </c>
      <c r="F20" s="21">
        <f>IF($E$16=2,(4*$C$24)+(2*$B$24)+3.3,(4*$C$24)+(2*$B$24)-0.9)</f>
        <v>151.30000000000001</v>
      </c>
      <c r="G20" s="21">
        <f>IF($E$16=2,$A$24+(2*$C$24)+1.2,$A$24+(2*$C$24)-1.8)</f>
        <v>83.5</v>
      </c>
      <c r="H20" s="19">
        <v>0.76</v>
      </c>
      <c r="I20" s="5"/>
    </row>
    <row r="21" spans="1:9" x14ac:dyDescent="0.35">
      <c r="A21" s="29"/>
      <c r="B21" s="29"/>
      <c r="C21" s="29"/>
      <c r="D21" s="3"/>
      <c r="E21" s="17" t="s">
        <v>31</v>
      </c>
      <c r="F21" s="20" t="s">
        <v>51</v>
      </c>
      <c r="G21" s="20" t="s">
        <v>58</v>
      </c>
      <c r="H21" s="25" t="s">
        <v>46</v>
      </c>
      <c r="I21" s="3"/>
    </row>
    <row r="22" spans="1:9" ht="15" thickBot="1" x14ac:dyDescent="0.4">
      <c r="A22" s="29"/>
      <c r="B22" s="29"/>
      <c r="C22" s="29"/>
      <c r="D22" s="3"/>
      <c r="E22" s="18">
        <f>IF($E$16=1,$A$24,IF(AND($E$16=2,$E$14&lt;5),$A$24+0.6,IF(AND($E$16=2,$E$14=5),$A$24+1.2,$A$24+1.8)))</f>
        <v>16.900000000000002</v>
      </c>
      <c r="F22" s="51">
        <f>IF($E$16=2,(4*$C$24)+$A$24+4.8,(4*$C$24)+$A$24+1.2)</f>
        <v>153.10000000000002</v>
      </c>
      <c r="G22" s="51">
        <f>IF($E$16=2,3*$C$24+$B$24+1.2,3*$C$24+$B$24-2.4)</f>
        <v>108.2</v>
      </c>
      <c r="H22" s="19">
        <v>0.85</v>
      </c>
      <c r="I22" s="3"/>
    </row>
    <row r="23" spans="1:9" x14ac:dyDescent="0.35">
      <c r="A23" s="37" t="s">
        <v>28</v>
      </c>
      <c r="B23" s="37" t="s">
        <v>29</v>
      </c>
      <c r="C23" s="37" t="s">
        <v>30</v>
      </c>
      <c r="D23" s="6"/>
      <c r="E23" s="23" t="s">
        <v>32</v>
      </c>
      <c r="F23" s="52">
        <f>IF($E$14=1,$E$24+$E$26+$H$12,0)</f>
        <v>43.800000000000004</v>
      </c>
      <c r="G23" s="52">
        <f>IF($E$14=1,2*($E$22+$E$24)+$E$42,0)</f>
        <v>53.5</v>
      </c>
      <c r="H23" s="26" t="s">
        <v>22</v>
      </c>
      <c r="I23" s="3"/>
    </row>
    <row r="24" spans="1:9" x14ac:dyDescent="0.35">
      <c r="A24" s="47">
        <v>16.3</v>
      </c>
      <c r="B24" s="47">
        <v>8</v>
      </c>
      <c r="C24" s="47">
        <v>33</v>
      </c>
      <c r="D24" s="6"/>
      <c r="E24" s="50">
        <f>IF($E$16=1,$B$24,IF(AND($E$16=2,$E$14&lt;5),$B$24+0.6,IF(AND($E$16=2,$E$14=5),$B$24+0.9,$B$24+0.9)))</f>
        <v>8.6</v>
      </c>
      <c r="F24" s="53">
        <f>IF($E$14=2,$E$24/2+$E$26+$H$12,0)</f>
        <v>0</v>
      </c>
      <c r="G24" s="55">
        <f>IF($E$14=2,2*($E$22+$E$24)+$E$42,0)</f>
        <v>0</v>
      </c>
      <c r="H24" s="19">
        <v>3</v>
      </c>
      <c r="I24" s="3"/>
    </row>
    <row r="25" spans="1:9" x14ac:dyDescent="0.35">
      <c r="A25" s="29"/>
      <c r="B25" s="29"/>
      <c r="C25" s="29"/>
      <c r="D25" s="3"/>
      <c r="E25" s="23" t="s">
        <v>33</v>
      </c>
      <c r="F25" s="53">
        <f>IF($E$14=3,2*$E$24+$E$26+$H$12,0)</f>
        <v>0</v>
      </c>
      <c r="G25" s="55">
        <f>IF($E$14=3,2*($E$22+$E$24)+$E$42,0)</f>
        <v>0</v>
      </c>
      <c r="H25" s="26" t="s">
        <v>23</v>
      </c>
      <c r="I25" s="5"/>
    </row>
    <row r="26" spans="1:9" x14ac:dyDescent="0.35">
      <c r="A26" s="29"/>
      <c r="B26" s="29"/>
      <c r="C26" s="29"/>
      <c r="E26" s="50">
        <f>IF($E$16=1,$C$24,IF(AND($E$16=2,$E$14=1),($C$24+1.2),IF(AND($E$16=2,$E$14=3),($C$24+1.2),IF(AND($E$16=2,$E$14=4),$C$24+1.2,$C$24+0.6))))</f>
        <v>34.200000000000003</v>
      </c>
      <c r="F26" s="54">
        <f>IF($E$14=4,$E$26+(1.75*$E$24)+4,0)</f>
        <v>0</v>
      </c>
      <c r="G26" s="55">
        <f>IF($E$14=4,2*($E$22+$E$24)+$E$42,0)</f>
        <v>0</v>
      </c>
      <c r="H26" s="19">
        <v>6</v>
      </c>
      <c r="I26" s="7"/>
    </row>
    <row r="27" spans="1:9" x14ac:dyDescent="0.35">
      <c r="A27" s="29"/>
      <c r="B27" s="29"/>
      <c r="C27" s="29"/>
      <c r="E27" s="49" t="s">
        <v>39</v>
      </c>
      <c r="F27" s="53">
        <f>IF($E$14=5,IF($E$16=2,(4*$C$24)+(2*$B$24)+3.3,(4*$C$24)+(2*$B$24)-0.9),0)</f>
        <v>0</v>
      </c>
      <c r="G27" s="55">
        <f>IF($E$14=5,IF($E$16=2,$A$24+(2*$C$24)+1.2,$A$24+(2*$C$24)-1.8),0)</f>
        <v>0</v>
      </c>
      <c r="H27" s="26" t="s">
        <v>24</v>
      </c>
      <c r="I27" s="11"/>
    </row>
    <row r="28" spans="1:9" ht="15" thickBot="1" x14ac:dyDescent="0.4">
      <c r="A28" s="29"/>
      <c r="B28" s="29"/>
      <c r="C28" s="29"/>
      <c r="E28" s="50">
        <v>0</v>
      </c>
      <c r="F28" s="66">
        <f>IF($E$14=6,IF($E$16=2,(4*$C$24)+$A$24+4.8,(4*$C$24)+$A$24+1.2),0)</f>
        <v>0</v>
      </c>
      <c r="G28" s="72">
        <f>IF($E$14=6,IF($E$16=2,3*$C$24+$B$24+1.2,3*$C$24+$B$24-2.4),0)</f>
        <v>0</v>
      </c>
      <c r="H28" s="19">
        <v>8</v>
      </c>
      <c r="I28" s="12"/>
    </row>
    <row r="29" spans="1:9" ht="15" thickBot="1" x14ac:dyDescent="0.4">
      <c r="A29" s="29"/>
      <c r="B29" s="29"/>
      <c r="C29" s="29"/>
      <c r="E29" s="49" t="s">
        <v>40</v>
      </c>
      <c r="F29" s="73" t="s">
        <v>68</v>
      </c>
      <c r="G29" s="81">
        <f>IF($E$14=1,$F$30,0)</f>
        <v>3</v>
      </c>
      <c r="H29" s="75" t="s">
        <v>38</v>
      </c>
      <c r="I29" s="11"/>
    </row>
    <row r="30" spans="1:9" ht="15" thickBot="1" x14ac:dyDescent="0.4">
      <c r="A30" s="33"/>
      <c r="B30" s="37" t="s">
        <v>2</v>
      </c>
      <c r="C30" s="33"/>
      <c r="E30" s="50">
        <v>0.5</v>
      </c>
      <c r="F30" s="78">
        <v>3</v>
      </c>
      <c r="G30" s="81">
        <f>IF($E$14=2,$F$32,0)</f>
        <v>0</v>
      </c>
      <c r="H30" s="76">
        <v>0.4</v>
      </c>
      <c r="I30" s="12"/>
    </row>
    <row r="31" spans="1:9" ht="15" thickBot="1" x14ac:dyDescent="0.4">
      <c r="A31" s="32"/>
      <c r="B31" s="47">
        <v>350</v>
      </c>
      <c r="C31" s="32"/>
      <c r="E31" s="49" t="s">
        <v>41</v>
      </c>
      <c r="F31" s="74" t="s">
        <v>69</v>
      </c>
      <c r="G31" s="81">
        <f>IF($E$14=3,$F$34,0)</f>
        <v>0</v>
      </c>
      <c r="H31" s="77" t="s">
        <v>26</v>
      </c>
      <c r="I31" s="11"/>
    </row>
    <row r="32" spans="1:9" ht="15" thickBot="1" x14ac:dyDescent="0.4">
      <c r="A32" s="34"/>
      <c r="B32" s="33"/>
      <c r="C32" s="34"/>
      <c r="E32" s="50">
        <v>1.5</v>
      </c>
      <c r="F32" s="78">
        <v>3</v>
      </c>
      <c r="G32" s="81">
        <f>IF($E$14=4,$F$36,0)</f>
        <v>0</v>
      </c>
      <c r="H32" s="76">
        <v>5</v>
      </c>
      <c r="I32" s="12"/>
    </row>
    <row r="33" spans="1:9" ht="15" thickBot="1" x14ac:dyDescent="0.4">
      <c r="A33" s="34"/>
      <c r="B33" s="34"/>
      <c r="C33" s="34"/>
      <c r="E33" s="23" t="s">
        <v>27</v>
      </c>
      <c r="F33" s="74" t="s">
        <v>70</v>
      </c>
      <c r="G33" s="81">
        <f>IF($E$14=5,$F$38,0)</f>
        <v>0</v>
      </c>
      <c r="H33" s="83" t="s">
        <v>74</v>
      </c>
      <c r="I33" s="8"/>
    </row>
    <row r="34" spans="1:9" ht="15" thickBot="1" x14ac:dyDescent="0.4">
      <c r="A34" s="29"/>
      <c r="B34" s="29"/>
      <c r="C34" s="29"/>
      <c r="E34" s="67">
        <f>IF($E$14&lt;5,$B$31*$F$12*$E$42*$H$32/10000,0)</f>
        <v>19.162500000000001</v>
      </c>
      <c r="F34" s="78">
        <v>3</v>
      </c>
      <c r="G34" s="82">
        <f>IF($E$14=6,$F$40,0)</f>
        <v>0</v>
      </c>
      <c r="H34" s="76">
        <f>$H$18</f>
        <v>0.76</v>
      </c>
      <c r="I34" s="9"/>
    </row>
    <row r="35" spans="1:9" x14ac:dyDescent="0.35">
      <c r="A35" s="29"/>
      <c r="B35" s="29"/>
      <c r="C35" s="29"/>
      <c r="E35" s="68" t="s">
        <v>0</v>
      </c>
      <c r="F35" s="72" t="s">
        <v>71</v>
      </c>
      <c r="H35" s="24" t="s">
        <v>75</v>
      </c>
      <c r="I35" s="10"/>
    </row>
    <row r="36" spans="1:9" x14ac:dyDescent="0.35">
      <c r="A36" s="35"/>
      <c r="B36" s="29"/>
      <c r="C36" s="29"/>
      <c r="E36" s="69">
        <f>MAX($D$2:$D$8)</f>
        <v>0.98059701492537321</v>
      </c>
      <c r="F36" s="79">
        <v>3</v>
      </c>
      <c r="H36" s="19">
        <f>$H$20</f>
        <v>0.76</v>
      </c>
      <c r="I36" s="3"/>
    </row>
    <row r="37" spans="1:9" x14ac:dyDescent="0.35">
      <c r="A37" s="29"/>
      <c r="B37" s="29"/>
      <c r="C37" s="29"/>
      <c r="D37" s="6"/>
      <c r="E37" s="68" t="s">
        <v>10</v>
      </c>
      <c r="F37" s="72" t="s">
        <v>72</v>
      </c>
      <c r="H37" s="24" t="s">
        <v>76</v>
      </c>
      <c r="I37" s="10"/>
    </row>
    <row r="38" spans="1:9" x14ac:dyDescent="0.35">
      <c r="A38" s="32"/>
      <c r="B38" s="29"/>
      <c r="C38" s="29"/>
      <c r="D38" s="6"/>
      <c r="E38" s="70">
        <f>IF(MAX(D2:D8)&gt;0,MAX($F$23:$F$28)/$E$36,"No hay ancho disponible")</f>
        <v>44.666666666666664</v>
      </c>
      <c r="F38" s="79">
        <v>3</v>
      </c>
      <c r="H38" s="19">
        <f>$H$22</f>
        <v>0.85</v>
      </c>
      <c r="I38" s="3"/>
    </row>
    <row r="39" spans="1:9" x14ac:dyDescent="0.35">
      <c r="A39" s="29"/>
      <c r="B39" s="29"/>
      <c r="C39" s="29"/>
      <c r="E39" s="68" t="s">
        <v>59</v>
      </c>
      <c r="F39" s="66" t="s">
        <v>73</v>
      </c>
      <c r="G39" s="10"/>
      <c r="I39" s="2"/>
    </row>
    <row r="40" spans="1:9" ht="15" thickBot="1" x14ac:dyDescent="0.4">
      <c r="A40" s="29"/>
      <c r="B40" s="29"/>
      <c r="C40" s="29"/>
      <c r="E40" s="71">
        <f>MAX($G$23:$G$28)</f>
        <v>53.5</v>
      </c>
      <c r="F40" s="80">
        <v>3</v>
      </c>
      <c r="G40" s="3"/>
      <c r="I40" s="2"/>
    </row>
    <row r="41" spans="1:9" x14ac:dyDescent="0.35">
      <c r="A41" s="29"/>
      <c r="B41" s="29"/>
      <c r="C41" s="29"/>
      <c r="E41" s="17" t="s">
        <v>81</v>
      </c>
      <c r="G41" s="10"/>
      <c r="H41" s="61"/>
      <c r="I41" s="2"/>
    </row>
    <row r="42" spans="1:9" x14ac:dyDescent="0.35">
      <c r="A42" s="29"/>
      <c r="B42" s="29"/>
      <c r="C42" s="29"/>
      <c r="E42" s="18">
        <f>IF(2*($B$24+$A$24)&gt;120,5,IF(2*($B$24+$A$24)&lt;60,2.5,3.5))</f>
        <v>2.5</v>
      </c>
      <c r="G42" s="3"/>
      <c r="I42" s="2"/>
    </row>
    <row r="43" spans="1:9" x14ac:dyDescent="0.35">
      <c r="A43" s="45" t="s">
        <v>4</v>
      </c>
      <c r="B43" s="46">
        <f>IF(MAX(D2:D8)&gt;0,$B$45/$B$31," ")</f>
        <v>38.689747285714283</v>
      </c>
      <c r="C43" s="36"/>
      <c r="E43" s="24" t="s">
        <v>25</v>
      </c>
      <c r="G43" s="3"/>
      <c r="I43" s="2"/>
    </row>
    <row r="44" spans="1:9" x14ac:dyDescent="0.35">
      <c r="A44" s="41"/>
      <c r="B44" s="42"/>
      <c r="C44" s="36"/>
      <c r="E44" s="27">
        <f>$B$31*$H$16</f>
        <v>83.638333333333335</v>
      </c>
      <c r="G44" s="3"/>
      <c r="I44" s="2"/>
    </row>
    <row r="45" spans="1:9" x14ac:dyDescent="0.35">
      <c r="A45" s="40" t="s">
        <v>3</v>
      </c>
      <c r="B45" s="57">
        <f>IF(MAX($D$2:$D$8)&gt;0,($E$46*$E$44*MAX($G$29:$G$34)*(MAX($F$2:$F$8)+MAX($G$2:$G$8)+MAX($H$2:$H$8))+MAX($I$2:$I8)+$E$34+$E$50+$E$54+$E$68)*$I$12,"No es posible cotizar")</f>
        <v>13541.411549999999</v>
      </c>
      <c r="C45" s="36"/>
      <c r="E45" s="24" t="s">
        <v>34</v>
      </c>
      <c r="I45" s="2"/>
    </row>
    <row r="46" spans="1:9" x14ac:dyDescent="0.35">
      <c r="A46" s="43"/>
      <c r="B46" s="43"/>
      <c r="C46" s="29"/>
      <c r="E46" s="18">
        <f>IF($E$44&gt;=50,0.85,IF(AND($E$44&lt;50,$E$44&gt;=10),0.9,1))</f>
        <v>0.85</v>
      </c>
    </row>
    <row r="47" spans="1:9" x14ac:dyDescent="0.35">
      <c r="A47" s="44" t="s">
        <v>13</v>
      </c>
      <c r="B47" s="15">
        <f>IF(MAX(D2:D8)&gt;0,B45*1.22," ")</f>
        <v>16520.522090999999</v>
      </c>
      <c r="C47" s="29"/>
      <c r="E47" s="58" t="s">
        <v>78</v>
      </c>
    </row>
    <row r="48" spans="1:9" x14ac:dyDescent="0.35">
      <c r="A48" s="29"/>
      <c r="B48" s="29"/>
      <c r="C48" s="29"/>
      <c r="E48" s="59">
        <v>20</v>
      </c>
    </row>
    <row r="49" spans="2:5" x14ac:dyDescent="0.35">
      <c r="B49" s="1"/>
      <c r="E49" s="58" t="s">
        <v>77</v>
      </c>
    </row>
    <row r="50" spans="2:5" x14ac:dyDescent="0.35">
      <c r="E50" s="60">
        <f>IF($E$14&lt;4,($B$31*$E$48/60),0)</f>
        <v>116.66666666666667</v>
      </c>
    </row>
    <row r="51" spans="2:5" x14ac:dyDescent="0.35">
      <c r="E51" s="58" t="s">
        <v>62</v>
      </c>
    </row>
    <row r="52" spans="2:5" x14ac:dyDescent="0.35">
      <c r="E52" s="59">
        <v>12</v>
      </c>
    </row>
    <row r="53" spans="2:5" x14ac:dyDescent="0.35">
      <c r="E53" s="58" t="s">
        <v>63</v>
      </c>
    </row>
    <row r="54" spans="2:5" x14ac:dyDescent="0.35">
      <c r="E54" s="59">
        <f>IF(AND($E$14&gt;3,$E$56=TRUE),$B$31*$E$52/100,0)</f>
        <v>0</v>
      </c>
    </row>
    <row r="55" spans="2:5" x14ac:dyDescent="0.35">
      <c r="E55" s="58" t="s">
        <v>60</v>
      </c>
    </row>
    <row r="56" spans="2:5" x14ac:dyDescent="0.35">
      <c r="E56" s="59" t="b">
        <v>0</v>
      </c>
    </row>
    <row r="57" spans="2:5" x14ac:dyDescent="0.35">
      <c r="E57" s="58" t="s">
        <v>67</v>
      </c>
    </row>
    <row r="58" spans="2:5" x14ac:dyDescent="0.35">
      <c r="E58" s="64" t="str">
        <f>IF($E$14&gt;3,MAX($F$23:$F$28)*MAX($G$23:$G$28)*0.0001*1.15*$E$60*$I$12+$E$64*$E$62*$I$12,"Corte Aopack")</f>
        <v>Corte Aopack</v>
      </c>
    </row>
    <row r="59" spans="2:5" x14ac:dyDescent="0.35">
      <c r="E59" s="62" t="s">
        <v>64</v>
      </c>
    </row>
    <row r="60" spans="2:5" x14ac:dyDescent="0.35">
      <c r="E60" s="63">
        <v>80</v>
      </c>
    </row>
    <row r="61" spans="2:5" x14ac:dyDescent="0.35">
      <c r="E61" s="58" t="s">
        <v>65</v>
      </c>
    </row>
    <row r="62" spans="2:5" x14ac:dyDescent="0.35">
      <c r="E62" s="59">
        <v>22</v>
      </c>
    </row>
    <row r="63" spans="2:5" x14ac:dyDescent="0.35">
      <c r="E63" s="63" t="s">
        <v>66</v>
      </c>
    </row>
    <row r="64" spans="2:5" x14ac:dyDescent="0.35">
      <c r="E64" s="65" t="str">
        <f>IF($E$14=4,(6*$C$24+10*$B$24+15*$A$24)*0.01,IF($E$14=5,(21*$C$24+8*$B$24+9.5*$A$24)*0.01,IF($E$14=6,(26*$C$24+15*$A$24+6*$B$24)*0.01,"Corte Aopack")))</f>
        <v>Corte Aopack</v>
      </c>
    </row>
    <row r="65" spans="5:5" x14ac:dyDescent="0.35">
      <c r="E65" s="58" t="s">
        <v>80</v>
      </c>
    </row>
    <row r="66" spans="5:5" x14ac:dyDescent="0.35">
      <c r="E66" s="59">
        <v>20</v>
      </c>
    </row>
    <row r="67" spans="5:5" x14ac:dyDescent="0.35">
      <c r="E67" s="58" t="s">
        <v>61</v>
      </c>
    </row>
    <row r="68" spans="5:5" x14ac:dyDescent="0.35">
      <c r="E68" s="84">
        <f>IF($E$14&lt;4,0,IF($E$56=FALSE,IF($E$14=4,($E$66*$B$31/30)+$E$70,IF($E$14=5,($E$66*$B$31/30)+$E$70,IF($E$14=6,($E$66*$B$31/30)+$E$70,0)))))</f>
        <v>0</v>
      </c>
    </row>
    <row r="69" spans="5:5" x14ac:dyDescent="0.35">
      <c r="E69" s="58" t="s">
        <v>79</v>
      </c>
    </row>
    <row r="70" spans="5:5" x14ac:dyDescent="0.35">
      <c r="E70" s="59">
        <v>3</v>
      </c>
    </row>
  </sheetData>
  <mergeCells count="1">
    <mergeCell ref="A11:C11"/>
  </mergeCells>
  <pageMargins left="0.7" right="0.7" top="0.75" bottom="0.75" header="0.3" footer="0.3"/>
  <pageSetup paperSize="9" orientation="portrait" horizontalDpi="0" verticalDpi="0" r:id="rId1"/>
  <ignoredErrors>
    <ignoredError sqref="F2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Group Box 1">
              <controlPr defaultSize="0" autoFill="0" autoPict="0">
                <anchor moveWithCells="1">
                  <from>
                    <xdr:col>0</xdr:col>
                    <xdr:colOff>19050</xdr:colOff>
                    <xdr:row>12</xdr:row>
                    <xdr:rowOff>19050</xdr:rowOff>
                  </from>
                  <to>
                    <xdr:col>2</xdr:col>
                    <xdr:colOff>1200150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Option Button 2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12</xdr:row>
                    <xdr:rowOff>139700</xdr:rowOff>
                  </from>
                  <to>
                    <xdr:col>0</xdr:col>
                    <xdr:colOff>1136650</xdr:colOff>
                    <xdr:row>14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Option Button 3">
              <controlPr defaultSize="0" autoFill="0" autoLine="0" autoPict="0">
                <anchor moveWithCells="1">
                  <from>
                    <xdr:col>1</xdr:col>
                    <xdr:colOff>63500</xdr:colOff>
                    <xdr:row>12</xdr:row>
                    <xdr:rowOff>177800</xdr:rowOff>
                  </from>
                  <to>
                    <xdr:col>1</xdr:col>
                    <xdr:colOff>1104900</xdr:colOff>
                    <xdr:row>14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Option Button 6">
              <controlPr defaultSize="0" autoFill="0" autoLine="0" autoPict="0" altText="">
                <anchor moveWithCells="1">
                  <from>
                    <xdr:col>0</xdr:col>
                    <xdr:colOff>76200</xdr:colOff>
                    <xdr:row>33</xdr:row>
                    <xdr:rowOff>38100</xdr:rowOff>
                  </from>
                  <to>
                    <xdr:col>0</xdr:col>
                    <xdr:colOff>1136650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Option Button 7">
              <controlPr defaultSize="0" autoFill="0" autoLine="0" autoPict="0">
                <anchor moveWithCells="1">
                  <from>
                    <xdr:col>1</xdr:col>
                    <xdr:colOff>19050</xdr:colOff>
                    <xdr:row>33</xdr:row>
                    <xdr:rowOff>31750</xdr:rowOff>
                  </from>
                  <to>
                    <xdr:col>1</xdr:col>
                    <xdr:colOff>1079500</xdr:colOff>
                    <xdr:row>34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Option Button 8">
              <controlPr defaultSize="0" autoFill="0" autoLine="0" autoPict="0">
                <anchor moveWithCells="1">
                  <from>
                    <xdr:col>0</xdr:col>
                    <xdr:colOff>285750</xdr:colOff>
                    <xdr:row>25</xdr:row>
                    <xdr:rowOff>31750</xdr:rowOff>
                  </from>
                  <to>
                    <xdr:col>1</xdr:col>
                    <xdr:colOff>501650</xdr:colOff>
                    <xdr:row>26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Option Button 9">
              <controlPr defaultSize="0" autoFill="0" autoLine="0" autoPict="0">
                <anchor moveWithCells="1">
                  <from>
                    <xdr:col>1</xdr:col>
                    <xdr:colOff>717550</xdr:colOff>
                    <xdr:row>25</xdr:row>
                    <xdr:rowOff>12700</xdr:rowOff>
                  </from>
                  <to>
                    <xdr:col>2</xdr:col>
                    <xdr:colOff>882650</xdr:colOff>
                    <xdr:row>26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1" name="Group Box 10">
              <controlPr defaultSize="0" autoFill="0" autoPict="0">
                <anchor moveWithCells="1">
                  <from>
                    <xdr:col>0</xdr:col>
                    <xdr:colOff>12700</xdr:colOff>
                    <xdr:row>24</xdr:row>
                    <xdr:rowOff>127000</xdr:rowOff>
                  </from>
                  <to>
                    <xdr:col>2</xdr:col>
                    <xdr:colOff>1162050</xdr:colOff>
                    <xdr:row>27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2" name="Group Box 11">
              <controlPr defaultSize="0" autoFill="0" autoPict="0">
                <anchor moveWithCells="1">
                  <from>
                    <xdr:col>0</xdr:col>
                    <xdr:colOff>19050</xdr:colOff>
                    <xdr:row>37</xdr:row>
                    <xdr:rowOff>44450</xdr:rowOff>
                  </from>
                  <to>
                    <xdr:col>2</xdr:col>
                    <xdr:colOff>1003300</xdr:colOff>
                    <xdr:row>40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3" name="Check Box 12">
              <controlPr defaultSize="0" autoFill="0" autoLine="0" autoPict="0">
                <anchor moveWithCells="1">
                  <from>
                    <xdr:col>0</xdr:col>
                    <xdr:colOff>133350</xdr:colOff>
                    <xdr:row>38</xdr:row>
                    <xdr:rowOff>50800</xdr:rowOff>
                  </from>
                  <to>
                    <xdr:col>1</xdr:col>
                    <xdr:colOff>419100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Group Box 14">
              <controlPr defaultSize="0" autoFill="0" autoPict="0">
                <anchor moveWithCells="1">
                  <from>
                    <xdr:col>0</xdr:col>
                    <xdr:colOff>38100</xdr:colOff>
                    <xdr:row>17</xdr:row>
                    <xdr:rowOff>120650</xdr:rowOff>
                  </from>
                  <to>
                    <xdr:col>3</xdr:col>
                    <xdr:colOff>1174750</xdr:colOff>
                    <xdr:row>20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5" name="Group Box 16">
              <controlPr defaultSize="0" autoFill="0" autoPict="0">
                <anchor moveWithCells="1">
                  <from>
                    <xdr:col>0</xdr:col>
                    <xdr:colOff>31750</xdr:colOff>
                    <xdr:row>32</xdr:row>
                    <xdr:rowOff>19050</xdr:rowOff>
                  </from>
                  <to>
                    <xdr:col>2</xdr:col>
                    <xdr:colOff>1149350</xdr:colOff>
                    <xdr:row>35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6" name="Option Button 17">
              <controlPr defaultSize="0" autoFill="0" autoLine="0" autoPict="0">
                <anchor moveWithCells="1">
                  <from>
                    <xdr:col>1</xdr:col>
                    <xdr:colOff>1200150</xdr:colOff>
                    <xdr:row>33</xdr:row>
                    <xdr:rowOff>25400</xdr:rowOff>
                  </from>
                  <to>
                    <xdr:col>2</xdr:col>
                    <xdr:colOff>1060450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17" name="Option Button 35">
              <controlPr defaultSize="0" autoFill="0" autoLine="0" autoPict="0" altText="">
                <anchor moveWithCells="1">
                  <from>
                    <xdr:col>0</xdr:col>
                    <xdr:colOff>127000</xdr:colOff>
                    <xdr:row>18</xdr:row>
                    <xdr:rowOff>158750</xdr:rowOff>
                  </from>
                  <to>
                    <xdr:col>0</xdr:col>
                    <xdr:colOff>882650</xdr:colOff>
                    <xdr:row>20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18" name="Option Button 36">
              <controlPr defaultSize="0" autoFill="0" autoLine="0" autoPict="0" altText="F200">
                <anchor moveWithCells="1">
                  <from>
                    <xdr:col>0</xdr:col>
                    <xdr:colOff>857250</xdr:colOff>
                    <xdr:row>18</xdr:row>
                    <xdr:rowOff>127000</xdr:rowOff>
                  </from>
                  <to>
                    <xdr:col>1</xdr:col>
                    <xdr:colOff>381000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19" name="Option Button 37">
              <controlPr defaultSize="0" autoFill="0" autoLine="0" autoPict="0">
                <anchor moveWithCells="1">
                  <from>
                    <xdr:col>1</xdr:col>
                    <xdr:colOff>406400</xdr:colOff>
                    <xdr:row>18</xdr:row>
                    <xdr:rowOff>158750</xdr:rowOff>
                  </from>
                  <to>
                    <xdr:col>1</xdr:col>
                    <xdr:colOff>1073150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20" name="Option Button 38">
              <controlPr defaultSize="0" autoFill="0" autoLine="0" autoPict="0">
                <anchor moveWithCells="1">
                  <from>
                    <xdr:col>1</xdr:col>
                    <xdr:colOff>1212850</xdr:colOff>
                    <xdr:row>18</xdr:row>
                    <xdr:rowOff>139700</xdr:rowOff>
                  </from>
                  <to>
                    <xdr:col>2</xdr:col>
                    <xdr:colOff>584200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21" name="Option Button 39">
              <controlPr defaultSize="0" autoFill="0" autoLine="0" autoPict="0">
                <anchor moveWithCells="1">
                  <from>
                    <xdr:col>2</xdr:col>
                    <xdr:colOff>552450</xdr:colOff>
                    <xdr:row>18</xdr:row>
                    <xdr:rowOff>171450</xdr:rowOff>
                  </from>
                  <to>
                    <xdr:col>2</xdr:col>
                    <xdr:colOff>1193800</xdr:colOff>
                    <xdr:row>19</xdr:row>
                    <xdr:rowOff>146050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22" name="Option Button 41">
              <controlPr defaultSize="0" autoFill="0" autoLine="0" autoPict="0">
                <anchor moveWithCells="1">
                  <from>
                    <xdr:col>3</xdr:col>
                    <xdr:colOff>25400</xdr:colOff>
                    <xdr:row>19</xdr:row>
                    <xdr:rowOff>0</xdr:rowOff>
                  </from>
                  <to>
                    <xdr:col>3</xdr:col>
                    <xdr:colOff>812800</xdr:colOff>
                    <xdr:row>19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23" name="Option Button 43">
              <controlPr defaultSize="0" autoFill="0" autoLine="0" autoPict="0">
                <anchor moveWithCells="1">
                  <from>
                    <xdr:col>1</xdr:col>
                    <xdr:colOff>1250950</xdr:colOff>
                    <xdr:row>13</xdr:row>
                    <xdr:rowOff>25400</xdr:rowOff>
                  </from>
                  <to>
                    <xdr:col>2</xdr:col>
                    <xdr:colOff>1003300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24" name="Check Box 46">
              <controlPr defaultSize="0" autoFill="0" autoLine="0" autoPict="0" altText="">
                <anchor moveWithCells="1">
                  <from>
                    <xdr:col>2</xdr:col>
                    <xdr:colOff>501650</xdr:colOff>
                    <xdr:row>42</xdr:row>
                    <xdr:rowOff>114300</xdr:rowOff>
                  </from>
                  <to>
                    <xdr:col>3</xdr:col>
                    <xdr:colOff>361950</xdr:colOff>
                    <xdr:row>46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D771-8E5B-4C99-B871-367C69BB72B8}">
  <dimension ref="A1:G12"/>
  <sheetViews>
    <sheetView workbookViewId="0">
      <selection activeCell="A13" sqref="A13"/>
    </sheetView>
  </sheetViews>
  <sheetFormatPr baseColWidth="10" defaultRowHeight="14.5" x14ac:dyDescent="0.35"/>
  <cols>
    <col min="1" max="1" width="15.08984375" customWidth="1"/>
    <col min="2" max="2" width="15.54296875" customWidth="1"/>
    <col min="3" max="4" width="16" customWidth="1"/>
    <col min="5" max="5" width="13.54296875" customWidth="1"/>
    <col min="6" max="6" width="14" customWidth="1"/>
    <col min="7" max="7" width="14.54296875" customWidth="1"/>
  </cols>
  <sheetData>
    <row r="1" spans="1:7" x14ac:dyDescent="0.35">
      <c r="A1" s="86" t="s">
        <v>102</v>
      </c>
      <c r="B1" s="86"/>
      <c r="C1" s="86"/>
      <c r="D1" s="86"/>
      <c r="E1" s="86"/>
      <c r="F1" s="86"/>
      <c r="G1" s="86"/>
    </row>
    <row r="3" spans="1:7" x14ac:dyDescent="0.35">
      <c r="A3" t="s">
        <v>82</v>
      </c>
      <c r="B3" t="s">
        <v>83</v>
      </c>
      <c r="C3" t="s">
        <v>84</v>
      </c>
      <c r="D3" t="s">
        <v>85</v>
      </c>
    </row>
    <row r="4" spans="1:7" x14ac:dyDescent="0.35">
      <c r="A4" t="s">
        <v>14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</row>
    <row r="5" spans="1:7" x14ac:dyDescent="0.35">
      <c r="A5" t="s">
        <v>15</v>
      </c>
      <c r="B5" t="s">
        <v>92</v>
      </c>
      <c r="C5" t="s">
        <v>93</v>
      </c>
    </row>
    <row r="6" spans="1:7" x14ac:dyDescent="0.35">
      <c r="A6" t="s">
        <v>11</v>
      </c>
      <c r="B6" t="s">
        <v>94</v>
      </c>
      <c r="C6" t="s">
        <v>95</v>
      </c>
      <c r="D6" t="s">
        <v>96</v>
      </c>
    </row>
    <row r="7" spans="1:7" x14ac:dyDescent="0.35">
      <c r="A7" t="s">
        <v>12</v>
      </c>
      <c r="B7" t="s">
        <v>97</v>
      </c>
      <c r="C7" t="s">
        <v>98</v>
      </c>
    </row>
    <row r="8" spans="1:7" x14ac:dyDescent="0.35">
      <c r="A8" t="s">
        <v>99</v>
      </c>
    </row>
    <row r="9" spans="1:7" x14ac:dyDescent="0.35">
      <c r="A9" t="s">
        <v>100</v>
      </c>
    </row>
    <row r="10" spans="1:7" x14ac:dyDescent="0.35">
      <c r="A10" t="s">
        <v>101</v>
      </c>
    </row>
    <row r="11" spans="1:7" x14ac:dyDescent="0.35">
      <c r="A11" t="s">
        <v>2</v>
      </c>
    </row>
    <row r="12" spans="1:7" x14ac:dyDescent="0.35">
      <c r="A12" t="s">
        <v>103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C460-F63A-4363-814B-CEBADF6A352A}">
  <dimension ref="A1:D25"/>
  <sheetViews>
    <sheetView workbookViewId="0">
      <selection activeCell="H9" sqref="H9"/>
    </sheetView>
  </sheetViews>
  <sheetFormatPr baseColWidth="10" defaultRowHeight="14.5" x14ac:dyDescent="0.35"/>
  <sheetData>
    <row r="1" spans="1:4" x14ac:dyDescent="0.35">
      <c r="A1" s="86" t="s">
        <v>125</v>
      </c>
      <c r="B1" s="86"/>
      <c r="C1" s="86"/>
      <c r="D1" s="86"/>
    </row>
    <row r="3" spans="1:4" x14ac:dyDescent="0.35">
      <c r="A3" t="s">
        <v>104</v>
      </c>
    </row>
    <row r="4" spans="1:4" x14ac:dyDescent="0.35">
      <c r="A4" t="s">
        <v>105</v>
      </c>
    </row>
    <row r="5" spans="1:4" x14ac:dyDescent="0.35">
      <c r="A5" t="s">
        <v>106</v>
      </c>
    </row>
    <row r="6" spans="1:4" x14ac:dyDescent="0.35">
      <c r="A6" t="s">
        <v>107</v>
      </c>
    </row>
    <row r="7" spans="1:4" x14ac:dyDescent="0.35">
      <c r="A7" t="s">
        <v>108</v>
      </c>
    </row>
    <row r="8" spans="1:4" x14ac:dyDescent="0.35">
      <c r="A8" t="s">
        <v>109</v>
      </c>
    </row>
    <row r="9" spans="1:4" x14ac:dyDescent="0.35">
      <c r="A9" t="s">
        <v>111</v>
      </c>
    </row>
    <row r="10" spans="1:4" x14ac:dyDescent="0.35">
      <c r="A10" t="s">
        <v>22</v>
      </c>
    </row>
    <row r="11" spans="1:4" x14ac:dyDescent="0.35">
      <c r="A11" t="s">
        <v>110</v>
      </c>
    </row>
    <row r="12" spans="1:4" x14ac:dyDescent="0.35">
      <c r="A12" t="s">
        <v>24</v>
      </c>
    </row>
    <row r="13" spans="1:4" x14ac:dyDescent="0.35">
      <c r="A13" t="s">
        <v>112</v>
      </c>
    </row>
    <row r="14" spans="1:4" x14ac:dyDescent="0.35">
      <c r="A14" t="s">
        <v>113</v>
      </c>
    </row>
    <row r="15" spans="1:4" x14ac:dyDescent="0.35">
      <c r="A15" t="s">
        <v>114</v>
      </c>
    </row>
    <row r="16" spans="1:4" x14ac:dyDescent="0.35">
      <c r="A16" t="s">
        <v>115</v>
      </c>
    </row>
    <row r="17" spans="1:1" x14ac:dyDescent="0.35">
      <c r="A17" t="s">
        <v>118</v>
      </c>
    </row>
    <row r="18" spans="1:1" x14ac:dyDescent="0.35">
      <c r="A18" t="s">
        <v>116</v>
      </c>
    </row>
    <row r="19" spans="1:1" x14ac:dyDescent="0.35">
      <c r="A19" t="s">
        <v>119</v>
      </c>
    </row>
    <row r="20" spans="1:1" x14ac:dyDescent="0.35">
      <c r="A20" t="s">
        <v>117</v>
      </c>
    </row>
    <row r="21" spans="1:1" x14ac:dyDescent="0.35">
      <c r="A21" t="s">
        <v>120</v>
      </c>
    </row>
    <row r="22" spans="1:1" x14ac:dyDescent="0.35">
      <c r="A22" t="s">
        <v>121</v>
      </c>
    </row>
    <row r="23" spans="1:1" x14ac:dyDescent="0.35">
      <c r="A23" t="s">
        <v>122</v>
      </c>
    </row>
    <row r="24" spans="1:1" x14ac:dyDescent="0.35">
      <c r="A24" t="s">
        <v>123</v>
      </c>
    </row>
    <row r="25" spans="1:1" x14ac:dyDescent="0.35">
      <c r="A25" t="s">
        <v>124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D3BE-FA2D-4C64-8026-7280F9EB852B}">
  <dimension ref="A1:D16"/>
  <sheetViews>
    <sheetView tabSelected="1" workbookViewId="0">
      <selection activeCell="A17" sqref="A17"/>
    </sheetView>
  </sheetViews>
  <sheetFormatPr baseColWidth="10" defaultRowHeight="14.5" x14ac:dyDescent="0.35"/>
  <sheetData>
    <row r="1" spans="1:4" x14ac:dyDescent="0.35">
      <c r="A1" s="86" t="s">
        <v>129</v>
      </c>
      <c r="B1" s="86"/>
      <c r="C1" s="86"/>
      <c r="D1" s="86"/>
    </row>
    <row r="3" spans="1:4" x14ac:dyDescent="0.35">
      <c r="A3" t="s">
        <v>126</v>
      </c>
    </row>
    <row r="4" spans="1:4" x14ac:dyDescent="0.35">
      <c r="A4" t="s">
        <v>127</v>
      </c>
    </row>
    <row r="5" spans="1:4" x14ac:dyDescent="0.35">
      <c r="A5" t="s">
        <v>32</v>
      </c>
    </row>
    <row r="6" spans="1:4" x14ac:dyDescent="0.35">
      <c r="A6" t="s">
        <v>31</v>
      </c>
    </row>
    <row r="7" spans="1:4" x14ac:dyDescent="0.35">
      <c r="A7" t="s">
        <v>33</v>
      </c>
    </row>
    <row r="8" spans="1:4" x14ac:dyDescent="0.35">
      <c r="A8" t="s">
        <v>128</v>
      </c>
    </row>
    <row r="9" spans="1:4" x14ac:dyDescent="0.35">
      <c r="A9" t="s">
        <v>59</v>
      </c>
    </row>
    <row r="10" spans="1:4" x14ac:dyDescent="0.35">
      <c r="A10" t="s">
        <v>130</v>
      </c>
    </row>
    <row r="11" spans="1:4" x14ac:dyDescent="0.35">
      <c r="A11" t="s">
        <v>135</v>
      </c>
    </row>
    <row r="12" spans="1:4" x14ac:dyDescent="0.35">
      <c r="A12" t="s">
        <v>131</v>
      </c>
    </row>
    <row r="13" spans="1:4" x14ac:dyDescent="0.35">
      <c r="A13" t="s">
        <v>132</v>
      </c>
    </row>
    <row r="14" spans="1:4" x14ac:dyDescent="0.35">
      <c r="A14" t="s">
        <v>133</v>
      </c>
    </row>
    <row r="15" spans="1:4" x14ac:dyDescent="0.35">
      <c r="A15" t="s">
        <v>134</v>
      </c>
    </row>
    <row r="16" spans="1:4" x14ac:dyDescent="0.35">
      <c r="A16" t="s">
        <v>136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</vt:lpstr>
      <vt:lpstr>Usuario</vt:lpstr>
      <vt:lpstr>Administrador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prego</dc:creator>
  <cp:lastModifiedBy>Javier prego</cp:lastModifiedBy>
  <dcterms:created xsi:type="dcterms:W3CDTF">2021-06-18T15:52:26Z</dcterms:created>
  <dcterms:modified xsi:type="dcterms:W3CDTF">2021-12-13T16:06:01Z</dcterms:modified>
</cp:coreProperties>
</file>