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/>
  <mc:AlternateContent xmlns:mc="http://schemas.openxmlformats.org/markup-compatibility/2006">
    <mc:Choice Requires="x15">
      <x15ac:absPath xmlns:x15ac="http://schemas.microsoft.com/office/spreadsheetml/2010/11/ac" url="D:\_PROJECT\"/>
    </mc:Choice>
  </mc:AlternateContent>
  <xr:revisionPtr revIDLastSave="0" documentId="13_ncr:1_{0326CC8E-ECE7-4B24-9BB3-A562C51DC1C8}" xr6:coauthVersionLast="47" xr6:coauthVersionMax="47" xr10:uidLastSave="{00000000-0000-0000-0000-000000000000}"/>
  <bookViews>
    <workbookView xWindow="840" yWindow="5355" windowWidth="16410" windowHeight="15885" tabRatio="863" xr2:uid="{00000000-000D-0000-FFFF-FFFF00000000}"/>
  </bookViews>
  <sheets>
    <sheet name="4.lapa" sheetId="2" r:id="rId1"/>
    <sheet name="5.lapa" sheetId="32" r:id="rId2"/>
    <sheet name="6.lapa" sheetId="1" r:id="rId3"/>
    <sheet name="7.lapa" sheetId="65" r:id="rId4"/>
    <sheet name="konstr2" sheetId="59" r:id="rId5"/>
    <sheet name="jkl" sheetId="5" r:id="rId6"/>
    <sheet name="siena2xx" sheetId="50" r:id="rId7"/>
    <sheet name="jumts2x" sheetId="60" r:id="rId8"/>
    <sheet name="jumts2xx" sheetId="68" r:id="rId9"/>
    <sheet name="jumts2xxx" sheetId="67" r:id="rId10"/>
    <sheet name="grida2" sheetId="61" r:id="rId11"/>
    <sheet name="kokagrida" sheetId="42" r:id="rId12"/>
    <sheet name="pagrbs_apkur" sheetId="70" r:id="rId13"/>
    <sheet name="grida_z&gt;5" sheetId="62" r:id="rId14"/>
    <sheet name="grida_z&lt;0,5m" sheetId="22" r:id="rId15"/>
    <sheet name="LBN" sheetId="11" r:id="rId16"/>
    <sheet name="IIIIIIIIIIIIIIIIIIIIIIII" sheetId="48" r:id="rId17"/>
    <sheet name="2x_siena_2 (s2)" sheetId="55" r:id="rId18"/>
    <sheet name="Sheet2" sheetId="56" r:id="rId19"/>
    <sheet name="G-2" sheetId="47" r:id="rId20"/>
    <sheet name="grida virs pagraba z virs 0.5" sheetId="31" r:id="rId21"/>
    <sheet name="jumts" sheetId="54" r:id="rId22"/>
    <sheet name="mansards 1x" sheetId="21" r:id="rId23"/>
    <sheet name="Sheet1" sheetId="53" r:id="rId24"/>
    <sheet name="jumt" sheetId="52" r:id="rId25"/>
    <sheet name="J - 2_x" sheetId="51" r:id="rId26"/>
    <sheet name="siena 1x" sheetId="33" r:id="rId27"/>
    <sheet name="benini 2xx" sheetId="37" r:id="rId28"/>
    <sheet name="jumts   2x" sheetId="45" r:id="rId29"/>
    <sheet name="grida uz grunts2" sheetId="39" r:id="rId30"/>
    <sheet name="2+1_siena" sheetId="44" r:id="rId31"/>
    <sheet name="grida_garaza" sheetId="43" r:id="rId32"/>
    <sheet name="2x_jumts_006" sheetId="40" r:id="rId33"/>
    <sheet name="G-4" sheetId="41" r:id="rId34"/>
    <sheet name="grīda uz grunts bez sanu izol" sheetId="25" r:id="rId35"/>
    <sheet name="1x_benini" sheetId="12" r:id="rId36"/>
    <sheet name="platibas" sheetId="23" r:id="rId37"/>
    <sheet name="grida vedin" sheetId="36" r:id="rId38"/>
    <sheet name="n-x_mansards" sheetId="26" r:id="rId39"/>
    <sheet name="1x_jumts" sheetId="27" r:id="rId40"/>
    <sheet name="3x_grida uz grunts" sheetId="28" r:id="rId41"/>
    <sheet name="grida uz grunts ar vert izol" sheetId="24" r:id="rId42"/>
  </sheets>
  <definedNames>
    <definedName name="CO2_apr">#REF!</definedName>
    <definedName name="CO2_izm">#REF!</definedName>
    <definedName name="_xlnm.Print_Area" localSheetId="17">'2x_siena_2 (s2)'!$A$1:$P$38</definedName>
    <definedName name="_xlnm.Print_Area" localSheetId="0">'4.lapa'!$A$1:$L$48</definedName>
    <definedName name="_xlnm.Print_Area" localSheetId="1">'5.lapa'!$A$3:$K$172</definedName>
    <definedName name="_xlnm.Print_Area" localSheetId="2">'6.lapa'!$A$1:$N$261</definedName>
    <definedName name="_xlnm.Print_Area" localSheetId="3">'7.lapa'!$A$1:$P$38</definedName>
    <definedName name="_xlnm.Print_Area" localSheetId="19">'G-2'!$A$2:$L$49</definedName>
    <definedName name="_xlnm.Print_Area" localSheetId="14">'grida_z&lt;0,5m'!$A$1:$K$58</definedName>
    <definedName name="_xlnm.Print_Area" localSheetId="13">'grida_z&gt;5'!$A$3:$K$61</definedName>
    <definedName name="_xlnm.Print_Area" localSheetId="10">grida2!$A$1:$K$48</definedName>
    <definedName name="_xlnm.Print_Area" localSheetId="16">IIIIIIIIIIIIIIIIIIIIIIII!$A$1:$N$106</definedName>
    <definedName name="_xlnm.Print_Area" localSheetId="5">jkl!$A$1:$K$48</definedName>
    <definedName name="_xlnm.Print_Area" localSheetId="24">jumt!$A$1:$N$82</definedName>
    <definedName name="_xlnm.Print_Area" localSheetId="21">jumts!$A$1:$N$173</definedName>
    <definedName name="_xlnm.Print_Area" localSheetId="7">jumts2x!$A$1:$P$38</definedName>
    <definedName name="_xlnm.Print_Area" localSheetId="8">jumts2xx!$A$1:$P$38</definedName>
    <definedName name="_xlnm.Print_Area" localSheetId="9">jumts2xxx!$A$1:$P$38</definedName>
    <definedName name="_xlnm.Print_Area" localSheetId="11">kokagrida!$A$1:$P$37</definedName>
    <definedName name="_xlnm.Print_Area" localSheetId="4">konstr2!$A$1:$N$261</definedName>
    <definedName name="_xlnm.Print_Area" localSheetId="22">'mansards 1x'!$A$1:$N$70</definedName>
    <definedName name="_xlnm.Print_Area" localSheetId="12">pagrbs_apkur!$A$1:$K$43</definedName>
    <definedName name="_xlnm.Print_Area" localSheetId="26">'siena 1x'!$A$1:$N$134</definedName>
    <definedName name="_xlnm.Print_Area" localSheetId="6">siena2xx!$A$1:$P$38</definedName>
    <definedName name="Qapr_kor">#REF!</definedName>
    <definedName name="Qdz_kor">#REF!</definedName>
    <definedName name="Wh_izm">#REF!</definedName>
    <definedName name="zona1_laukums">#REF!</definedName>
    <definedName name="zona2_laukums">#REF!</definedName>
    <definedName name="zona3_lauku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H21" i="1"/>
  <c r="J10" i="1"/>
  <c r="H43" i="1"/>
  <c r="C8" i="2"/>
  <c r="J148" i="32"/>
  <c r="D110" i="32"/>
  <c r="D72" i="32"/>
  <c r="H10" i="5"/>
  <c r="P2" i="2"/>
  <c r="C35" i="2"/>
  <c r="C34" i="2"/>
  <c r="H17" i="2"/>
  <c r="H14" i="2"/>
  <c r="H8" i="2"/>
  <c r="E168" i="32"/>
  <c r="E160" i="32" s="1"/>
  <c r="U4" i="2"/>
  <c r="C33" i="2" l="1"/>
  <c r="G23" i="11" l="1"/>
  <c r="H23" i="11" s="1"/>
  <c r="H18" i="2" s="1"/>
  <c r="G24" i="11"/>
  <c r="I24" i="11" s="1"/>
  <c r="G22" i="11"/>
  <c r="H9" i="2"/>
  <c r="H24" i="11" l="1"/>
  <c r="H19" i="2" s="1"/>
  <c r="I23" i="11"/>
  <c r="I22" i="11"/>
  <c r="H22" i="11"/>
  <c r="H10" i="2"/>
  <c r="I10" i="2" s="1"/>
  <c r="H15" i="2"/>
  <c r="H11" i="2" l="1"/>
  <c r="H16" i="2"/>
  <c r="H12" i="2"/>
  <c r="H21" i="70"/>
  <c r="H20" i="70"/>
  <c r="G36" i="70"/>
  <c r="H36" i="70" s="1"/>
  <c r="G35" i="70"/>
  <c r="H35" i="70" s="1"/>
  <c r="G34" i="70"/>
  <c r="H34" i="70" s="1"/>
  <c r="G33" i="70"/>
  <c r="H33" i="70" s="1"/>
  <c r="G32" i="70"/>
  <c r="H32" i="70" s="1"/>
  <c r="G31" i="70"/>
  <c r="H31" i="70" s="1"/>
  <c r="J15" i="70"/>
  <c r="H13" i="70"/>
  <c r="G13" i="70"/>
  <c r="G12" i="70"/>
  <c r="H12" i="70" s="1"/>
  <c r="G11" i="70"/>
  <c r="H11" i="70" s="1"/>
  <c r="G10" i="70"/>
  <c r="H10" i="70" s="1"/>
  <c r="I15" i="2"/>
  <c r="O35" i="68"/>
  <c r="X34" i="68"/>
  <c r="X33" i="68"/>
  <c r="I31" i="68"/>
  <c r="H31" i="68"/>
  <c r="F31" i="68"/>
  <c r="G31" i="68" s="1"/>
  <c r="M30" i="68"/>
  <c r="I30" i="68"/>
  <c r="H30" i="68"/>
  <c r="F30" i="68"/>
  <c r="G30" i="68" s="1"/>
  <c r="J29" i="68"/>
  <c r="H29" i="68"/>
  <c r="G29" i="68"/>
  <c r="F29" i="68"/>
  <c r="I29" i="68" s="1"/>
  <c r="L28" i="68"/>
  <c r="M28" i="68" s="1"/>
  <c r="I28" i="68"/>
  <c r="H28" i="68"/>
  <c r="F28" i="68"/>
  <c r="G28" i="68" s="1"/>
  <c r="J27" i="68"/>
  <c r="I27" i="68"/>
  <c r="F27" i="68"/>
  <c r="H27" i="68" s="1"/>
  <c r="L26" i="68"/>
  <c r="M26" i="68" s="1"/>
  <c r="J26" i="68"/>
  <c r="G26" i="68"/>
  <c r="F26" i="68"/>
  <c r="I26" i="68" s="1"/>
  <c r="I25" i="68"/>
  <c r="F25" i="68"/>
  <c r="G25" i="68" s="1"/>
  <c r="K24" i="68"/>
  <c r="J24" i="68"/>
  <c r="F24" i="68"/>
  <c r="H24" i="68" s="1"/>
  <c r="F23" i="68"/>
  <c r="G23" i="68" s="1"/>
  <c r="K22" i="68"/>
  <c r="F22" i="68"/>
  <c r="I22" i="68" s="1"/>
  <c r="G21" i="68"/>
  <c r="F21" i="68"/>
  <c r="H21" i="68" s="1"/>
  <c r="K20" i="68"/>
  <c r="I20" i="68"/>
  <c r="F20" i="68"/>
  <c r="J20" i="68" s="1"/>
  <c r="M19" i="68"/>
  <c r="L19" i="68"/>
  <c r="J19" i="68"/>
  <c r="I19" i="68"/>
  <c r="H19" i="68"/>
  <c r="G19" i="68"/>
  <c r="L18" i="68"/>
  <c r="M18" i="68" s="1"/>
  <c r="F18" i="68"/>
  <c r="J18" i="68" s="1"/>
  <c r="J15" i="68"/>
  <c r="I11" i="68"/>
  <c r="K21" i="68" s="1"/>
  <c r="L20" i="68" s="1"/>
  <c r="M20" i="68" s="1"/>
  <c r="G11" i="68"/>
  <c r="H15" i="68" s="1"/>
  <c r="L24" i="67"/>
  <c r="W35" i="67"/>
  <c r="X35" i="67"/>
  <c r="X34" i="67"/>
  <c r="X33" i="67"/>
  <c r="L22" i="67"/>
  <c r="V35" i="67"/>
  <c r="V34" i="67"/>
  <c r="V33" i="67"/>
  <c r="O35" i="67"/>
  <c r="H31" i="67"/>
  <c r="G31" i="67"/>
  <c r="F31" i="67"/>
  <c r="J31" i="67" s="1"/>
  <c r="M30" i="67"/>
  <c r="H30" i="67"/>
  <c r="G30" i="67"/>
  <c r="F30" i="67"/>
  <c r="J30" i="67" s="1"/>
  <c r="F29" i="67"/>
  <c r="J29" i="67" s="1"/>
  <c r="L28" i="67"/>
  <c r="M28" i="67" s="1"/>
  <c r="H28" i="67"/>
  <c r="G28" i="67"/>
  <c r="F28" i="67"/>
  <c r="J28" i="67" s="1"/>
  <c r="I27" i="67"/>
  <c r="H27" i="67"/>
  <c r="F27" i="67"/>
  <c r="G27" i="67" s="1"/>
  <c r="J26" i="67"/>
  <c r="I26" i="67"/>
  <c r="G26" i="67"/>
  <c r="F26" i="67"/>
  <c r="H26" i="67" s="1"/>
  <c r="I25" i="67"/>
  <c r="G25" i="67"/>
  <c r="F25" i="67"/>
  <c r="K24" i="67"/>
  <c r="J24" i="67"/>
  <c r="H24" i="67"/>
  <c r="F24" i="67"/>
  <c r="F23" i="67"/>
  <c r="H23" i="67" s="1"/>
  <c r="K22" i="67"/>
  <c r="F22" i="67"/>
  <c r="J22" i="67" s="1"/>
  <c r="K21" i="67"/>
  <c r="F21" i="67"/>
  <c r="H21" i="67" s="1"/>
  <c r="K20" i="67"/>
  <c r="F20" i="67"/>
  <c r="J20" i="67" s="1"/>
  <c r="M19" i="67"/>
  <c r="L19" i="67"/>
  <c r="J19" i="67"/>
  <c r="I19" i="67"/>
  <c r="H19" i="67"/>
  <c r="G19" i="67"/>
  <c r="L18" i="67"/>
  <c r="M18" i="67" s="1"/>
  <c r="J18" i="67"/>
  <c r="F18" i="67"/>
  <c r="I18" i="67" s="1"/>
  <c r="J15" i="67"/>
  <c r="I15" i="67"/>
  <c r="I11" i="67"/>
  <c r="K23" i="67" s="1"/>
  <c r="G11" i="67"/>
  <c r="H15" i="67" s="1"/>
  <c r="G11" i="60"/>
  <c r="F10" i="2"/>
  <c r="O35" i="65"/>
  <c r="F31" i="65"/>
  <c r="H31" i="65" s="1"/>
  <c r="F30" i="65"/>
  <c r="I30" i="65" s="1"/>
  <c r="F29" i="65"/>
  <c r="J29" i="65" s="1"/>
  <c r="F28" i="65"/>
  <c r="L28" i="65" s="1"/>
  <c r="M28" i="65" s="1"/>
  <c r="F27" i="65"/>
  <c r="I27" i="65" s="1"/>
  <c r="F26" i="65"/>
  <c r="G26" i="65" s="1"/>
  <c r="F25" i="65"/>
  <c r="I25" i="65" s="1"/>
  <c r="K24" i="65"/>
  <c r="F24" i="65"/>
  <c r="J24" i="65" s="1"/>
  <c r="F23" i="65"/>
  <c r="G23" i="65" s="1"/>
  <c r="K22" i="65"/>
  <c r="J22" i="65"/>
  <c r="I22" i="65"/>
  <c r="F22" i="65"/>
  <c r="H21" i="65"/>
  <c r="F21" i="65"/>
  <c r="G21" i="65" s="1"/>
  <c r="K20" i="65"/>
  <c r="J20" i="65"/>
  <c r="F20" i="65"/>
  <c r="I20" i="65" s="1"/>
  <c r="F19" i="65"/>
  <c r="H19" i="65" s="1"/>
  <c r="L18" i="65"/>
  <c r="M18" i="65" s="1"/>
  <c r="H18" i="65"/>
  <c r="F18" i="65"/>
  <c r="J18" i="65" s="1"/>
  <c r="J15" i="65"/>
  <c r="I11" i="65"/>
  <c r="K23" i="65" s="1"/>
  <c r="G11" i="65"/>
  <c r="K25" i="65" s="1"/>
  <c r="L22" i="50"/>
  <c r="M22" i="50" s="1"/>
  <c r="L24" i="50"/>
  <c r="M24" i="50" s="1"/>
  <c r="F31" i="50"/>
  <c r="L31" i="50" s="1"/>
  <c r="M31" i="50" s="1"/>
  <c r="F19" i="50"/>
  <c r="F20" i="50"/>
  <c r="F21" i="50"/>
  <c r="F22" i="50"/>
  <c r="F23" i="50"/>
  <c r="F24" i="50"/>
  <c r="F25" i="50"/>
  <c r="F26" i="50"/>
  <c r="L26" i="50" s="1"/>
  <c r="M26" i="50" s="1"/>
  <c r="F27" i="50"/>
  <c r="L27" i="50" s="1"/>
  <c r="M27" i="50" s="1"/>
  <c r="F28" i="50"/>
  <c r="F29" i="50"/>
  <c r="F30" i="50"/>
  <c r="L30" i="50" s="1"/>
  <c r="M30" i="50" s="1"/>
  <c r="L29" i="50"/>
  <c r="M29" i="50" s="1"/>
  <c r="L28" i="50"/>
  <c r="M28" i="50" s="1"/>
  <c r="L19" i="50"/>
  <c r="M19" i="50" s="1"/>
  <c r="H24" i="62"/>
  <c r="Z78" i="2"/>
  <c r="AA82" i="2"/>
  <c r="AA83" i="2"/>
  <c r="AA84" i="2"/>
  <c r="AA85" i="2"/>
  <c r="AA81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53" i="2"/>
  <c r="Y86" i="2"/>
  <c r="Y78" i="2"/>
  <c r="G54" i="62"/>
  <c r="H54" i="62" s="1"/>
  <c r="G53" i="62"/>
  <c r="H53" i="62" s="1"/>
  <c r="G52" i="62"/>
  <c r="H52" i="62" s="1"/>
  <c r="G51" i="62"/>
  <c r="H51" i="62" s="1"/>
  <c r="G50" i="62"/>
  <c r="H50" i="62" s="1"/>
  <c r="G49" i="62"/>
  <c r="H49" i="62" s="1"/>
  <c r="G34" i="62"/>
  <c r="H34" i="62" s="1"/>
  <c r="G33" i="62"/>
  <c r="H33" i="62" s="1"/>
  <c r="G32" i="62"/>
  <c r="H32" i="62" s="1"/>
  <c r="G31" i="62"/>
  <c r="H31" i="62" s="1"/>
  <c r="H36" i="62" s="1"/>
  <c r="H37" i="62" s="1"/>
  <c r="H25" i="62"/>
  <c r="J18" i="62"/>
  <c r="G16" i="62"/>
  <c r="H16" i="62" s="1"/>
  <c r="G15" i="62"/>
  <c r="H15" i="62" s="1"/>
  <c r="G14" i="62"/>
  <c r="H14" i="62" s="1"/>
  <c r="G13" i="62"/>
  <c r="H13" i="62" s="1"/>
  <c r="G12" i="62"/>
  <c r="H12" i="62" s="1"/>
  <c r="G11" i="62"/>
  <c r="H11" i="62" s="1"/>
  <c r="G10" i="62"/>
  <c r="H10" i="62" s="1"/>
  <c r="O5" i="2"/>
  <c r="E11" i="1"/>
  <c r="S22" i="11"/>
  <c r="S19" i="11"/>
  <c r="AB27" i="2"/>
  <c r="H156" i="32"/>
  <c r="AA27" i="2"/>
  <c r="AA24" i="2" s="1"/>
  <c r="D46" i="2"/>
  <c r="D45" i="2" s="1"/>
  <c r="H45" i="2" s="1"/>
  <c r="S5" i="2" s="1"/>
  <c r="H10" i="61"/>
  <c r="AC25" i="2"/>
  <c r="AC26" i="2"/>
  <c r="AC27" i="2"/>
  <c r="M53" i="61"/>
  <c r="N52" i="61"/>
  <c r="O47" i="61"/>
  <c r="H41" i="61"/>
  <c r="H42" i="61" s="1"/>
  <c r="H43" i="61" s="1"/>
  <c r="H34" i="61"/>
  <c r="H35" i="61" s="1"/>
  <c r="H33" i="61"/>
  <c r="T26" i="61"/>
  <c r="P25" i="61"/>
  <c r="P24" i="61"/>
  <c r="J24" i="61"/>
  <c r="P23" i="61"/>
  <c r="P22" i="61"/>
  <c r="G22" i="61"/>
  <c r="H22" i="61" s="1"/>
  <c r="G21" i="61"/>
  <c r="H21" i="61" s="1"/>
  <c r="G20" i="61"/>
  <c r="H20" i="61" s="1"/>
  <c r="G19" i="61"/>
  <c r="H19" i="61" s="1"/>
  <c r="G18" i="61"/>
  <c r="H18" i="61" s="1"/>
  <c r="G17" i="61"/>
  <c r="H17" i="61" s="1"/>
  <c r="H16" i="61"/>
  <c r="G16" i="61"/>
  <c r="S15" i="61"/>
  <c r="U14" i="61"/>
  <c r="U13" i="61"/>
  <c r="U15" i="61" s="1"/>
  <c r="T15" i="61" s="1"/>
  <c r="U12" i="61"/>
  <c r="U11" i="61"/>
  <c r="U10" i="61"/>
  <c r="P16" i="61"/>
  <c r="U9" i="61"/>
  <c r="U8" i="61"/>
  <c r="U7" i="61"/>
  <c r="O35" i="60"/>
  <c r="I31" i="60"/>
  <c r="H31" i="60"/>
  <c r="G31" i="60"/>
  <c r="F31" i="60"/>
  <c r="J31" i="60" s="1"/>
  <c r="M30" i="60"/>
  <c r="I30" i="60"/>
  <c r="H30" i="60"/>
  <c r="G30" i="60"/>
  <c r="F30" i="60"/>
  <c r="J30" i="60" s="1"/>
  <c r="F29" i="60"/>
  <c r="J29" i="60" s="1"/>
  <c r="L28" i="60"/>
  <c r="M28" i="60" s="1"/>
  <c r="I28" i="60"/>
  <c r="H28" i="60"/>
  <c r="G28" i="60"/>
  <c r="F28" i="60"/>
  <c r="J28" i="60" s="1"/>
  <c r="J27" i="60"/>
  <c r="I27" i="60"/>
  <c r="H27" i="60"/>
  <c r="F27" i="60"/>
  <c r="G27" i="60" s="1"/>
  <c r="L26" i="60"/>
  <c r="M26" i="60" s="1"/>
  <c r="J26" i="60"/>
  <c r="I26" i="60"/>
  <c r="H26" i="60"/>
  <c r="G26" i="60"/>
  <c r="F26" i="60"/>
  <c r="F25" i="60"/>
  <c r="I25" i="60" s="1"/>
  <c r="K24" i="60"/>
  <c r="J24" i="60"/>
  <c r="H24" i="60"/>
  <c r="F24" i="60"/>
  <c r="F23" i="60"/>
  <c r="H23" i="60" s="1"/>
  <c r="K22" i="60"/>
  <c r="F22" i="60"/>
  <c r="J22" i="60" s="1"/>
  <c r="H21" i="60"/>
  <c r="F21" i="60"/>
  <c r="G21" i="60" s="1"/>
  <c r="K20" i="60"/>
  <c r="F20" i="60"/>
  <c r="I20" i="60" s="1"/>
  <c r="M19" i="60"/>
  <c r="L19" i="60"/>
  <c r="J19" i="60"/>
  <c r="I19" i="60"/>
  <c r="H19" i="60"/>
  <c r="G19" i="60"/>
  <c r="H18" i="60"/>
  <c r="F18" i="60"/>
  <c r="I18" i="60" s="1"/>
  <c r="J15" i="60"/>
  <c r="I11" i="60"/>
  <c r="K23" i="60" s="1"/>
  <c r="H15" i="60"/>
  <c r="J27" i="65" l="1"/>
  <c r="L29" i="65"/>
  <c r="M29" i="65" s="1"/>
  <c r="H23" i="65"/>
  <c r="H15" i="65"/>
  <c r="L22" i="65"/>
  <c r="M22" i="65" s="1"/>
  <c r="H38" i="70"/>
  <c r="H39" i="70" s="1"/>
  <c r="H16" i="70"/>
  <c r="H26" i="70" s="1"/>
  <c r="H22" i="70"/>
  <c r="X35" i="68"/>
  <c r="G18" i="68"/>
  <c r="G32" i="68" s="1"/>
  <c r="J22" i="68"/>
  <c r="H23" i="68"/>
  <c r="L27" i="68"/>
  <c r="M27" i="68" s="1"/>
  <c r="J28" i="68"/>
  <c r="J30" i="68"/>
  <c r="J31" i="68"/>
  <c r="V35" i="68"/>
  <c r="G15" i="68"/>
  <c r="H18" i="68"/>
  <c r="H32" i="68" s="1"/>
  <c r="K23" i="68"/>
  <c r="L22" i="68" s="1"/>
  <c r="M22" i="68" s="1"/>
  <c r="K25" i="68"/>
  <c r="L24" i="68" s="1"/>
  <c r="M24" i="68" s="1"/>
  <c r="I18" i="68"/>
  <c r="I32" i="68" s="1"/>
  <c r="H26" i="68"/>
  <c r="G27" i="68"/>
  <c r="I15" i="68"/>
  <c r="I20" i="67"/>
  <c r="L20" i="67"/>
  <c r="M20" i="67" s="1"/>
  <c r="G21" i="67"/>
  <c r="M22" i="67"/>
  <c r="I22" i="67"/>
  <c r="I32" i="67" s="1"/>
  <c r="G23" i="67"/>
  <c r="K25" i="67"/>
  <c r="L26" i="67"/>
  <c r="M26" i="67" s="1"/>
  <c r="J27" i="67"/>
  <c r="J32" i="67" s="1"/>
  <c r="I28" i="67"/>
  <c r="H29" i="67"/>
  <c r="I30" i="67"/>
  <c r="I31" i="67"/>
  <c r="G18" i="67"/>
  <c r="L27" i="67"/>
  <c r="M27" i="67" s="1"/>
  <c r="I29" i="67"/>
  <c r="G29" i="67"/>
  <c r="G15" i="67"/>
  <c r="H18" i="67"/>
  <c r="J18" i="60"/>
  <c r="L18" i="60"/>
  <c r="M18" i="60" s="1"/>
  <c r="J20" i="60"/>
  <c r="K21" i="60"/>
  <c r="L20" i="60" s="1"/>
  <c r="M20" i="60" s="1"/>
  <c r="I15" i="60"/>
  <c r="L27" i="65"/>
  <c r="M27" i="65" s="1"/>
  <c r="H29" i="65"/>
  <c r="G27" i="65"/>
  <c r="I29" i="65"/>
  <c r="I31" i="65"/>
  <c r="J30" i="65"/>
  <c r="G30" i="65"/>
  <c r="H30" i="65"/>
  <c r="G18" i="65"/>
  <c r="I18" i="65"/>
  <c r="H26" i="65"/>
  <c r="I15" i="65"/>
  <c r="I19" i="65"/>
  <c r="L24" i="65"/>
  <c r="M24" i="65" s="1"/>
  <c r="J19" i="65"/>
  <c r="K21" i="65"/>
  <c r="L20" i="65" s="1"/>
  <c r="M20" i="65" s="1"/>
  <c r="H24" i="65"/>
  <c r="G25" i="65"/>
  <c r="I26" i="65"/>
  <c r="H27" i="65"/>
  <c r="G28" i="65"/>
  <c r="L30" i="65"/>
  <c r="M30" i="65" s="1"/>
  <c r="J31" i="65"/>
  <c r="L19" i="65"/>
  <c r="M19" i="65" s="1"/>
  <c r="J26" i="65"/>
  <c r="H28" i="65"/>
  <c r="G29" i="65"/>
  <c r="L31" i="65"/>
  <c r="M31" i="65" s="1"/>
  <c r="L26" i="65"/>
  <c r="M26" i="65" s="1"/>
  <c r="I28" i="65"/>
  <c r="G15" i="65"/>
  <c r="G19" i="65"/>
  <c r="J28" i="65"/>
  <c r="G31" i="65"/>
  <c r="AA86" i="2"/>
  <c r="Z86" i="2" s="1"/>
  <c r="AA78" i="2"/>
  <c r="H26" i="62"/>
  <c r="H38" i="62" s="1"/>
  <c r="H55" i="62"/>
  <c r="H39" i="62" s="1"/>
  <c r="H40" i="62" s="1"/>
  <c r="H19" i="62"/>
  <c r="H20" i="62" s="1"/>
  <c r="AA28" i="2"/>
  <c r="AC24" i="2"/>
  <c r="AC28" i="2" s="1"/>
  <c r="H26" i="61"/>
  <c r="H27" i="61" s="1"/>
  <c r="G25" i="60"/>
  <c r="L22" i="60"/>
  <c r="M22" i="60" s="1"/>
  <c r="J32" i="60"/>
  <c r="L24" i="60"/>
  <c r="M24" i="60" s="1"/>
  <c r="G29" i="60"/>
  <c r="I22" i="60"/>
  <c r="I32" i="60" s="1"/>
  <c r="G23" i="60"/>
  <c r="K25" i="60"/>
  <c r="H29" i="60"/>
  <c r="H32" i="60" s="1"/>
  <c r="G18" i="60"/>
  <c r="L27" i="60"/>
  <c r="M27" i="60" s="1"/>
  <c r="I29" i="60"/>
  <c r="G15" i="60"/>
  <c r="M257" i="59"/>
  <c r="F255" i="59"/>
  <c r="J255" i="59" s="1"/>
  <c r="K255" i="59" s="1"/>
  <c r="F254" i="59"/>
  <c r="J254" i="59" s="1"/>
  <c r="K254" i="59" s="1"/>
  <c r="F253" i="59"/>
  <c r="H253" i="59" s="1"/>
  <c r="F252" i="59"/>
  <c r="G252" i="59" s="1"/>
  <c r="I251" i="59"/>
  <c r="F251" i="59"/>
  <c r="H251" i="59" s="1"/>
  <c r="F250" i="59"/>
  <c r="G250" i="59" s="1"/>
  <c r="I249" i="59"/>
  <c r="F249" i="59"/>
  <c r="H249" i="59" s="1"/>
  <c r="F248" i="59"/>
  <c r="J248" i="59" s="1"/>
  <c r="K248" i="59" s="1"/>
  <c r="F247" i="59"/>
  <c r="J247" i="59" s="1"/>
  <c r="K247" i="59" s="1"/>
  <c r="F246" i="59"/>
  <c r="J246" i="59" s="1"/>
  <c r="K246" i="59" s="1"/>
  <c r="F245" i="59"/>
  <c r="F244" i="59"/>
  <c r="J244" i="59" s="1"/>
  <c r="K244" i="59" s="1"/>
  <c r="H241" i="59"/>
  <c r="G241" i="59"/>
  <c r="Q238" i="59"/>
  <c r="G237" i="59"/>
  <c r="I252" i="59" s="1"/>
  <c r="M223" i="59"/>
  <c r="J221" i="59"/>
  <c r="K221" i="59" s="1"/>
  <c r="H221" i="59"/>
  <c r="G221" i="59"/>
  <c r="F221" i="59"/>
  <c r="H220" i="59"/>
  <c r="G220" i="59"/>
  <c r="D220" i="59"/>
  <c r="F220" i="59" s="1"/>
  <c r="J220" i="59" s="1"/>
  <c r="K220" i="59" s="1"/>
  <c r="D219" i="59"/>
  <c r="F219" i="59" s="1"/>
  <c r="D218" i="59"/>
  <c r="F218" i="59" s="1"/>
  <c r="D217" i="59"/>
  <c r="F217" i="59" s="1"/>
  <c r="G217" i="59" s="1"/>
  <c r="F216" i="59"/>
  <c r="H216" i="59" s="1"/>
  <c r="D215" i="59"/>
  <c r="F215" i="59" s="1"/>
  <c r="G215" i="59" s="1"/>
  <c r="I214" i="59"/>
  <c r="I216" i="59" s="1"/>
  <c r="F214" i="59"/>
  <c r="H214" i="59" s="1"/>
  <c r="H211" i="59"/>
  <c r="Q208" i="59"/>
  <c r="G207" i="59"/>
  <c r="G211" i="59" s="1"/>
  <c r="M194" i="59"/>
  <c r="F190" i="59"/>
  <c r="G190" i="59" s="1"/>
  <c r="K189" i="59"/>
  <c r="H189" i="59"/>
  <c r="G189" i="59"/>
  <c r="F188" i="59"/>
  <c r="J188" i="59" s="1"/>
  <c r="K188" i="59" s="1"/>
  <c r="D187" i="59"/>
  <c r="F187" i="59" s="1"/>
  <c r="J187" i="59" s="1"/>
  <c r="K187" i="59" s="1"/>
  <c r="D186" i="59"/>
  <c r="F186" i="59" s="1"/>
  <c r="G186" i="59" s="1"/>
  <c r="F185" i="59"/>
  <c r="H185" i="59" s="1"/>
  <c r="G184" i="59"/>
  <c r="F184" i="59"/>
  <c r="I183" i="59"/>
  <c r="I185" i="59" s="1"/>
  <c r="F183" i="59"/>
  <c r="H180" i="59"/>
  <c r="Q177" i="59"/>
  <c r="S176" i="59"/>
  <c r="G176" i="59"/>
  <c r="I184" i="59" s="1"/>
  <c r="I186" i="59" s="1"/>
  <c r="M164" i="59"/>
  <c r="H160" i="59"/>
  <c r="F160" i="59"/>
  <c r="G160" i="59" s="1"/>
  <c r="H159" i="59"/>
  <c r="G159" i="59"/>
  <c r="F159" i="59"/>
  <c r="J159" i="59" s="1"/>
  <c r="K159" i="59" s="1"/>
  <c r="D158" i="59"/>
  <c r="F158" i="59" s="1"/>
  <c r="D157" i="59"/>
  <c r="F157" i="59" s="1"/>
  <c r="D156" i="59"/>
  <c r="F156" i="59" s="1"/>
  <c r="G156" i="59" s="1"/>
  <c r="F155" i="59"/>
  <c r="H155" i="59" s="1"/>
  <c r="D154" i="59"/>
  <c r="F154" i="59" s="1"/>
  <c r="G154" i="59" s="1"/>
  <c r="I153" i="59"/>
  <c r="I155" i="59" s="1"/>
  <c r="F153" i="59"/>
  <c r="H153" i="59" s="1"/>
  <c r="H150" i="59"/>
  <c r="Q147" i="59"/>
  <c r="S146" i="59"/>
  <c r="G146" i="59"/>
  <c r="G150" i="59" s="1"/>
  <c r="M134" i="59"/>
  <c r="H132" i="59"/>
  <c r="J132" i="59" s="1"/>
  <c r="H131" i="59"/>
  <c r="J131" i="59" s="1"/>
  <c r="J130" i="59"/>
  <c r="H130" i="59"/>
  <c r="H129" i="59"/>
  <c r="J129" i="59" s="1"/>
  <c r="E128" i="59"/>
  <c r="H128" i="59" s="1"/>
  <c r="J128" i="59" s="1"/>
  <c r="E127" i="59"/>
  <c r="H127" i="59" s="1"/>
  <c r="J127" i="59" s="1"/>
  <c r="H126" i="59"/>
  <c r="J126" i="59" s="1"/>
  <c r="E125" i="59"/>
  <c r="H125" i="59" s="1"/>
  <c r="J125" i="59" s="1"/>
  <c r="H124" i="59"/>
  <c r="J124" i="59" s="1"/>
  <c r="H123" i="59"/>
  <c r="J123" i="59" s="1"/>
  <c r="S116" i="59"/>
  <c r="M109" i="59"/>
  <c r="H107" i="59"/>
  <c r="J107" i="59" s="1"/>
  <c r="E106" i="59"/>
  <c r="H106" i="59" s="1"/>
  <c r="J106" i="59" s="1"/>
  <c r="J105" i="59"/>
  <c r="H104" i="59"/>
  <c r="J104" i="59" s="1"/>
  <c r="J103" i="59"/>
  <c r="E102" i="59"/>
  <c r="H102" i="59" s="1"/>
  <c r="J102" i="59" s="1"/>
  <c r="E101" i="59"/>
  <c r="H101" i="59" s="1"/>
  <c r="J101" i="59" s="1"/>
  <c r="E100" i="59"/>
  <c r="H100" i="59" s="1"/>
  <c r="J100" i="59" s="1"/>
  <c r="H99" i="59"/>
  <c r="J99" i="59" s="1"/>
  <c r="M86" i="59"/>
  <c r="H84" i="59"/>
  <c r="J84" i="59" s="1"/>
  <c r="H83" i="59"/>
  <c r="J83" i="59" s="1"/>
  <c r="H82" i="59"/>
  <c r="J82" i="59" s="1"/>
  <c r="H81" i="59"/>
  <c r="J81" i="59" s="1"/>
  <c r="E80" i="59"/>
  <c r="H80" i="59" s="1"/>
  <c r="J80" i="59" s="1"/>
  <c r="E79" i="59"/>
  <c r="H79" i="59" s="1"/>
  <c r="J79" i="59" s="1"/>
  <c r="J78" i="59"/>
  <c r="H78" i="59"/>
  <c r="E77" i="59"/>
  <c r="H77" i="59" s="1"/>
  <c r="J77" i="59" s="1"/>
  <c r="H76" i="59"/>
  <c r="J76" i="59" s="1"/>
  <c r="M63" i="59"/>
  <c r="H61" i="59"/>
  <c r="J61" i="59" s="1"/>
  <c r="H60" i="59"/>
  <c r="J60" i="59" s="1"/>
  <c r="J59" i="59"/>
  <c r="H59" i="59"/>
  <c r="H58" i="59"/>
  <c r="J58" i="59" s="1"/>
  <c r="H57" i="59"/>
  <c r="J57" i="59" s="1"/>
  <c r="J56" i="59"/>
  <c r="H56" i="59"/>
  <c r="E55" i="59"/>
  <c r="H55" i="59" s="1"/>
  <c r="J55" i="59" s="1"/>
  <c r="E54" i="59"/>
  <c r="H54" i="59" s="1"/>
  <c r="J54" i="59" s="1"/>
  <c r="H53" i="59"/>
  <c r="J53" i="59" s="1"/>
  <c r="M41" i="59"/>
  <c r="H39" i="59"/>
  <c r="J39" i="59" s="1"/>
  <c r="H38" i="59"/>
  <c r="J38" i="59" s="1"/>
  <c r="H37" i="59"/>
  <c r="J37" i="59" s="1"/>
  <c r="E36" i="59"/>
  <c r="H36" i="59" s="1"/>
  <c r="J36" i="59" s="1"/>
  <c r="E35" i="59"/>
  <c r="H35" i="59" s="1"/>
  <c r="J35" i="59" s="1"/>
  <c r="H34" i="59"/>
  <c r="J34" i="59" s="1"/>
  <c r="E33" i="59"/>
  <c r="H33" i="59" s="1"/>
  <c r="J33" i="59" s="1"/>
  <c r="E32" i="59"/>
  <c r="H32" i="59" s="1"/>
  <c r="J32" i="59" s="1"/>
  <c r="H31" i="59"/>
  <c r="J31" i="59" s="1"/>
  <c r="M19" i="59"/>
  <c r="H17" i="59"/>
  <c r="J17" i="59" s="1"/>
  <c r="H16" i="59"/>
  <c r="J16" i="59" s="1"/>
  <c r="E15" i="59"/>
  <c r="H15" i="59" s="1"/>
  <c r="J15" i="59" s="1"/>
  <c r="E13" i="59"/>
  <c r="H13" i="59" s="1"/>
  <c r="J13" i="59" s="1"/>
  <c r="H12" i="59"/>
  <c r="J12" i="59" s="1"/>
  <c r="E11" i="59"/>
  <c r="H11" i="59" s="1"/>
  <c r="J11" i="59" s="1"/>
  <c r="E10" i="59"/>
  <c r="H10" i="59" s="1"/>
  <c r="J10" i="59" s="1"/>
  <c r="J9" i="59"/>
  <c r="H9" i="59"/>
  <c r="E33" i="1"/>
  <c r="E55" i="1"/>
  <c r="M63" i="1"/>
  <c r="E54" i="1"/>
  <c r="E32" i="1"/>
  <c r="H32" i="65" l="1"/>
  <c r="K33" i="65"/>
  <c r="H27" i="70"/>
  <c r="H40" i="70"/>
  <c r="W35" i="68"/>
  <c r="J32" i="68"/>
  <c r="K33" i="68"/>
  <c r="G33" i="68"/>
  <c r="I37" i="68" s="1"/>
  <c r="M24" i="67"/>
  <c r="K33" i="67" s="1"/>
  <c r="G32" i="67"/>
  <c r="H32" i="67"/>
  <c r="K33" i="60"/>
  <c r="J32" i="65"/>
  <c r="I32" i="65"/>
  <c r="G32" i="65"/>
  <c r="AB28" i="2"/>
  <c r="H41" i="62"/>
  <c r="H57" i="62"/>
  <c r="H58" i="62" s="1"/>
  <c r="AD15" i="2"/>
  <c r="H45" i="61"/>
  <c r="H37" i="61"/>
  <c r="G32" i="60"/>
  <c r="G33" i="60" s="1"/>
  <c r="I37" i="60" s="1"/>
  <c r="AB15" i="2"/>
  <c r="J253" i="59"/>
  <c r="K253" i="59" s="1"/>
  <c r="G253" i="59"/>
  <c r="G248" i="59"/>
  <c r="G180" i="59"/>
  <c r="J160" i="59"/>
  <c r="K160" i="59" s="1"/>
  <c r="I250" i="59"/>
  <c r="J249" i="59" s="1"/>
  <c r="K249" i="59" s="1"/>
  <c r="G188" i="59"/>
  <c r="J190" i="59"/>
  <c r="K190" i="59" s="1"/>
  <c r="J157" i="59"/>
  <c r="K157" i="59" s="1"/>
  <c r="H157" i="59"/>
  <c r="J158" i="59"/>
  <c r="K158" i="59" s="1"/>
  <c r="H158" i="59"/>
  <c r="H65" i="59"/>
  <c r="H190" i="59"/>
  <c r="J218" i="59"/>
  <c r="K218" i="59" s="1"/>
  <c r="H218" i="59"/>
  <c r="G218" i="59"/>
  <c r="J109" i="59"/>
  <c r="H111" i="59"/>
  <c r="H136" i="59"/>
  <c r="J134" i="59"/>
  <c r="J219" i="59"/>
  <c r="K219" i="59" s="1"/>
  <c r="G219" i="59"/>
  <c r="H219" i="59"/>
  <c r="H88" i="59"/>
  <c r="J183" i="59"/>
  <c r="K183" i="59" s="1"/>
  <c r="I191" i="59" s="1"/>
  <c r="J185" i="59"/>
  <c r="K185" i="59" s="1"/>
  <c r="J251" i="59"/>
  <c r="K251" i="59" s="1"/>
  <c r="H21" i="59"/>
  <c r="H43" i="59"/>
  <c r="J41" i="59"/>
  <c r="J63" i="59"/>
  <c r="J86" i="59"/>
  <c r="I154" i="59"/>
  <c r="G157" i="59"/>
  <c r="G158" i="59"/>
  <c r="I215" i="59"/>
  <c r="I217" i="59" s="1"/>
  <c r="J216" i="59" s="1"/>
  <c r="K216" i="59" s="1"/>
  <c r="H183" i="59"/>
  <c r="G187" i="59"/>
  <c r="H188" i="59"/>
  <c r="G247" i="59"/>
  <c r="H248" i="59"/>
  <c r="G255" i="59"/>
  <c r="J19" i="59"/>
  <c r="O11" i="59" s="1"/>
  <c r="P23" i="59" s="1"/>
  <c r="H187" i="59"/>
  <c r="G244" i="59"/>
  <c r="G246" i="59"/>
  <c r="H247" i="59"/>
  <c r="G254" i="59"/>
  <c r="H255" i="59"/>
  <c r="H244" i="59"/>
  <c r="H246" i="59"/>
  <c r="H254" i="59"/>
  <c r="N52" i="5"/>
  <c r="M53" i="5"/>
  <c r="D215" i="1"/>
  <c r="D217" i="1"/>
  <c r="G33" i="65" l="1"/>
  <c r="I37" i="65" s="1"/>
  <c r="F11" i="2" s="1"/>
  <c r="I11" i="2" s="1"/>
  <c r="AC15" i="2"/>
  <c r="H42" i="70"/>
  <c r="F18" i="2" s="1"/>
  <c r="I18" i="2" s="1"/>
  <c r="G33" i="67"/>
  <c r="I37" i="67" s="1"/>
  <c r="H60" i="62"/>
  <c r="G222" i="59"/>
  <c r="I256" i="59"/>
  <c r="G191" i="59"/>
  <c r="H161" i="59"/>
  <c r="G161" i="59"/>
  <c r="G162" i="59" s="1"/>
  <c r="H191" i="59"/>
  <c r="G192" i="59" s="1"/>
  <c r="H196" i="59" s="1"/>
  <c r="H222" i="59"/>
  <c r="G223" i="59" s="1"/>
  <c r="P25" i="59"/>
  <c r="O21" i="59"/>
  <c r="G256" i="59"/>
  <c r="J214" i="59"/>
  <c r="K214" i="59" s="1"/>
  <c r="I222" i="59" s="1"/>
  <c r="H256" i="59"/>
  <c r="J153" i="59"/>
  <c r="K153" i="59" s="1"/>
  <c r="I156" i="59"/>
  <c r="J155" i="59" s="1"/>
  <c r="K155" i="59" s="1"/>
  <c r="F52" i="32"/>
  <c r="I52" i="32" s="1"/>
  <c r="D156" i="1"/>
  <c r="D157" i="1"/>
  <c r="D158" i="1"/>
  <c r="D154" i="1"/>
  <c r="G257" i="59" l="1"/>
  <c r="H260" i="59" s="1"/>
  <c r="H226" i="59"/>
  <c r="I161" i="59"/>
  <c r="H166" i="59" s="1"/>
  <c r="F120" i="32" l="1"/>
  <c r="G120" i="32"/>
  <c r="F121" i="32"/>
  <c r="I121" i="32" s="1"/>
  <c r="G121" i="32"/>
  <c r="F122" i="32"/>
  <c r="I122" i="32" s="1"/>
  <c r="G122" i="32"/>
  <c r="F123" i="32"/>
  <c r="I123" i="32" s="1"/>
  <c r="G123" i="32"/>
  <c r="F124" i="32"/>
  <c r="I124" i="32" s="1"/>
  <c r="G124" i="32"/>
  <c r="F125" i="32"/>
  <c r="I125" i="32" s="1"/>
  <c r="G125" i="32"/>
  <c r="F126" i="32"/>
  <c r="I126" i="32" s="1"/>
  <c r="G126" i="32"/>
  <c r="F127" i="32"/>
  <c r="I127" i="32" s="1"/>
  <c r="G127" i="32"/>
  <c r="F128" i="32"/>
  <c r="I128" i="32" s="1"/>
  <c r="G128" i="32"/>
  <c r="F129" i="32"/>
  <c r="I129" i="32" s="1"/>
  <c r="G129" i="32"/>
  <c r="F130" i="32"/>
  <c r="I130" i="32" s="1"/>
  <c r="G130" i="32"/>
  <c r="F131" i="32"/>
  <c r="I131" i="32" s="1"/>
  <c r="G131" i="32"/>
  <c r="F132" i="32"/>
  <c r="I132" i="32" s="1"/>
  <c r="G132" i="32"/>
  <c r="F133" i="32"/>
  <c r="I133" i="32" s="1"/>
  <c r="G133" i="32"/>
  <c r="F134" i="32"/>
  <c r="I134" i="32" s="1"/>
  <c r="G134" i="32"/>
  <c r="F135" i="32"/>
  <c r="I135" i="32" s="1"/>
  <c r="G135" i="32"/>
  <c r="F136" i="32"/>
  <c r="I136" i="32" s="1"/>
  <c r="G136" i="32"/>
  <c r="F137" i="32"/>
  <c r="I137" i="32" s="1"/>
  <c r="G137" i="32"/>
  <c r="F138" i="32"/>
  <c r="I138" i="32" s="1"/>
  <c r="G138" i="32"/>
  <c r="F139" i="32"/>
  <c r="I139" i="32" s="1"/>
  <c r="G139" i="32"/>
  <c r="F140" i="32"/>
  <c r="I140" i="32" s="1"/>
  <c r="G140" i="32"/>
  <c r="B141" i="32"/>
  <c r="F141" i="32"/>
  <c r="I141" i="32" s="1"/>
  <c r="G141" i="32"/>
  <c r="F142" i="32"/>
  <c r="I142" i="32" s="1"/>
  <c r="G142" i="32"/>
  <c r="F143" i="32"/>
  <c r="I143" i="32" s="1"/>
  <c r="G143" i="32"/>
  <c r="S75" i="2"/>
  <c r="H69" i="32"/>
  <c r="J135" i="32" l="1"/>
  <c r="J130" i="32"/>
  <c r="J125" i="32"/>
  <c r="J138" i="32"/>
  <c r="J141" i="32"/>
  <c r="E125" i="1"/>
  <c r="E127" i="1"/>
  <c r="D218" i="1" l="1"/>
  <c r="B51" i="32"/>
  <c r="F51" i="32"/>
  <c r="I51" i="32" s="1"/>
  <c r="G51" i="32"/>
  <c r="G52" i="32"/>
  <c r="F53" i="32"/>
  <c r="I53" i="32" s="1"/>
  <c r="G53" i="32"/>
  <c r="F54" i="32"/>
  <c r="I54" i="32" s="1"/>
  <c r="G54" i="32"/>
  <c r="G55" i="32"/>
  <c r="F55" i="32"/>
  <c r="I55" i="32" s="1"/>
  <c r="F56" i="32"/>
  <c r="I56" i="32" s="1"/>
  <c r="G56" i="32"/>
  <c r="B57" i="32"/>
  <c r="F57" i="32"/>
  <c r="I57" i="32" s="1"/>
  <c r="G57" i="32"/>
  <c r="F58" i="32"/>
  <c r="I58" i="32" s="1"/>
  <c r="G58" i="32"/>
  <c r="F59" i="32"/>
  <c r="I59" i="32" s="1"/>
  <c r="G59" i="32"/>
  <c r="B60" i="32"/>
  <c r="F60" i="32"/>
  <c r="I60" i="32" s="1"/>
  <c r="G60" i="32"/>
  <c r="F61" i="32"/>
  <c r="I61" i="32" s="1"/>
  <c r="G61" i="32"/>
  <c r="F62" i="32"/>
  <c r="I62" i="32" s="1"/>
  <c r="G62" i="32"/>
  <c r="B63" i="32"/>
  <c r="F63" i="32"/>
  <c r="I63" i="32" s="1"/>
  <c r="F64" i="32"/>
  <c r="I64" i="32" s="1"/>
  <c r="G64" i="32"/>
  <c r="B65" i="32"/>
  <c r="F65" i="32"/>
  <c r="I65" i="32" s="1"/>
  <c r="G65" i="32"/>
  <c r="F66" i="32"/>
  <c r="I66" i="32" s="1"/>
  <c r="G66" i="32"/>
  <c r="B67" i="32"/>
  <c r="F67" i="32"/>
  <c r="I67" i="32" s="1"/>
  <c r="G67" i="32"/>
  <c r="F68" i="32"/>
  <c r="I68" i="32" s="1"/>
  <c r="G68" i="32"/>
  <c r="B69" i="32"/>
  <c r="E77" i="1"/>
  <c r="E80" i="1"/>
  <c r="E79" i="1"/>
  <c r="E10" i="1"/>
  <c r="J57" i="32" l="1"/>
  <c r="J63" i="32"/>
  <c r="J60" i="32"/>
  <c r="J51" i="32"/>
  <c r="J67" i="32"/>
  <c r="J65" i="32"/>
  <c r="G63" i="32"/>
  <c r="U42" i="2"/>
  <c r="E36" i="1" l="1"/>
  <c r="E35" i="1"/>
  <c r="G17" i="32" l="1"/>
  <c r="G80" i="32"/>
  <c r="C32" i="2" l="1"/>
  <c r="M24" i="42"/>
  <c r="L24" i="42"/>
  <c r="E106" i="1"/>
  <c r="E100" i="1"/>
  <c r="M109" i="1"/>
  <c r="G24" i="32" l="1"/>
  <c r="H12" i="1"/>
  <c r="H16" i="1"/>
  <c r="H17" i="1"/>
  <c r="E15" i="1"/>
  <c r="H15" i="1" s="1"/>
  <c r="H25" i="22" l="1"/>
  <c r="H26" i="22" s="1"/>
  <c r="H25" i="31"/>
  <c r="L19" i="42" l="1"/>
  <c r="M19" i="42" s="1"/>
  <c r="I19" i="42"/>
  <c r="J19" i="42"/>
  <c r="G19" i="42"/>
  <c r="H19" i="42"/>
  <c r="G25" i="42"/>
  <c r="F17" i="32" l="1"/>
  <c r="F18" i="32"/>
  <c r="I18" i="32" s="1"/>
  <c r="F19" i="32"/>
  <c r="I19" i="32" s="1"/>
  <c r="F20" i="32"/>
  <c r="I20" i="32" s="1"/>
  <c r="F21" i="32"/>
  <c r="I21" i="32" s="1"/>
  <c r="F22" i="32"/>
  <c r="I22" i="32" s="1"/>
  <c r="F23" i="32"/>
  <c r="I23" i="32" s="1"/>
  <c r="F24" i="32"/>
  <c r="I24" i="32" s="1"/>
  <c r="F25" i="32"/>
  <c r="I25" i="32" s="1"/>
  <c r="F26" i="32"/>
  <c r="I26" i="32" s="1"/>
  <c r="F27" i="32"/>
  <c r="I27" i="32" s="1"/>
  <c r="F28" i="32"/>
  <c r="I28" i="32" s="1"/>
  <c r="F29" i="32"/>
  <c r="I29" i="32" s="1"/>
  <c r="F30" i="32"/>
  <c r="I30" i="32" s="1"/>
  <c r="G220" i="1"/>
  <c r="H11" i="1"/>
  <c r="F218" i="1"/>
  <c r="J27" i="32" l="1"/>
  <c r="J24" i="32"/>
  <c r="F167" i="32" l="1"/>
  <c r="F166" i="32"/>
  <c r="H80" i="1"/>
  <c r="E128" i="1"/>
  <c r="H10" i="1"/>
  <c r="F44" i="32"/>
  <c r="I44" i="32" s="1"/>
  <c r="F46" i="32"/>
  <c r="I46" i="32" s="1"/>
  <c r="F47" i="32"/>
  <c r="I47" i="32" s="1"/>
  <c r="F49" i="32"/>
  <c r="I49" i="32" s="1"/>
  <c r="J49" i="32" s="1"/>
  <c r="F50" i="32"/>
  <c r="I50" i="32" s="1"/>
  <c r="J50" i="32" s="1"/>
  <c r="B107" i="32"/>
  <c r="B144" i="32" s="1"/>
  <c r="V74" i="2"/>
  <c r="F89" i="48" l="1"/>
  <c r="H89" i="48" s="1"/>
  <c r="F159" i="1"/>
  <c r="J159" i="1" s="1"/>
  <c r="K159" i="1" s="1"/>
  <c r="G89" i="48" l="1"/>
  <c r="D219" i="1"/>
  <c r="F31" i="32" l="1"/>
  <c r="I31" i="32" s="1"/>
  <c r="O47" i="5" l="1"/>
  <c r="H109" i="32" l="1"/>
  <c r="K22" i="42" l="1"/>
  <c r="K20" i="42"/>
  <c r="M257" i="1" l="1"/>
  <c r="F24" i="42" l="1"/>
  <c r="G81" i="48" l="1"/>
  <c r="C23" i="2" l="1"/>
  <c r="M223" i="1"/>
  <c r="M41" i="1"/>
  <c r="D187" i="1" l="1"/>
  <c r="W11" i="2"/>
  <c r="M19" i="1" l="1"/>
  <c r="H8" i="5" s="1"/>
  <c r="I166" i="32"/>
  <c r="I167" i="32"/>
  <c r="I171" i="32"/>
  <c r="J171" i="32" s="1"/>
  <c r="I170" i="32"/>
  <c r="J170" i="32" s="1"/>
  <c r="F170" i="32"/>
  <c r="F169" i="32"/>
  <c r="F165" i="32"/>
  <c r="I165" i="32" s="1"/>
  <c r="F163" i="32"/>
  <c r="I163" i="32" s="1"/>
  <c r="F162" i="32"/>
  <c r="I162" i="32" s="1"/>
  <c r="F161" i="32"/>
  <c r="I161" i="32" s="1"/>
  <c r="H147" i="32"/>
  <c r="H146" i="32"/>
  <c r="H145" i="32"/>
  <c r="H144" i="32"/>
  <c r="K143" i="32"/>
  <c r="K142" i="32"/>
  <c r="K141" i="32"/>
  <c r="K140" i="32"/>
  <c r="K139" i="32"/>
  <c r="K138" i="32"/>
  <c r="K137" i="32"/>
  <c r="K136" i="32"/>
  <c r="K135" i="32"/>
  <c r="K134" i="32"/>
  <c r="M134" i="32" s="1"/>
  <c r="N134" i="32" s="1"/>
  <c r="K133" i="32"/>
  <c r="M133" i="32" s="1"/>
  <c r="N133" i="32" s="1"/>
  <c r="K132" i="32"/>
  <c r="M132" i="32" s="1"/>
  <c r="N132" i="32" s="1"/>
  <c r="K131" i="32"/>
  <c r="M131" i="32" s="1"/>
  <c r="N131" i="32" s="1"/>
  <c r="K130" i="32"/>
  <c r="M130" i="32" s="1"/>
  <c r="N130" i="32" s="1"/>
  <c r="K129" i="32"/>
  <c r="M129" i="32" s="1"/>
  <c r="N129" i="32" s="1"/>
  <c r="K128" i="32"/>
  <c r="M128" i="32" s="1"/>
  <c r="N128" i="32" s="1"/>
  <c r="K127" i="32"/>
  <c r="M127" i="32" s="1"/>
  <c r="N127" i="32" s="1"/>
  <c r="K126" i="32"/>
  <c r="M126" i="32" s="1"/>
  <c r="N126" i="32" s="1"/>
  <c r="K125" i="32"/>
  <c r="M125" i="32" s="1"/>
  <c r="N125" i="32" s="1"/>
  <c r="K124" i="32"/>
  <c r="M124" i="32" s="1"/>
  <c r="N124" i="32" s="1"/>
  <c r="K123" i="32"/>
  <c r="M123" i="32" s="1"/>
  <c r="N123" i="32" s="1"/>
  <c r="K122" i="32"/>
  <c r="M122" i="32" s="1"/>
  <c r="N122" i="32" s="1"/>
  <c r="K121" i="32"/>
  <c r="M121" i="32" s="1"/>
  <c r="N121" i="32" s="1"/>
  <c r="K120" i="32"/>
  <c r="M120" i="32" s="1"/>
  <c r="I120" i="32"/>
  <c r="J120" i="32" s="1"/>
  <c r="F119" i="32"/>
  <c r="I119" i="32" s="1"/>
  <c r="F118" i="32"/>
  <c r="I118" i="32" s="1"/>
  <c r="F117" i="32"/>
  <c r="I117" i="32" s="1"/>
  <c r="F116" i="32"/>
  <c r="I116" i="32" s="1"/>
  <c r="F115" i="32"/>
  <c r="I115" i="32" s="1"/>
  <c r="F114" i="32"/>
  <c r="I114" i="32" s="1"/>
  <c r="F113" i="32"/>
  <c r="I113" i="32" s="1"/>
  <c r="F112" i="32"/>
  <c r="I112" i="32" s="1"/>
  <c r="H108" i="32"/>
  <c r="H107" i="32"/>
  <c r="G106" i="32"/>
  <c r="K106" i="32" s="1"/>
  <c r="F106" i="32"/>
  <c r="I106" i="32" s="1"/>
  <c r="G105" i="32"/>
  <c r="K105" i="32" s="1"/>
  <c r="F105" i="32"/>
  <c r="I105" i="32" s="1"/>
  <c r="G104" i="32"/>
  <c r="K104" i="32" s="1"/>
  <c r="F104" i="32"/>
  <c r="I104" i="32" s="1"/>
  <c r="G103" i="32"/>
  <c r="K103" i="32" s="1"/>
  <c r="F103" i="32"/>
  <c r="I103" i="32" s="1"/>
  <c r="G102" i="32"/>
  <c r="K102" i="32" s="1"/>
  <c r="F102" i="32"/>
  <c r="I102" i="32" s="1"/>
  <c r="G101" i="32"/>
  <c r="K101" i="32" s="1"/>
  <c r="F101" i="32"/>
  <c r="I101" i="32" s="1"/>
  <c r="G100" i="32"/>
  <c r="K100" i="32" s="1"/>
  <c r="F100" i="32"/>
  <c r="I100" i="32" s="1"/>
  <c r="G99" i="32"/>
  <c r="K99" i="32" s="1"/>
  <c r="F99" i="32"/>
  <c r="I99" i="32" s="1"/>
  <c r="G98" i="32"/>
  <c r="K98" i="32" s="1"/>
  <c r="F98" i="32"/>
  <c r="I98" i="32" s="1"/>
  <c r="G97" i="32"/>
  <c r="K97" i="32" s="1"/>
  <c r="M97" i="32" s="1"/>
  <c r="F97" i="32"/>
  <c r="I97" i="32" s="1"/>
  <c r="G96" i="32"/>
  <c r="K96" i="32" s="1"/>
  <c r="M96" i="32" s="1"/>
  <c r="F96" i="32"/>
  <c r="I96" i="32" s="1"/>
  <c r="N96" i="32" s="1"/>
  <c r="G95" i="32"/>
  <c r="K95" i="32" s="1"/>
  <c r="M95" i="32" s="1"/>
  <c r="F95" i="32"/>
  <c r="I95" i="32" s="1"/>
  <c r="G94" i="32"/>
  <c r="K94" i="32" s="1"/>
  <c r="M94" i="32" s="1"/>
  <c r="F94" i="32"/>
  <c r="I94" i="32" s="1"/>
  <c r="N94" i="32" s="1"/>
  <c r="G92" i="32"/>
  <c r="K92" i="32" s="1"/>
  <c r="M92" i="32" s="1"/>
  <c r="F92" i="32"/>
  <c r="I92" i="32" s="1"/>
  <c r="N92" i="32" s="1"/>
  <c r="G91" i="32"/>
  <c r="K91" i="32" s="1"/>
  <c r="M91" i="32" s="1"/>
  <c r="F91" i="32"/>
  <c r="I91" i="32" s="1"/>
  <c r="G90" i="32"/>
  <c r="K90" i="32" s="1"/>
  <c r="M90" i="32" s="1"/>
  <c r="F90" i="32"/>
  <c r="I90" i="32" s="1"/>
  <c r="G89" i="32"/>
  <c r="K89" i="32" s="1"/>
  <c r="M89" i="32" s="1"/>
  <c r="F89" i="32"/>
  <c r="I89" i="32" s="1"/>
  <c r="G88" i="32"/>
  <c r="K88" i="32" s="1"/>
  <c r="M88" i="32" s="1"/>
  <c r="F88" i="32"/>
  <c r="I88" i="32" s="1"/>
  <c r="N88" i="32" s="1"/>
  <c r="G87" i="32"/>
  <c r="K87" i="32" s="1"/>
  <c r="M87" i="32" s="1"/>
  <c r="F87" i="32"/>
  <c r="I87" i="32" s="1"/>
  <c r="G86" i="32"/>
  <c r="K86" i="32" s="1"/>
  <c r="M86" i="32" s="1"/>
  <c r="F86" i="32"/>
  <c r="I86" i="32" s="1"/>
  <c r="G85" i="32"/>
  <c r="K85" i="32" s="1"/>
  <c r="M85" i="32" s="1"/>
  <c r="F85" i="32"/>
  <c r="I85" i="32" s="1"/>
  <c r="G84" i="32"/>
  <c r="K84" i="32" s="1"/>
  <c r="M84" i="32" s="1"/>
  <c r="F84" i="32"/>
  <c r="I84" i="32" s="1"/>
  <c r="N84" i="32" s="1"/>
  <c r="G83" i="32"/>
  <c r="K83" i="32" s="1"/>
  <c r="M83" i="32" s="1"/>
  <c r="F83" i="32"/>
  <c r="I83" i="32" s="1"/>
  <c r="G82" i="32"/>
  <c r="K82" i="32" s="1"/>
  <c r="M82" i="32" s="1"/>
  <c r="F82" i="32"/>
  <c r="I82" i="32" s="1"/>
  <c r="G81" i="32"/>
  <c r="K81" i="32" s="1"/>
  <c r="M81" i="32" s="1"/>
  <c r="F81" i="32"/>
  <c r="I81" i="32" s="1"/>
  <c r="K80" i="32"/>
  <c r="M80" i="32" s="1"/>
  <c r="F80" i="32"/>
  <c r="I80" i="32" s="1"/>
  <c r="N80" i="32" s="1"/>
  <c r="F79" i="32"/>
  <c r="I79" i="32" s="1"/>
  <c r="J79" i="32" s="1"/>
  <c r="F78" i="32"/>
  <c r="I78" i="32" s="1"/>
  <c r="J78" i="32" s="1"/>
  <c r="F75" i="32"/>
  <c r="I75" i="32" s="1"/>
  <c r="H71" i="32"/>
  <c r="H70" i="32"/>
  <c r="K68" i="32"/>
  <c r="K67" i="32"/>
  <c r="K66" i="32"/>
  <c r="K65" i="32"/>
  <c r="B101" i="32"/>
  <c r="B138" i="32" s="1"/>
  <c r="K64" i="32"/>
  <c r="K63" i="32"/>
  <c r="F43" i="32"/>
  <c r="I43" i="32" s="1"/>
  <c r="B98" i="32"/>
  <c r="B135" i="32" s="1"/>
  <c r="K62" i="32"/>
  <c r="M62" i="32" s="1"/>
  <c r="N62" i="32" s="1"/>
  <c r="K61" i="32"/>
  <c r="M61" i="32" s="1"/>
  <c r="N61" i="32" s="1"/>
  <c r="K60" i="32"/>
  <c r="M60" i="32" s="1"/>
  <c r="N60" i="32" s="1"/>
  <c r="K59" i="32"/>
  <c r="M59" i="32" s="1"/>
  <c r="N59" i="32" s="1"/>
  <c r="K58" i="32"/>
  <c r="M58" i="32" s="1"/>
  <c r="N58" i="32" s="1"/>
  <c r="K57" i="32"/>
  <c r="M57" i="32" s="1"/>
  <c r="N57" i="32" s="1"/>
  <c r="B86" i="32"/>
  <c r="B125" i="32" s="1"/>
  <c r="K56" i="32"/>
  <c r="M56" i="32" s="1"/>
  <c r="N56" i="32" s="1"/>
  <c r="K55" i="32"/>
  <c r="M55" i="32" s="1"/>
  <c r="N55" i="32" s="1"/>
  <c r="K54" i="32"/>
  <c r="M54" i="32" s="1"/>
  <c r="N54" i="32" s="1"/>
  <c r="K53" i="32"/>
  <c r="M53" i="32" s="1"/>
  <c r="N53" i="32" s="1"/>
  <c r="K52" i="32"/>
  <c r="M52" i="32" s="1"/>
  <c r="N52" i="32" s="1"/>
  <c r="K51" i="32"/>
  <c r="M51" i="32" s="1"/>
  <c r="N51" i="32" s="1"/>
  <c r="B80" i="32"/>
  <c r="B120" i="32" s="1"/>
  <c r="H39" i="32"/>
  <c r="H38" i="32"/>
  <c r="H37" i="32"/>
  <c r="G36" i="32"/>
  <c r="K36" i="32" s="1"/>
  <c r="F36" i="32"/>
  <c r="I36" i="32" s="1"/>
  <c r="G35" i="32"/>
  <c r="K35" i="32" s="1"/>
  <c r="F35" i="32"/>
  <c r="I35" i="32" s="1"/>
  <c r="G34" i="32"/>
  <c r="K34" i="32" s="1"/>
  <c r="F34" i="32"/>
  <c r="I34" i="32" s="1"/>
  <c r="G33" i="32"/>
  <c r="K33" i="32" s="1"/>
  <c r="F33" i="32"/>
  <c r="I33" i="32" s="1"/>
  <c r="J33" i="32" s="1"/>
  <c r="G32" i="32"/>
  <c r="K32" i="32" s="1"/>
  <c r="F32" i="32"/>
  <c r="I32" i="32" s="1"/>
  <c r="J30" i="32" s="1"/>
  <c r="G31" i="32"/>
  <c r="K31" i="32" s="1"/>
  <c r="G30" i="32"/>
  <c r="K30" i="32" s="1"/>
  <c r="G29" i="32"/>
  <c r="K29" i="32" s="1"/>
  <c r="G28" i="32"/>
  <c r="K28" i="32" s="1"/>
  <c r="M28" i="32" s="1"/>
  <c r="N28" i="32" s="1"/>
  <c r="G27" i="32"/>
  <c r="K27" i="32" s="1"/>
  <c r="M27" i="32" s="1"/>
  <c r="N27" i="32" s="1"/>
  <c r="G26" i="32"/>
  <c r="K26" i="32" s="1"/>
  <c r="M26" i="32" s="1"/>
  <c r="N26" i="32" s="1"/>
  <c r="G25" i="32"/>
  <c r="K25" i="32" s="1"/>
  <c r="M25" i="32" s="1"/>
  <c r="N25" i="32" s="1"/>
  <c r="K24" i="32"/>
  <c r="M24" i="32" s="1"/>
  <c r="N24" i="32" s="1"/>
  <c r="G23" i="32"/>
  <c r="K23" i="32" s="1"/>
  <c r="M23" i="32" s="1"/>
  <c r="N23" i="32" s="1"/>
  <c r="G22" i="32"/>
  <c r="K22" i="32" s="1"/>
  <c r="M22" i="32" s="1"/>
  <c r="N22" i="32" s="1"/>
  <c r="G21" i="32"/>
  <c r="K21" i="32" s="1"/>
  <c r="M21" i="32" s="1"/>
  <c r="N21" i="32" s="1"/>
  <c r="G20" i="32"/>
  <c r="K20" i="32" s="1"/>
  <c r="M20" i="32" s="1"/>
  <c r="N20" i="32" s="1"/>
  <c r="G19" i="32"/>
  <c r="K19" i="32" s="1"/>
  <c r="M19" i="32" s="1"/>
  <c r="N19" i="32" s="1"/>
  <c r="G18" i="32"/>
  <c r="K18" i="32" s="1"/>
  <c r="M18" i="32" s="1"/>
  <c r="N18" i="32" s="1"/>
  <c r="K17" i="32"/>
  <c r="M17" i="32" s="1"/>
  <c r="I17" i="32"/>
  <c r="N17" i="32" s="1"/>
  <c r="F16" i="32"/>
  <c r="I16" i="32" s="1"/>
  <c r="F15" i="32"/>
  <c r="I15" i="32" s="1"/>
  <c r="J15" i="32" s="1"/>
  <c r="J40" i="32" s="1"/>
  <c r="F14" i="32"/>
  <c r="I14" i="32" s="1"/>
  <c r="J14" i="32" s="1"/>
  <c r="F13" i="32"/>
  <c r="I13" i="32" s="1"/>
  <c r="F12" i="32"/>
  <c r="I12" i="32" s="1"/>
  <c r="F10" i="32"/>
  <c r="I10" i="32" s="1"/>
  <c r="N85" i="32" l="1"/>
  <c r="N89" i="32"/>
  <c r="N83" i="32"/>
  <c r="N97" i="32"/>
  <c r="N86" i="32"/>
  <c r="N87" i="32"/>
  <c r="N90" i="32"/>
  <c r="N91" i="32"/>
  <c r="N81" i="32"/>
  <c r="N82" i="32"/>
  <c r="N95" i="32"/>
  <c r="N120" i="32"/>
  <c r="H9" i="5"/>
  <c r="H9" i="61"/>
  <c r="J151" i="32"/>
  <c r="C11" i="2" s="1"/>
  <c r="J152" i="32"/>
  <c r="C12" i="2" s="1"/>
  <c r="J16" i="32"/>
  <c r="J118" i="32"/>
  <c r="J98" i="32"/>
  <c r="J157" i="32" s="1"/>
  <c r="J114" i="32"/>
  <c r="J116" i="32"/>
  <c r="J146" i="32" s="1"/>
  <c r="J35" i="32"/>
  <c r="J39" i="32" s="1"/>
  <c r="J80" i="32"/>
  <c r="J86" i="32"/>
  <c r="J101" i="32"/>
  <c r="J158" i="32" s="1"/>
  <c r="J104" i="32"/>
  <c r="I169" i="32"/>
  <c r="J169" i="32" s="1"/>
  <c r="J166" i="32"/>
  <c r="C19" i="2"/>
  <c r="J17" i="32"/>
  <c r="J159" i="32" l="1"/>
  <c r="J109" i="32"/>
  <c r="J145" i="32"/>
  <c r="C18" i="2"/>
  <c r="C16" i="2"/>
  <c r="C24" i="2"/>
  <c r="J153" i="32"/>
  <c r="C20" i="2" s="1"/>
  <c r="J154" i="32"/>
  <c r="C26" i="2" l="1"/>
  <c r="C25" i="2"/>
  <c r="C21" i="2"/>
  <c r="K26" i="2" l="1"/>
  <c r="U25" i="2"/>
  <c r="J19" i="11"/>
  <c r="I6" i="2"/>
  <c r="A3" i="2"/>
  <c r="M2" i="2"/>
  <c r="R2" i="11" s="1"/>
  <c r="W2" i="11" s="1"/>
  <c r="T8" i="11"/>
  <c r="S8" i="11"/>
  <c r="Y12" i="11" l="1"/>
  <c r="S2" i="11"/>
  <c r="T2" i="11"/>
  <c r="U2" i="11"/>
  <c r="V2" i="11"/>
  <c r="T13" i="11" l="1"/>
  <c r="S11" i="11"/>
  <c r="T7" i="11"/>
  <c r="U10" i="11"/>
  <c r="W10" i="11" s="1"/>
  <c r="V8" i="11"/>
  <c r="X8" i="11" s="1"/>
  <c r="U8" i="11"/>
  <c r="W8" i="11" s="1"/>
  <c r="S9" i="11"/>
  <c r="T12" i="11"/>
  <c r="V13" i="11"/>
  <c r="V11" i="11"/>
  <c r="V14" i="11"/>
  <c r="V12" i="11"/>
  <c r="V7" i="11"/>
  <c r="V15" i="11"/>
  <c r="X15" i="11" s="1"/>
  <c r="V4" i="11"/>
  <c r="U13" i="11"/>
  <c r="V9" i="11"/>
  <c r="S7" i="11"/>
  <c r="S13" i="11"/>
  <c r="S12" i="11"/>
  <c r="U11" i="11"/>
  <c r="S14" i="11"/>
  <c r="U7" i="11"/>
  <c r="U14" i="11"/>
  <c r="S4" i="11"/>
  <c r="U9" i="11"/>
  <c r="T9" i="11"/>
  <c r="U4" i="11"/>
  <c r="U15" i="11"/>
  <c r="W15" i="11" s="1"/>
  <c r="T4" i="11"/>
  <c r="T11" i="11"/>
  <c r="T14" i="11"/>
  <c r="U12" i="11"/>
  <c r="V10" i="11"/>
  <c r="X10" i="11" s="1"/>
  <c r="H21" i="2" l="1"/>
  <c r="I21" i="2" s="1"/>
  <c r="H22" i="2"/>
  <c r="I22" i="2" s="1"/>
  <c r="H23" i="2"/>
  <c r="I23" i="2" s="1"/>
  <c r="H20" i="2"/>
  <c r="I20" i="2" s="1"/>
  <c r="H24" i="2"/>
  <c r="I24" i="2" s="1"/>
  <c r="H25" i="2"/>
  <c r="I25" i="2" s="1"/>
  <c r="X13" i="11"/>
  <c r="X9" i="11"/>
  <c r="X11" i="11"/>
  <c r="H26" i="2"/>
  <c r="I26" i="2" s="1"/>
  <c r="H13" i="2"/>
  <c r="W11" i="11"/>
  <c r="H33" i="2"/>
  <c r="H35" i="2"/>
  <c r="H31" i="2"/>
  <c r="H32" i="2"/>
  <c r="H34" i="2"/>
  <c r="X12" i="11"/>
  <c r="X4" i="11"/>
  <c r="W12" i="11"/>
  <c r="X14" i="11"/>
  <c r="W13" i="11"/>
  <c r="X7" i="11"/>
  <c r="W9" i="11"/>
  <c r="W7" i="11"/>
  <c r="W4" i="11"/>
  <c r="W14" i="11"/>
  <c r="L20" i="2" l="1"/>
  <c r="L26" i="2"/>
  <c r="R3" i="56" l="1"/>
  <c r="L61" i="2" l="1"/>
  <c r="L60" i="2"/>
  <c r="L59" i="2"/>
  <c r="L58" i="2"/>
  <c r="L57" i="2"/>
  <c r="L56" i="2"/>
  <c r="L55" i="2"/>
  <c r="L54" i="2"/>
  <c r="H54" i="1"/>
  <c r="H55" i="1"/>
  <c r="H56" i="1"/>
  <c r="H57" i="1"/>
  <c r="H58" i="1"/>
  <c r="H59" i="1"/>
  <c r="H60" i="1"/>
  <c r="H61" i="1"/>
  <c r="H33" i="1"/>
  <c r="H34" i="1"/>
  <c r="H35" i="1"/>
  <c r="J35" i="1" s="1"/>
  <c r="H36" i="1"/>
  <c r="J36" i="1" s="1"/>
  <c r="H37" i="1"/>
  <c r="H38" i="1"/>
  <c r="H39" i="1"/>
  <c r="I249" i="1"/>
  <c r="I251" i="1"/>
  <c r="N55" i="2" l="1"/>
  <c r="N56" i="2"/>
  <c r="N57" i="2"/>
  <c r="N58" i="2"/>
  <c r="N59" i="2"/>
  <c r="N60" i="2"/>
  <c r="N54" i="2"/>
  <c r="K55" i="2"/>
  <c r="K56" i="2"/>
  <c r="K57" i="2"/>
  <c r="K58" i="2"/>
  <c r="K59" i="2"/>
  <c r="K60" i="2"/>
  <c r="K54" i="2"/>
  <c r="N61" i="2" l="1"/>
  <c r="K61" i="2" l="1"/>
  <c r="W15" i="2"/>
  <c r="I11" i="47" l="1"/>
  <c r="O35" i="55" l="1"/>
  <c r="F31" i="55"/>
  <c r="J31" i="55" s="1"/>
  <c r="M30" i="55"/>
  <c r="F30" i="55"/>
  <c r="H30" i="55" s="1"/>
  <c r="F29" i="55"/>
  <c r="J29" i="55" s="1"/>
  <c r="F28" i="55"/>
  <c r="L28" i="55" s="1"/>
  <c r="M28" i="55" s="1"/>
  <c r="F27" i="55"/>
  <c r="J27" i="55" s="1"/>
  <c r="F26" i="55"/>
  <c r="L26" i="55" s="1"/>
  <c r="M26" i="55" s="1"/>
  <c r="F25" i="55"/>
  <c r="I25" i="55" s="1"/>
  <c r="K24" i="55"/>
  <c r="F24" i="55"/>
  <c r="J24" i="55" s="1"/>
  <c r="B23" i="55"/>
  <c r="K22" i="55"/>
  <c r="F22" i="55"/>
  <c r="J22" i="55" s="1"/>
  <c r="F21" i="55"/>
  <c r="G21" i="55" s="1"/>
  <c r="K20" i="55"/>
  <c r="F20" i="55"/>
  <c r="I20" i="55" s="1"/>
  <c r="L19" i="55"/>
  <c r="M19" i="55" s="1"/>
  <c r="F19" i="55"/>
  <c r="H19" i="55" s="1"/>
  <c r="F18" i="55"/>
  <c r="I18" i="55" s="1"/>
  <c r="J15" i="55"/>
  <c r="I11" i="55"/>
  <c r="K23" i="55" s="1"/>
  <c r="G11" i="55"/>
  <c r="H15" i="55" s="1"/>
  <c r="H21" i="55" l="1"/>
  <c r="K21" i="55"/>
  <c r="L20" i="55" s="1"/>
  <c r="M20" i="55" s="1"/>
  <c r="J20" i="55"/>
  <c r="J30" i="55"/>
  <c r="H31" i="55"/>
  <c r="G28" i="55"/>
  <c r="H28" i="55"/>
  <c r="I30" i="55"/>
  <c r="J19" i="55"/>
  <c r="G26" i="55"/>
  <c r="I15" i="55"/>
  <c r="H26" i="55"/>
  <c r="I28" i="55"/>
  <c r="I19" i="55"/>
  <c r="I26" i="55"/>
  <c r="G31" i="55"/>
  <c r="J26" i="55"/>
  <c r="J18" i="55"/>
  <c r="G30" i="55"/>
  <c r="I31" i="55"/>
  <c r="L18" i="55"/>
  <c r="M18" i="55" s="1"/>
  <c r="J28" i="55"/>
  <c r="G27" i="55"/>
  <c r="G29" i="55"/>
  <c r="H24" i="55"/>
  <c r="G25" i="55"/>
  <c r="H27" i="55"/>
  <c r="H29" i="55"/>
  <c r="G18" i="55"/>
  <c r="I22" i="55"/>
  <c r="F23" i="55"/>
  <c r="I27" i="55"/>
  <c r="I29" i="55"/>
  <c r="G15" i="55"/>
  <c r="H18" i="55"/>
  <c r="G19" i="55"/>
  <c r="K25" i="55"/>
  <c r="L24" i="55" s="1"/>
  <c r="M24" i="55" s="1"/>
  <c r="J32" i="55" l="1"/>
  <c r="I32" i="55"/>
  <c r="H23" i="55"/>
  <c r="H32" i="55" s="1"/>
  <c r="G23" i="55"/>
  <c r="G32" i="55" s="1"/>
  <c r="L22" i="55"/>
  <c r="M22" i="55" s="1"/>
  <c r="K33" i="55" s="1"/>
  <c r="G33" i="55" l="1"/>
  <c r="I37" i="55" s="1"/>
  <c r="I42" i="47" l="1"/>
  <c r="I43" i="47" s="1"/>
  <c r="I44" i="47" s="1"/>
  <c r="I12" i="47"/>
  <c r="G19" i="5" l="1"/>
  <c r="H19" i="5" s="1"/>
  <c r="E13" i="1" l="1"/>
  <c r="H13" i="1" s="1"/>
  <c r="H76" i="1" l="1"/>
  <c r="J76" i="1" s="1"/>
  <c r="H77" i="1"/>
  <c r="J77" i="1" s="1"/>
  <c r="H78" i="1"/>
  <c r="J78" i="1" s="1"/>
  <c r="H79" i="1"/>
  <c r="J79" i="1" s="1"/>
  <c r="J80" i="1"/>
  <c r="H81" i="1"/>
  <c r="J81" i="1" s="1"/>
  <c r="H82" i="1"/>
  <c r="J82" i="1" s="1"/>
  <c r="H83" i="1"/>
  <c r="J83" i="1" s="1"/>
  <c r="H84" i="1"/>
  <c r="J84" i="1" s="1"/>
  <c r="G146" i="1"/>
  <c r="G150" i="1" s="1"/>
  <c r="F154" i="1"/>
  <c r="G154" i="1" s="1"/>
  <c r="F156" i="1"/>
  <c r="G156" i="1" s="1"/>
  <c r="F157" i="1"/>
  <c r="F158" i="1"/>
  <c r="J158" i="1" s="1"/>
  <c r="K158" i="1" s="1"/>
  <c r="G159" i="1"/>
  <c r="F160" i="1"/>
  <c r="G160" i="1" s="1"/>
  <c r="H150" i="1"/>
  <c r="F153" i="1"/>
  <c r="H153" i="1" s="1"/>
  <c r="F155" i="1"/>
  <c r="H155" i="1" s="1"/>
  <c r="H159" i="1"/>
  <c r="I153" i="1"/>
  <c r="I155" i="1" s="1"/>
  <c r="G11" i="50"/>
  <c r="I11" i="50"/>
  <c r="K23" i="50" s="1"/>
  <c r="F18" i="50"/>
  <c r="G18" i="50" s="1"/>
  <c r="G21" i="50"/>
  <c r="I26" i="50"/>
  <c r="H27" i="50"/>
  <c r="G29" i="50"/>
  <c r="I30" i="50"/>
  <c r="J31" i="50"/>
  <c r="J24" i="50"/>
  <c r="I20" i="50"/>
  <c r="J15" i="50"/>
  <c r="K20" i="50"/>
  <c r="K22" i="50"/>
  <c r="K24" i="50"/>
  <c r="J11" i="1"/>
  <c r="J12" i="1"/>
  <c r="H9" i="1"/>
  <c r="J9" i="1" s="1"/>
  <c r="J13" i="1"/>
  <c r="J15" i="1"/>
  <c r="J16" i="1"/>
  <c r="J17" i="1"/>
  <c r="J33" i="1"/>
  <c r="H31" i="1"/>
  <c r="J31" i="1" s="1"/>
  <c r="J34" i="1"/>
  <c r="J37" i="1"/>
  <c r="J38" i="1"/>
  <c r="J39" i="1"/>
  <c r="F215" i="1"/>
  <c r="F217" i="1"/>
  <c r="G217" i="1" s="1"/>
  <c r="F219" i="1"/>
  <c r="F221" i="1"/>
  <c r="F214" i="1"/>
  <c r="H214" i="1" s="1"/>
  <c r="F216" i="1"/>
  <c r="H216" i="1" s="1"/>
  <c r="H220" i="1"/>
  <c r="G207" i="1"/>
  <c r="G211" i="1" s="1"/>
  <c r="H211" i="1"/>
  <c r="I214" i="1"/>
  <c r="I216" i="1" s="1"/>
  <c r="O35" i="50"/>
  <c r="G16" i="5"/>
  <c r="H16" i="5" s="1"/>
  <c r="G17" i="5"/>
  <c r="H17" i="5" s="1"/>
  <c r="G18" i="5"/>
  <c r="H18" i="5" s="1"/>
  <c r="G20" i="5"/>
  <c r="H20" i="5" s="1"/>
  <c r="G21" i="5"/>
  <c r="H21" i="5" s="1"/>
  <c r="G22" i="5"/>
  <c r="H22" i="5" s="1"/>
  <c r="G123" i="54"/>
  <c r="I131" i="54" s="1"/>
  <c r="I133" i="54" s="1"/>
  <c r="I130" i="54"/>
  <c r="F133" i="54"/>
  <c r="G133" i="54" s="1"/>
  <c r="F132" i="54"/>
  <c r="H132" i="54" s="1"/>
  <c r="D220" i="1"/>
  <c r="F220" i="1" s="1"/>
  <c r="J220" i="1" s="1"/>
  <c r="K220" i="1" s="1"/>
  <c r="E101" i="1"/>
  <c r="H101" i="1" s="1"/>
  <c r="J101" i="1" s="1"/>
  <c r="M86" i="1"/>
  <c r="H99" i="1"/>
  <c r="J99" i="1" s="1"/>
  <c r="H100" i="1"/>
  <c r="J100" i="1" s="1"/>
  <c r="E102" i="1"/>
  <c r="H102" i="1" s="1"/>
  <c r="J102" i="1" s="1"/>
  <c r="J103" i="1"/>
  <c r="H104" i="1"/>
  <c r="J104" i="1" s="1"/>
  <c r="J105" i="1"/>
  <c r="H106" i="1"/>
  <c r="J106" i="1" s="1"/>
  <c r="H107" i="1"/>
  <c r="J107" i="1" s="1"/>
  <c r="I32" i="2"/>
  <c r="I33" i="2"/>
  <c r="I31" i="2"/>
  <c r="L13" i="2"/>
  <c r="F187" i="1"/>
  <c r="H187" i="1" s="1"/>
  <c r="F18" i="42"/>
  <c r="D186" i="1"/>
  <c r="F186" i="1" s="1"/>
  <c r="G186" i="1" s="1"/>
  <c r="F184" i="1"/>
  <c r="G184" i="1" s="1"/>
  <c r="M194" i="1"/>
  <c r="F190" i="1"/>
  <c r="G190" i="1" s="1"/>
  <c r="K189" i="1"/>
  <c r="H189" i="1"/>
  <c r="G189" i="1"/>
  <c r="F188" i="1"/>
  <c r="H188" i="1" s="1"/>
  <c r="F185" i="1"/>
  <c r="H185" i="1" s="1"/>
  <c r="I183" i="1"/>
  <c r="I185" i="1" s="1"/>
  <c r="F183" i="1"/>
  <c r="H183" i="1" s="1"/>
  <c r="H180" i="1"/>
  <c r="Q177" i="1"/>
  <c r="S176" i="1"/>
  <c r="G176" i="1"/>
  <c r="I184" i="1" s="1"/>
  <c r="T83" i="2"/>
  <c r="S66" i="2"/>
  <c r="K35" i="2"/>
  <c r="I30" i="2"/>
  <c r="F23" i="42"/>
  <c r="I23" i="42" s="1"/>
  <c r="F21" i="42"/>
  <c r="F22" i="42"/>
  <c r="H22" i="42" s="1"/>
  <c r="F94" i="48"/>
  <c r="G94" i="48" s="1"/>
  <c r="P16" i="5"/>
  <c r="S146" i="1"/>
  <c r="I34" i="47"/>
  <c r="I35" i="47" s="1"/>
  <c r="I36" i="47" s="1"/>
  <c r="F58" i="21"/>
  <c r="G58" i="21" s="1"/>
  <c r="F62" i="21"/>
  <c r="J62" i="21" s="1"/>
  <c r="K62" i="21" s="1"/>
  <c r="M205" i="54"/>
  <c r="F201" i="54"/>
  <c r="F200" i="54"/>
  <c r="G200" i="54" s="1"/>
  <c r="F199" i="54"/>
  <c r="J199" i="54" s="1"/>
  <c r="K199" i="54" s="1"/>
  <c r="F198" i="54"/>
  <c r="F197" i="54"/>
  <c r="F196" i="54"/>
  <c r="G196" i="54" s="1"/>
  <c r="I195" i="54"/>
  <c r="F195" i="54"/>
  <c r="H195" i="54" s="1"/>
  <c r="F194" i="54"/>
  <c r="G194" i="54" s="1"/>
  <c r="F193" i="54"/>
  <c r="G193" i="54" s="1"/>
  <c r="F192" i="54"/>
  <c r="H192" i="54" s="1"/>
  <c r="F191" i="54"/>
  <c r="F190" i="54"/>
  <c r="H187" i="54"/>
  <c r="Q184" i="54"/>
  <c r="G183" i="54"/>
  <c r="G187" i="54" s="1"/>
  <c r="M170" i="54"/>
  <c r="F166" i="54"/>
  <c r="G166" i="54" s="1"/>
  <c r="F165" i="54"/>
  <c r="F164" i="54"/>
  <c r="H164" i="54" s="1"/>
  <c r="F163" i="54"/>
  <c r="G163" i="54" s="1"/>
  <c r="F162" i="54"/>
  <c r="H162" i="54" s="1"/>
  <c r="F161" i="54"/>
  <c r="G161" i="54" s="1"/>
  <c r="I160" i="54"/>
  <c r="F160" i="54"/>
  <c r="H160" i="54" s="1"/>
  <c r="H157" i="54"/>
  <c r="Q154" i="54"/>
  <c r="G153" i="54"/>
  <c r="G157" i="54" s="1"/>
  <c r="M140" i="54"/>
  <c r="F136" i="54"/>
  <c r="F135" i="54"/>
  <c r="F134" i="54"/>
  <c r="H134" i="54" s="1"/>
  <c r="F131" i="54"/>
  <c r="G131" i="54" s="1"/>
  <c r="F130" i="54"/>
  <c r="H130" i="54" s="1"/>
  <c r="H127" i="54"/>
  <c r="Q124" i="54"/>
  <c r="M110" i="54"/>
  <c r="H108" i="54"/>
  <c r="J108" i="54" s="1"/>
  <c r="H107" i="54"/>
  <c r="J107" i="54" s="1"/>
  <c r="H106" i="54"/>
  <c r="J106" i="54" s="1"/>
  <c r="H105" i="54"/>
  <c r="J105" i="54" s="1"/>
  <c r="H104" i="54"/>
  <c r="J104" i="54" s="1"/>
  <c r="H103" i="54"/>
  <c r="J103" i="54" s="1"/>
  <c r="H102" i="54"/>
  <c r="J102" i="54" s="1"/>
  <c r="H101" i="54"/>
  <c r="J101" i="54" s="1"/>
  <c r="H100" i="54"/>
  <c r="J100" i="54" s="1"/>
  <c r="H99" i="54"/>
  <c r="J99" i="54" s="1"/>
  <c r="S93" i="54"/>
  <c r="M86" i="54"/>
  <c r="H84" i="54"/>
  <c r="J84" i="54" s="1"/>
  <c r="H83" i="54"/>
  <c r="J83" i="54" s="1"/>
  <c r="J82" i="54"/>
  <c r="H81" i="54"/>
  <c r="J81" i="54" s="1"/>
  <c r="J80" i="54"/>
  <c r="H79" i="54"/>
  <c r="J79" i="54" s="1"/>
  <c r="H78" i="54"/>
  <c r="J78" i="54" s="1"/>
  <c r="H77" i="54"/>
  <c r="J77" i="54" s="1"/>
  <c r="H76" i="54"/>
  <c r="J76" i="54" s="1"/>
  <c r="M63" i="54"/>
  <c r="H61" i="54"/>
  <c r="J61" i="54" s="1"/>
  <c r="J60" i="54"/>
  <c r="H59" i="54"/>
  <c r="J59" i="54" s="1"/>
  <c r="J58" i="54"/>
  <c r="J57" i="54"/>
  <c r="J56" i="54"/>
  <c r="H55" i="54"/>
  <c r="J55" i="54" s="1"/>
  <c r="H54" i="54"/>
  <c r="J54" i="54" s="1"/>
  <c r="H53" i="54"/>
  <c r="J53" i="54" s="1"/>
  <c r="M41" i="54"/>
  <c r="H39" i="54"/>
  <c r="J39" i="54" s="1"/>
  <c r="H38" i="54"/>
  <c r="J38" i="54" s="1"/>
  <c r="H37" i="54"/>
  <c r="J37" i="54" s="1"/>
  <c r="J36" i="54"/>
  <c r="H35" i="54"/>
  <c r="J35" i="54" s="1"/>
  <c r="H33" i="54"/>
  <c r="J33" i="54" s="1"/>
  <c r="H32" i="54"/>
  <c r="J32" i="54" s="1"/>
  <c r="H31" i="54"/>
  <c r="J31" i="54" s="1"/>
  <c r="M19" i="54"/>
  <c r="H17" i="54"/>
  <c r="J17" i="54" s="1"/>
  <c r="J16" i="54"/>
  <c r="J15" i="54"/>
  <c r="H14" i="54"/>
  <c r="J14" i="54" s="1"/>
  <c r="J13" i="54"/>
  <c r="H12" i="54"/>
  <c r="J12" i="54" s="1"/>
  <c r="H11" i="54"/>
  <c r="J11" i="54" s="1"/>
  <c r="H10" i="54"/>
  <c r="J10" i="54" s="1"/>
  <c r="H9" i="54"/>
  <c r="J9" i="54" s="1"/>
  <c r="Q208" i="1"/>
  <c r="H125" i="1"/>
  <c r="J125" i="1" s="1"/>
  <c r="G24" i="42"/>
  <c r="H24" i="42"/>
  <c r="I24" i="42"/>
  <c r="J24" i="42"/>
  <c r="M78" i="52"/>
  <c r="F74" i="52"/>
  <c r="J74" i="52" s="1"/>
  <c r="K74" i="52" s="1"/>
  <c r="F73" i="52"/>
  <c r="J73" i="52" s="1"/>
  <c r="K73" i="52" s="1"/>
  <c r="F72" i="52"/>
  <c r="G72" i="52" s="1"/>
  <c r="F71" i="52"/>
  <c r="F70" i="52"/>
  <c r="F69" i="52"/>
  <c r="G69" i="52" s="1"/>
  <c r="I68" i="52"/>
  <c r="F68" i="52"/>
  <c r="H68" i="52" s="1"/>
  <c r="F67" i="52"/>
  <c r="G67" i="52" s="1"/>
  <c r="F66" i="52"/>
  <c r="G66" i="52" s="1"/>
  <c r="F65" i="52"/>
  <c r="F64" i="52"/>
  <c r="F63" i="52"/>
  <c r="J63" i="52" s="1"/>
  <c r="K63" i="52" s="1"/>
  <c r="H60" i="52"/>
  <c r="Q57" i="52"/>
  <c r="G56" i="52"/>
  <c r="M43" i="52"/>
  <c r="H41" i="52"/>
  <c r="J41" i="52" s="1"/>
  <c r="H40" i="52"/>
  <c r="J40" i="52" s="1"/>
  <c r="H39" i="52"/>
  <c r="J39" i="52" s="1"/>
  <c r="H38" i="52"/>
  <c r="J38" i="52" s="1"/>
  <c r="H37" i="52"/>
  <c r="J37" i="52" s="1"/>
  <c r="H36" i="52"/>
  <c r="J36" i="52" s="1"/>
  <c r="H35" i="52"/>
  <c r="J35" i="52" s="1"/>
  <c r="J34" i="52"/>
  <c r="H33" i="52"/>
  <c r="J33" i="52" s="1"/>
  <c r="H32" i="52"/>
  <c r="J32" i="52" s="1"/>
  <c r="S26" i="52"/>
  <c r="M19" i="52"/>
  <c r="H17" i="52"/>
  <c r="J17" i="52" s="1"/>
  <c r="H16" i="52"/>
  <c r="J16" i="52" s="1"/>
  <c r="J15" i="52"/>
  <c r="H14" i="52"/>
  <c r="J14" i="52" s="1"/>
  <c r="J13" i="52"/>
  <c r="H12" i="52"/>
  <c r="J12" i="52" s="1"/>
  <c r="H11" i="52"/>
  <c r="J11" i="52" s="1"/>
  <c r="H10" i="52"/>
  <c r="J10" i="52" s="1"/>
  <c r="H9" i="52"/>
  <c r="J9" i="52" s="1"/>
  <c r="H18" i="21"/>
  <c r="G18" i="21"/>
  <c r="K18" i="21" s="1"/>
  <c r="J55" i="1"/>
  <c r="M164" i="1"/>
  <c r="Q147" i="1"/>
  <c r="Q66" i="2"/>
  <c r="S82" i="2"/>
  <c r="U33" i="2" s="1"/>
  <c r="G237" i="1"/>
  <c r="V80" i="2"/>
  <c r="V79" i="2"/>
  <c r="V78" i="2"/>
  <c r="V77" i="2"/>
  <c r="V76" i="2"/>
  <c r="V75" i="2"/>
  <c r="V64" i="2"/>
  <c r="V63" i="2"/>
  <c r="V62" i="2"/>
  <c r="V61" i="2"/>
  <c r="V60" i="2"/>
  <c r="V59" i="2"/>
  <c r="V58" i="2"/>
  <c r="H19" i="47"/>
  <c r="I19" i="47" s="1"/>
  <c r="H22" i="47"/>
  <c r="I22" i="47" s="1"/>
  <c r="H20" i="47"/>
  <c r="I20" i="47" s="1"/>
  <c r="F20" i="42"/>
  <c r="I20" i="42" s="1"/>
  <c r="F26" i="33"/>
  <c r="H26" i="33" s="1"/>
  <c r="F24" i="33"/>
  <c r="H24" i="33" s="1"/>
  <c r="F23" i="33"/>
  <c r="G23" i="33" s="1"/>
  <c r="F247" i="1"/>
  <c r="G247" i="1" s="1"/>
  <c r="F248" i="1"/>
  <c r="F249" i="1"/>
  <c r="H249" i="1" s="1"/>
  <c r="F250" i="1"/>
  <c r="G250" i="1" s="1"/>
  <c r="F246" i="1"/>
  <c r="G246" i="1" s="1"/>
  <c r="F245" i="1"/>
  <c r="Q238" i="1"/>
  <c r="J56" i="1"/>
  <c r="G55" i="33"/>
  <c r="M64" i="33"/>
  <c r="K60" i="33"/>
  <c r="F60" i="33"/>
  <c r="J59" i="33"/>
  <c r="K59" i="33" s="1"/>
  <c r="H59" i="33"/>
  <c r="G59" i="33"/>
  <c r="J58" i="33"/>
  <c r="K58" i="33" s="1"/>
  <c r="I57" i="33"/>
  <c r="G57" i="33"/>
  <c r="F56" i="33"/>
  <c r="H56" i="33" s="1"/>
  <c r="I55" i="33"/>
  <c r="F54" i="33"/>
  <c r="H54" i="33" s="1"/>
  <c r="F53" i="33"/>
  <c r="H53" i="33" s="1"/>
  <c r="F52" i="33"/>
  <c r="H52" i="33" s="1"/>
  <c r="F51" i="33"/>
  <c r="J51" i="33" s="1"/>
  <c r="K51" i="33" s="1"/>
  <c r="G48" i="33"/>
  <c r="G45" i="33"/>
  <c r="F21" i="33"/>
  <c r="G21" i="33" s="1"/>
  <c r="H25" i="42"/>
  <c r="I25" i="42"/>
  <c r="J25" i="42"/>
  <c r="F251" i="1"/>
  <c r="F252" i="1"/>
  <c r="G252" i="1" s="1"/>
  <c r="F253" i="1"/>
  <c r="H253" i="1" s="1"/>
  <c r="F24" i="21"/>
  <c r="H24" i="21" s="1"/>
  <c r="F25" i="21"/>
  <c r="J24" i="21" s="1"/>
  <c r="K24" i="21" s="1"/>
  <c r="F26" i="21"/>
  <c r="G26" i="21" s="1"/>
  <c r="F27" i="21"/>
  <c r="J27" i="21" s="1"/>
  <c r="K27" i="21" s="1"/>
  <c r="F23" i="21"/>
  <c r="G23" i="21" s="1"/>
  <c r="V51" i="2"/>
  <c r="V52" i="2"/>
  <c r="V53" i="2"/>
  <c r="V54" i="2"/>
  <c r="V55" i="2"/>
  <c r="V56" i="2"/>
  <c r="V57" i="2"/>
  <c r="V65" i="2"/>
  <c r="V66" i="2"/>
  <c r="V67" i="2"/>
  <c r="V68" i="2"/>
  <c r="V69" i="2"/>
  <c r="V70" i="2"/>
  <c r="V71" i="2"/>
  <c r="V72" i="2"/>
  <c r="V81" i="2"/>
  <c r="V82" i="2"/>
  <c r="V50" i="2"/>
  <c r="M67" i="21"/>
  <c r="F63" i="21"/>
  <c r="G63" i="21" s="1"/>
  <c r="J61" i="21"/>
  <c r="F60" i="21"/>
  <c r="G60" i="21" s="1"/>
  <c r="I59" i="21"/>
  <c r="F59" i="21"/>
  <c r="H59" i="21" s="1"/>
  <c r="I57" i="21"/>
  <c r="F57" i="21"/>
  <c r="H57" i="21" s="1"/>
  <c r="F56" i="21"/>
  <c r="H56" i="21" s="1"/>
  <c r="F55" i="21"/>
  <c r="J55" i="21" s="1"/>
  <c r="K55" i="21" s="1"/>
  <c r="F54" i="21"/>
  <c r="G54" i="21" s="1"/>
  <c r="K53" i="21"/>
  <c r="H53" i="21"/>
  <c r="G53" i="21"/>
  <c r="F52" i="21"/>
  <c r="G52" i="21" s="1"/>
  <c r="H49" i="21"/>
  <c r="G45" i="21"/>
  <c r="I58" i="21" s="1"/>
  <c r="I11" i="42"/>
  <c r="I15" i="42" s="1"/>
  <c r="G11" i="42"/>
  <c r="H15" i="42" s="1"/>
  <c r="G10" i="21"/>
  <c r="I23" i="21" s="1"/>
  <c r="P23" i="5"/>
  <c r="P24" i="5"/>
  <c r="P22" i="5"/>
  <c r="J61" i="1"/>
  <c r="J60" i="1"/>
  <c r="J59" i="1"/>
  <c r="J58" i="1"/>
  <c r="J57" i="1"/>
  <c r="J54" i="1"/>
  <c r="H53" i="1"/>
  <c r="J53" i="1" s="1"/>
  <c r="T26" i="5"/>
  <c r="U8" i="5"/>
  <c r="U9" i="5"/>
  <c r="U10" i="5"/>
  <c r="U11" i="5"/>
  <c r="U12" i="5"/>
  <c r="U13" i="5"/>
  <c r="U14" i="5"/>
  <c r="U7" i="5"/>
  <c r="S15" i="5"/>
  <c r="F255" i="1"/>
  <c r="F254" i="1"/>
  <c r="G254" i="1" s="1"/>
  <c r="F244" i="1"/>
  <c r="G244" i="1" s="1"/>
  <c r="M67" i="48"/>
  <c r="H65" i="48"/>
  <c r="J65" i="48" s="1"/>
  <c r="H64" i="48"/>
  <c r="J64" i="48" s="1"/>
  <c r="H63" i="48"/>
  <c r="J63" i="48" s="1"/>
  <c r="J62" i="48"/>
  <c r="H61" i="48"/>
  <c r="J61" i="48" s="1"/>
  <c r="H60" i="48"/>
  <c r="J60" i="48" s="1"/>
  <c r="H59" i="48"/>
  <c r="J59" i="48" s="1"/>
  <c r="H58" i="48"/>
  <c r="J58" i="48" s="1"/>
  <c r="H57" i="48"/>
  <c r="J57" i="48" s="1"/>
  <c r="H56" i="48"/>
  <c r="J56" i="48" s="1"/>
  <c r="M43" i="48"/>
  <c r="H41" i="48"/>
  <c r="J41" i="48" s="1"/>
  <c r="H40" i="48"/>
  <c r="J40" i="48" s="1"/>
  <c r="H39" i="48"/>
  <c r="J39" i="48" s="1"/>
  <c r="J38" i="48"/>
  <c r="H37" i="48"/>
  <c r="J37" i="48" s="1"/>
  <c r="H36" i="48"/>
  <c r="J36" i="48" s="1"/>
  <c r="H35" i="48"/>
  <c r="J35" i="48" s="1"/>
  <c r="H34" i="48"/>
  <c r="J34" i="48" s="1"/>
  <c r="H33" i="48"/>
  <c r="J33" i="48" s="1"/>
  <c r="H32" i="48"/>
  <c r="J32" i="48" s="1"/>
  <c r="M103" i="48"/>
  <c r="F99" i="48"/>
  <c r="G99" i="48" s="1"/>
  <c r="J97" i="48"/>
  <c r="K97" i="48" s="1"/>
  <c r="H97" i="48"/>
  <c r="G97" i="48"/>
  <c r="I94" i="48"/>
  <c r="F93" i="48"/>
  <c r="F92" i="48"/>
  <c r="J92" i="48" s="1"/>
  <c r="K92" i="48" s="1"/>
  <c r="J91" i="48"/>
  <c r="K91" i="48" s="1"/>
  <c r="G90" i="48"/>
  <c r="F88" i="48"/>
  <c r="H88" i="48" s="1"/>
  <c r="G85" i="48"/>
  <c r="I93" i="48"/>
  <c r="M20" i="48"/>
  <c r="H18" i="48"/>
  <c r="J18" i="48" s="1"/>
  <c r="H17" i="48"/>
  <c r="J17" i="48" s="1"/>
  <c r="H16" i="48"/>
  <c r="J16" i="48" s="1"/>
  <c r="J15" i="48"/>
  <c r="H14" i="48"/>
  <c r="J14" i="48" s="1"/>
  <c r="H13" i="48"/>
  <c r="J13" i="48" s="1"/>
  <c r="H12" i="48"/>
  <c r="J12" i="48" s="1"/>
  <c r="H11" i="48"/>
  <c r="J11" i="48" s="1"/>
  <c r="H10" i="48"/>
  <c r="J10" i="48" s="1"/>
  <c r="H9" i="48"/>
  <c r="J9" i="48" s="1"/>
  <c r="G91" i="48"/>
  <c r="H90" i="48"/>
  <c r="H91" i="48"/>
  <c r="J90" i="48"/>
  <c r="K90" i="48" s="1"/>
  <c r="J98" i="48"/>
  <c r="K98" i="48" s="1"/>
  <c r="H98" i="48"/>
  <c r="G98" i="48"/>
  <c r="K25" i="47"/>
  <c r="H23" i="47"/>
  <c r="I23" i="47" s="1"/>
  <c r="I21" i="47"/>
  <c r="H18" i="47"/>
  <c r="I18" i="47" s="1"/>
  <c r="V17" i="47"/>
  <c r="U17" i="47"/>
  <c r="R17" i="47"/>
  <c r="Q17" i="47"/>
  <c r="P17" i="47"/>
  <c r="O17" i="47"/>
  <c r="H17" i="47"/>
  <c r="I17" i="47" s="1"/>
  <c r="J116" i="33"/>
  <c r="M122" i="33"/>
  <c r="H120" i="33"/>
  <c r="J120" i="33" s="1"/>
  <c r="J119" i="33"/>
  <c r="H118" i="33"/>
  <c r="J118" i="33" s="1"/>
  <c r="J117" i="33"/>
  <c r="J115" i="33"/>
  <c r="H114" i="33"/>
  <c r="J114" i="33" s="1"/>
  <c r="H113" i="33"/>
  <c r="J113" i="33" s="1"/>
  <c r="H112" i="33"/>
  <c r="J112" i="33" s="1"/>
  <c r="F20" i="33"/>
  <c r="J20" i="33" s="1"/>
  <c r="K20" i="33" s="1"/>
  <c r="M99" i="33"/>
  <c r="K95" i="33"/>
  <c r="F95" i="33"/>
  <c r="F94" i="33"/>
  <c r="J94" i="33" s="1"/>
  <c r="K94" i="33" s="1"/>
  <c r="F93" i="33"/>
  <c r="H93" i="33" s="1"/>
  <c r="F92" i="33"/>
  <c r="H92" i="33" s="1"/>
  <c r="F91" i="33"/>
  <c r="H91" i="33" s="1"/>
  <c r="I90" i="33"/>
  <c r="G90" i="33"/>
  <c r="F89" i="33"/>
  <c r="H89" i="33" s="1"/>
  <c r="F88" i="33"/>
  <c r="H88" i="33" s="1"/>
  <c r="F87" i="33"/>
  <c r="F86" i="33"/>
  <c r="J86" i="33" s="1"/>
  <c r="K86" i="33" s="1"/>
  <c r="F84" i="33"/>
  <c r="H84" i="33" s="1"/>
  <c r="G81" i="33"/>
  <c r="G78" i="33"/>
  <c r="H81" i="33" s="1"/>
  <c r="G12" i="37"/>
  <c r="I15" i="37" s="1"/>
  <c r="G13" i="33"/>
  <c r="H16" i="33" s="1"/>
  <c r="O35" i="45"/>
  <c r="F31" i="45"/>
  <c r="G31" i="45" s="1"/>
  <c r="M30" i="45"/>
  <c r="F30" i="45"/>
  <c r="F29" i="45"/>
  <c r="I29" i="45" s="1"/>
  <c r="F28" i="45"/>
  <c r="I28" i="45" s="1"/>
  <c r="F27" i="45"/>
  <c r="H27" i="45" s="1"/>
  <c r="F26" i="45"/>
  <c r="J26" i="45" s="1"/>
  <c r="K25" i="45"/>
  <c r="F25" i="45"/>
  <c r="G25" i="45" s="1"/>
  <c r="K24" i="45"/>
  <c r="F24" i="45"/>
  <c r="H24" i="45" s="1"/>
  <c r="K23" i="45"/>
  <c r="F23" i="45"/>
  <c r="G23" i="45" s="1"/>
  <c r="F22" i="45"/>
  <c r="I22" i="45" s="1"/>
  <c r="K21" i="45"/>
  <c r="F21" i="45"/>
  <c r="H21" i="45" s="1"/>
  <c r="F20" i="45"/>
  <c r="J20" i="45" s="1"/>
  <c r="F19" i="45"/>
  <c r="H19" i="45" s="1"/>
  <c r="F18" i="45"/>
  <c r="H18" i="45" s="1"/>
  <c r="I15" i="45"/>
  <c r="G15" i="45"/>
  <c r="I12" i="45"/>
  <c r="K20" i="45" s="1"/>
  <c r="I12" i="37"/>
  <c r="H15" i="37" s="1"/>
  <c r="J24" i="5"/>
  <c r="H33" i="5"/>
  <c r="H34" i="5" s="1"/>
  <c r="H35" i="5" s="1"/>
  <c r="S116" i="1"/>
  <c r="O35" i="44"/>
  <c r="F31" i="44"/>
  <c r="H31" i="44" s="1"/>
  <c r="M30" i="44"/>
  <c r="F30" i="44"/>
  <c r="I30" i="44" s="1"/>
  <c r="F29" i="44"/>
  <c r="J29" i="44" s="1"/>
  <c r="F28" i="44"/>
  <c r="G28" i="44" s="1"/>
  <c r="F27" i="44"/>
  <c r="J27" i="44" s="1"/>
  <c r="F26" i="44"/>
  <c r="I26" i="44" s="1"/>
  <c r="K25" i="44"/>
  <c r="F25" i="44"/>
  <c r="I25" i="44" s="1"/>
  <c r="K24" i="44"/>
  <c r="F24" i="44"/>
  <c r="K23" i="44"/>
  <c r="F23" i="44"/>
  <c r="H23" i="44" s="1"/>
  <c r="K22" i="44"/>
  <c r="F22" i="44"/>
  <c r="I22" i="44" s="1"/>
  <c r="K21" i="44"/>
  <c r="F21" i="44"/>
  <c r="H21" i="44" s="1"/>
  <c r="K20" i="44"/>
  <c r="F20" i="44"/>
  <c r="I20" i="44" s="1"/>
  <c r="F18" i="44"/>
  <c r="J18" i="44" s="1"/>
  <c r="J15" i="44"/>
  <c r="I15" i="44"/>
  <c r="H15" i="44"/>
  <c r="G15" i="44"/>
  <c r="H44" i="43"/>
  <c r="H45" i="43" s="1"/>
  <c r="H46" i="43" s="1"/>
  <c r="H35" i="43"/>
  <c r="H36" i="43" s="1"/>
  <c r="H37" i="43" s="1"/>
  <c r="J25" i="43"/>
  <c r="G23" i="43"/>
  <c r="H23" i="43" s="1"/>
  <c r="G22" i="43"/>
  <c r="H22" i="43" s="1"/>
  <c r="G21" i="43"/>
  <c r="H21" i="43" s="1"/>
  <c r="G20" i="43"/>
  <c r="H20" i="43" s="1"/>
  <c r="G19" i="43"/>
  <c r="H19" i="43" s="1"/>
  <c r="G18" i="43"/>
  <c r="H18" i="43" s="1"/>
  <c r="G17" i="43"/>
  <c r="H17" i="43" s="1"/>
  <c r="H12" i="43"/>
  <c r="O34" i="42"/>
  <c r="F30" i="42"/>
  <c r="I30" i="42" s="1"/>
  <c r="M29" i="42"/>
  <c r="F29" i="42"/>
  <c r="H29" i="42" s="1"/>
  <c r="F28" i="42"/>
  <c r="J28" i="42" s="1"/>
  <c r="L27" i="42"/>
  <c r="M27" i="42" s="1"/>
  <c r="F26" i="42"/>
  <c r="I26" i="42" s="1"/>
  <c r="F25" i="42"/>
  <c r="L25" i="42" s="1"/>
  <c r="M25" i="42" s="1"/>
  <c r="J15" i="42"/>
  <c r="H27" i="42"/>
  <c r="J27" i="42"/>
  <c r="G27" i="42"/>
  <c r="I27" i="42"/>
  <c r="N30" i="2"/>
  <c r="F19" i="37"/>
  <c r="G19" i="37" s="1"/>
  <c r="M26" i="40"/>
  <c r="M134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4" i="1"/>
  <c r="J124" i="1" s="1"/>
  <c r="H123" i="1"/>
  <c r="J123" i="1" s="1"/>
  <c r="O35" i="37"/>
  <c r="F31" i="37"/>
  <c r="M30" i="37"/>
  <c r="F30" i="37"/>
  <c r="H30" i="37" s="1"/>
  <c r="F29" i="37"/>
  <c r="H29" i="37" s="1"/>
  <c r="F28" i="37"/>
  <c r="J28" i="37" s="1"/>
  <c r="F27" i="37"/>
  <c r="I27" i="37" s="1"/>
  <c r="F26" i="37"/>
  <c r="H26" i="37" s="1"/>
  <c r="K25" i="37"/>
  <c r="F25" i="37"/>
  <c r="I25" i="37" s="1"/>
  <c r="F24" i="37"/>
  <c r="K23" i="37"/>
  <c r="F23" i="37"/>
  <c r="F22" i="37"/>
  <c r="J22" i="37" s="1"/>
  <c r="K21" i="37"/>
  <c r="F21" i="37"/>
  <c r="H21" i="37" s="1"/>
  <c r="F20" i="37"/>
  <c r="J20" i="37" s="1"/>
  <c r="F18" i="37"/>
  <c r="G18" i="37" s="1"/>
  <c r="G15" i="37"/>
  <c r="H44" i="41"/>
  <c r="H45" i="41" s="1"/>
  <c r="H46" i="41" s="1"/>
  <c r="H35" i="41"/>
  <c r="H36" i="41" s="1"/>
  <c r="H37" i="41" s="1"/>
  <c r="J25" i="41"/>
  <c r="G23" i="41"/>
  <c r="H23" i="41" s="1"/>
  <c r="G22" i="41"/>
  <c r="H22" i="41" s="1"/>
  <c r="G21" i="41"/>
  <c r="H21" i="41" s="1"/>
  <c r="G20" i="41"/>
  <c r="H20" i="41" s="1"/>
  <c r="M19" i="41"/>
  <c r="G19" i="41"/>
  <c r="H19" i="41" s="1"/>
  <c r="G18" i="41"/>
  <c r="H18" i="41" s="1"/>
  <c r="G17" i="41"/>
  <c r="H17" i="41" s="1"/>
  <c r="N14" i="41"/>
  <c r="H12" i="41"/>
  <c r="O10" i="41"/>
  <c r="O11" i="41" s="1"/>
  <c r="P11" i="41" s="1"/>
  <c r="O35" i="40"/>
  <c r="F31" i="40"/>
  <c r="J31" i="40" s="1"/>
  <c r="F30" i="40"/>
  <c r="L30" i="40" s="1"/>
  <c r="M30" i="40" s="1"/>
  <c r="F29" i="40"/>
  <c r="H29" i="40" s="1"/>
  <c r="F28" i="40"/>
  <c r="J28" i="40" s="1"/>
  <c r="F27" i="40"/>
  <c r="I27" i="40" s="1"/>
  <c r="F26" i="40"/>
  <c r="G26" i="40" s="1"/>
  <c r="K25" i="40"/>
  <c r="F25" i="40"/>
  <c r="I25" i="40" s="1"/>
  <c r="K24" i="40"/>
  <c r="F24" i="40"/>
  <c r="H24" i="40" s="1"/>
  <c r="K23" i="40"/>
  <c r="F23" i="40"/>
  <c r="G23" i="40" s="1"/>
  <c r="K22" i="40"/>
  <c r="F22" i="40"/>
  <c r="I22" i="40" s="1"/>
  <c r="K21" i="40"/>
  <c r="F21" i="40"/>
  <c r="G21" i="40" s="1"/>
  <c r="K20" i="40"/>
  <c r="F20" i="40"/>
  <c r="I20" i="40" s="1"/>
  <c r="F18" i="40"/>
  <c r="J18" i="40" s="1"/>
  <c r="J15" i="40"/>
  <c r="I15" i="40"/>
  <c r="H15" i="40"/>
  <c r="G15" i="40"/>
  <c r="H44" i="39"/>
  <c r="H45" i="39" s="1"/>
  <c r="H46" i="39" s="1"/>
  <c r="H35" i="39"/>
  <c r="H36" i="39" s="1"/>
  <c r="H37" i="39" s="1"/>
  <c r="J25" i="39"/>
  <c r="G23" i="39"/>
  <c r="H23" i="39" s="1"/>
  <c r="G22" i="39"/>
  <c r="H22" i="39" s="1"/>
  <c r="G21" i="39"/>
  <c r="H21" i="39" s="1"/>
  <c r="G20" i="39"/>
  <c r="H20" i="39" s="1"/>
  <c r="G19" i="39"/>
  <c r="H19" i="39" s="1"/>
  <c r="G18" i="39"/>
  <c r="H18" i="39" s="1"/>
  <c r="G17" i="39"/>
  <c r="H17" i="39" s="1"/>
  <c r="H12" i="39"/>
  <c r="F19" i="21"/>
  <c r="G19" i="21" s="1"/>
  <c r="F20" i="21"/>
  <c r="F21" i="21"/>
  <c r="G21" i="21" s="1"/>
  <c r="O34" i="36"/>
  <c r="F30" i="36"/>
  <c r="I30" i="36" s="1"/>
  <c r="M29" i="36"/>
  <c r="F29" i="36"/>
  <c r="I29" i="36" s="1"/>
  <c r="F28" i="36"/>
  <c r="J28" i="36" s="1"/>
  <c r="F27" i="36"/>
  <c r="L27" i="36" s="1"/>
  <c r="M27" i="36" s="1"/>
  <c r="K25" i="36"/>
  <c r="F25" i="36"/>
  <c r="G25" i="36" s="1"/>
  <c r="K24" i="36"/>
  <c r="F24" i="36"/>
  <c r="H24" i="36" s="1"/>
  <c r="K23" i="36"/>
  <c r="F23" i="36"/>
  <c r="K22" i="36"/>
  <c r="F22" i="36"/>
  <c r="J22" i="36" s="1"/>
  <c r="K21" i="36"/>
  <c r="F21" i="36"/>
  <c r="G21" i="36" s="1"/>
  <c r="K20" i="36"/>
  <c r="F20" i="36"/>
  <c r="I20" i="36" s="1"/>
  <c r="H19" i="36"/>
  <c r="G19" i="36"/>
  <c r="F18" i="36"/>
  <c r="I18" i="36" s="1"/>
  <c r="J15" i="36"/>
  <c r="I15" i="36"/>
  <c r="H15" i="36"/>
  <c r="G15" i="36"/>
  <c r="M32" i="21"/>
  <c r="F28" i="21"/>
  <c r="H28" i="21" s="1"/>
  <c r="I24" i="21"/>
  <c r="I22" i="21"/>
  <c r="F22" i="21"/>
  <c r="H22" i="21" s="1"/>
  <c r="F17" i="21"/>
  <c r="J17" i="21" s="1"/>
  <c r="K17" i="21" s="1"/>
  <c r="H14" i="21"/>
  <c r="I25" i="33"/>
  <c r="M32" i="33"/>
  <c r="K28" i="33"/>
  <c r="F28" i="33"/>
  <c r="G60" i="33" s="1"/>
  <c r="H27" i="33"/>
  <c r="G25" i="33"/>
  <c r="I23" i="33"/>
  <c r="F22" i="33"/>
  <c r="H22" i="33" s="1"/>
  <c r="F19" i="33"/>
  <c r="G19" i="33" s="1"/>
  <c r="G16" i="33"/>
  <c r="J27" i="33"/>
  <c r="K27" i="33" s="1"/>
  <c r="G27" i="33"/>
  <c r="D26" i="23"/>
  <c r="D28" i="23" s="1"/>
  <c r="D21" i="23"/>
  <c r="D22" i="23"/>
  <c r="D24" i="23" s="1"/>
  <c r="D20" i="23"/>
  <c r="M9" i="23"/>
  <c r="L9" i="23"/>
  <c r="G30" i="23"/>
  <c r="M30" i="23"/>
  <c r="G29" i="23"/>
  <c r="M29" i="23"/>
  <c r="K26" i="26"/>
  <c r="K25" i="26"/>
  <c r="K20" i="26"/>
  <c r="K19" i="26"/>
  <c r="K23" i="26"/>
  <c r="K24" i="26"/>
  <c r="F24" i="26"/>
  <c r="G24" i="26" s="1"/>
  <c r="F25" i="26"/>
  <c r="J25" i="26" s="1"/>
  <c r="F26" i="26"/>
  <c r="H26" i="26" s="1"/>
  <c r="F27" i="26"/>
  <c r="J27" i="26" s="1"/>
  <c r="AC21" i="23"/>
  <c r="AC22" i="23"/>
  <c r="AC23" i="23"/>
  <c r="AC24" i="23"/>
  <c r="AC25" i="23"/>
  <c r="H10" i="23"/>
  <c r="G47" i="31"/>
  <c r="H47" i="31" s="1"/>
  <c r="G46" i="31"/>
  <c r="H46" i="31" s="1"/>
  <c r="G45" i="31"/>
  <c r="H45" i="31" s="1"/>
  <c r="G44" i="31"/>
  <c r="H44" i="31" s="1"/>
  <c r="G43" i="31"/>
  <c r="H43" i="31" s="1"/>
  <c r="G42" i="31"/>
  <c r="H42" i="31" s="1"/>
  <c r="G41" i="31"/>
  <c r="H41" i="31" s="1"/>
  <c r="J18" i="31"/>
  <c r="G16" i="31"/>
  <c r="H16" i="31" s="1"/>
  <c r="G15" i="31"/>
  <c r="H15" i="31" s="1"/>
  <c r="G14" i="31"/>
  <c r="H14" i="31" s="1"/>
  <c r="G13" i="31"/>
  <c r="H13" i="31" s="1"/>
  <c r="G12" i="31"/>
  <c r="H12" i="31" s="1"/>
  <c r="G11" i="31"/>
  <c r="H11" i="31" s="1"/>
  <c r="G10" i="31"/>
  <c r="H10" i="31" s="1"/>
  <c r="G52" i="22"/>
  <c r="H52" i="22" s="1"/>
  <c r="G51" i="22"/>
  <c r="H51" i="22" s="1"/>
  <c r="G50" i="22"/>
  <c r="H50" i="22" s="1"/>
  <c r="G49" i="22"/>
  <c r="H49" i="22" s="1"/>
  <c r="G48" i="22"/>
  <c r="H48" i="22" s="1"/>
  <c r="G47" i="22"/>
  <c r="H47" i="22" s="1"/>
  <c r="G46" i="22"/>
  <c r="H46" i="22" s="1"/>
  <c r="G34" i="22"/>
  <c r="H34" i="22" s="1"/>
  <c r="G33" i="22"/>
  <c r="H33" i="22" s="1"/>
  <c r="G32" i="22"/>
  <c r="H32" i="22" s="1"/>
  <c r="G31" i="22"/>
  <c r="H31" i="22" s="1"/>
  <c r="J18" i="22"/>
  <c r="G16" i="22"/>
  <c r="H16" i="22" s="1"/>
  <c r="G15" i="22"/>
  <c r="H15" i="22" s="1"/>
  <c r="G14" i="22"/>
  <c r="H14" i="22" s="1"/>
  <c r="G13" i="22"/>
  <c r="H13" i="22" s="1"/>
  <c r="G12" i="22"/>
  <c r="H12" i="22" s="1"/>
  <c r="G11" i="22"/>
  <c r="H11" i="22" s="1"/>
  <c r="G10" i="22"/>
  <c r="H10" i="22" s="1"/>
  <c r="H34" i="24"/>
  <c r="H35" i="24" s="1"/>
  <c r="H36" i="24" s="1"/>
  <c r="J25" i="24"/>
  <c r="G23" i="24"/>
  <c r="H23" i="24" s="1"/>
  <c r="G22" i="24"/>
  <c r="H22" i="24" s="1"/>
  <c r="G21" i="24"/>
  <c r="H21" i="24" s="1"/>
  <c r="G20" i="24"/>
  <c r="H20" i="24" s="1"/>
  <c r="G19" i="24"/>
  <c r="H19" i="24" s="1"/>
  <c r="G18" i="24"/>
  <c r="H18" i="24" s="1"/>
  <c r="G17" i="24"/>
  <c r="H17" i="24" s="1"/>
  <c r="H12" i="24"/>
  <c r="AK31" i="23"/>
  <c r="AJ31" i="23"/>
  <c r="AJ24" i="23"/>
  <c r="AI32" i="23"/>
  <c r="AI24" i="23"/>
  <c r="AK21" i="23"/>
  <c r="J24" i="25"/>
  <c r="G22" i="25"/>
  <c r="H22" i="25" s="1"/>
  <c r="G21" i="25"/>
  <c r="H21" i="25" s="1"/>
  <c r="G20" i="25"/>
  <c r="H20" i="25" s="1"/>
  <c r="G19" i="25"/>
  <c r="H19" i="25" s="1"/>
  <c r="G18" i="25"/>
  <c r="H18" i="25" s="1"/>
  <c r="G17" i="25"/>
  <c r="H17" i="25" s="1"/>
  <c r="G16" i="25"/>
  <c r="H16" i="25" s="1"/>
  <c r="H11" i="25"/>
  <c r="M29" i="12"/>
  <c r="K25" i="12"/>
  <c r="F25" i="12"/>
  <c r="H25" i="12" s="1"/>
  <c r="F24" i="12"/>
  <c r="H24" i="12" s="1"/>
  <c r="K23" i="12"/>
  <c r="F23" i="12"/>
  <c r="H23" i="12" s="1"/>
  <c r="F22" i="12"/>
  <c r="H22" i="12" s="1"/>
  <c r="F21" i="12"/>
  <c r="J21" i="12" s="1"/>
  <c r="K21" i="12" s="1"/>
  <c r="I20" i="12"/>
  <c r="F20" i="12"/>
  <c r="G20" i="12" s="1"/>
  <c r="I19" i="12"/>
  <c r="F19" i="12"/>
  <c r="H19" i="12" s="1"/>
  <c r="F18" i="12"/>
  <c r="H18" i="12" s="1"/>
  <c r="H15" i="12"/>
  <c r="G15" i="12"/>
  <c r="K25" i="28"/>
  <c r="K24" i="28"/>
  <c r="F25" i="28"/>
  <c r="I25" i="28" s="1"/>
  <c r="O35" i="28"/>
  <c r="F31" i="28"/>
  <c r="I31" i="28" s="1"/>
  <c r="M30" i="28"/>
  <c r="F30" i="28"/>
  <c r="I30" i="28" s="1"/>
  <c r="F29" i="28"/>
  <c r="H29" i="28" s="1"/>
  <c r="F28" i="28"/>
  <c r="L28" i="28" s="1"/>
  <c r="M28" i="28" s="1"/>
  <c r="F27" i="28"/>
  <c r="J27" i="28" s="1"/>
  <c r="M26" i="28"/>
  <c r="F26" i="28"/>
  <c r="G26" i="28" s="1"/>
  <c r="F24" i="28"/>
  <c r="J24" i="28" s="1"/>
  <c r="K23" i="28"/>
  <c r="F23" i="28"/>
  <c r="I23" i="28" s="1"/>
  <c r="K22" i="28"/>
  <c r="F22" i="28"/>
  <c r="H22" i="28" s="1"/>
  <c r="K21" i="28"/>
  <c r="K20" i="28"/>
  <c r="F20" i="28"/>
  <c r="I20" i="28" s="1"/>
  <c r="H19" i="28"/>
  <c r="G19" i="28"/>
  <c r="F18" i="28"/>
  <c r="G18" i="28" s="1"/>
  <c r="J15" i="28"/>
  <c r="I15" i="28"/>
  <c r="H15" i="28"/>
  <c r="G15" i="28"/>
  <c r="O34" i="26"/>
  <c r="M30" i="27"/>
  <c r="K24" i="27"/>
  <c r="K26" i="27"/>
  <c r="J18" i="27"/>
  <c r="K18" i="27" s="1"/>
  <c r="J19" i="27"/>
  <c r="K19" i="27" s="1"/>
  <c r="I21" i="27"/>
  <c r="I20" i="27"/>
  <c r="H14" i="27"/>
  <c r="H19" i="27"/>
  <c r="G19" i="27"/>
  <c r="H18" i="27"/>
  <c r="G18" i="27"/>
  <c r="G14" i="27"/>
  <c r="K22" i="26"/>
  <c r="K21" i="26"/>
  <c r="F26" i="27"/>
  <c r="G26" i="27" s="1"/>
  <c r="F25" i="27"/>
  <c r="J25" i="27" s="1"/>
  <c r="K25" i="27" s="1"/>
  <c r="F24" i="27"/>
  <c r="H24" i="27" s="1"/>
  <c r="F23" i="27"/>
  <c r="G23" i="27" s="1"/>
  <c r="F22" i="27"/>
  <c r="G22" i="27" s="1"/>
  <c r="F21" i="27"/>
  <c r="G21" i="27" s="1"/>
  <c r="F20" i="27"/>
  <c r="H20" i="27" s="1"/>
  <c r="F17" i="27"/>
  <c r="G17" i="27" s="1"/>
  <c r="M29" i="26"/>
  <c r="J14" i="26"/>
  <c r="I14" i="26"/>
  <c r="H14" i="26"/>
  <c r="G14" i="26"/>
  <c r="F30" i="26"/>
  <c r="I30" i="26" s="1"/>
  <c r="F29" i="26"/>
  <c r="H29" i="26" s="1"/>
  <c r="F28" i="26"/>
  <c r="G28" i="26" s="1"/>
  <c r="F23" i="26"/>
  <c r="J23" i="26" s="1"/>
  <c r="F22" i="26"/>
  <c r="G22" i="26" s="1"/>
  <c r="F21" i="26"/>
  <c r="J21" i="26" s="1"/>
  <c r="F20" i="26"/>
  <c r="G20" i="26" s="1"/>
  <c r="F19" i="26"/>
  <c r="H18" i="26"/>
  <c r="G18" i="26"/>
  <c r="F17" i="26"/>
  <c r="L17" i="26" s="1"/>
  <c r="AD15" i="23"/>
  <c r="AK17" i="23"/>
  <c r="AJ10" i="23"/>
  <c r="AJ18" i="23"/>
  <c r="G27" i="23"/>
  <c r="M26" i="23"/>
  <c r="M27" i="23"/>
  <c r="G26" i="23"/>
  <c r="G28" i="23"/>
  <c r="M28" i="23"/>
  <c r="AG5" i="23"/>
  <c r="AG4" i="23"/>
  <c r="AD5" i="23"/>
  <c r="AD6" i="23"/>
  <c r="AD7" i="23"/>
  <c r="AD4" i="23"/>
  <c r="AG21" i="23"/>
  <c r="AG22" i="23"/>
  <c r="AG23" i="23"/>
  <c r="AG24" i="23"/>
  <c r="AG25" i="23"/>
  <c r="AG31" i="23"/>
  <c r="AG32" i="23"/>
  <c r="AG33" i="23"/>
  <c r="AG34" i="23"/>
  <c r="AG35" i="23"/>
  <c r="AG36" i="23"/>
  <c r="AG20" i="23"/>
  <c r="G22" i="23"/>
  <c r="G23" i="23"/>
  <c r="G24" i="23"/>
  <c r="G25" i="23"/>
  <c r="G31" i="23"/>
  <c r="G32" i="23"/>
  <c r="O21" i="23"/>
  <c r="O22" i="23"/>
  <c r="O23" i="23"/>
  <c r="O24" i="23"/>
  <c r="O25" i="23"/>
  <c r="O31" i="23"/>
  <c r="O32" i="23"/>
  <c r="O20" i="23"/>
  <c r="N16" i="23" s="1"/>
  <c r="M21" i="23"/>
  <c r="M22" i="23"/>
  <c r="M23" i="23"/>
  <c r="L10" i="23" s="1"/>
  <c r="M24" i="23"/>
  <c r="M25" i="23"/>
  <c r="M31" i="23"/>
  <c r="M32" i="23"/>
  <c r="M20" i="23"/>
  <c r="AC20" i="23"/>
  <c r="G21" i="23"/>
  <c r="G20" i="23"/>
  <c r="AH15" i="23"/>
  <c r="W20" i="23"/>
  <c r="S7" i="23" s="1"/>
  <c r="S9" i="23" s="1"/>
  <c r="V20" i="23"/>
  <c r="R7" i="23" s="1"/>
  <c r="R9" i="23" s="1"/>
  <c r="U20" i="23"/>
  <c r="Q7" i="23" s="1"/>
  <c r="Q9" i="23" s="1"/>
  <c r="T20" i="23"/>
  <c r="P7" i="23" s="1"/>
  <c r="P9" i="23" s="1"/>
  <c r="K14" i="23"/>
  <c r="W10" i="23"/>
  <c r="V10" i="23"/>
  <c r="U10" i="23"/>
  <c r="T10" i="23"/>
  <c r="G9" i="23"/>
  <c r="G11" i="23" s="1"/>
  <c r="F9" i="23"/>
  <c r="F11" i="23" s="1"/>
  <c r="E9" i="23"/>
  <c r="E11" i="23" s="1"/>
  <c r="D9" i="23"/>
  <c r="D11" i="23" s="1"/>
  <c r="H37" i="23"/>
  <c r="H241" i="1"/>
  <c r="N11" i="47"/>
  <c r="N65" i="2"/>
  <c r="V73" i="2"/>
  <c r="W3" i="2" l="1"/>
  <c r="J221" i="1"/>
  <c r="K221" i="1" s="1"/>
  <c r="G221" i="1"/>
  <c r="H136" i="1"/>
  <c r="F8" i="2"/>
  <c r="K42" i="2"/>
  <c r="J19" i="1"/>
  <c r="O11" i="1" s="1"/>
  <c r="P23" i="1" s="1"/>
  <c r="J29" i="37"/>
  <c r="H54" i="22"/>
  <c r="H111" i="1"/>
  <c r="H88" i="1"/>
  <c r="H19" i="22"/>
  <c r="H20" i="22" s="1"/>
  <c r="H65" i="1"/>
  <c r="H19" i="31"/>
  <c r="H29" i="31" s="1"/>
  <c r="H18" i="42"/>
  <c r="G18" i="42"/>
  <c r="H25" i="21"/>
  <c r="H26" i="5"/>
  <c r="U32" i="2"/>
  <c r="AD35" i="2"/>
  <c r="G25" i="50"/>
  <c r="G218" i="1"/>
  <c r="J218" i="1"/>
  <c r="K218" i="1" s="1"/>
  <c r="G215" i="1"/>
  <c r="J22" i="42"/>
  <c r="I34" i="2"/>
  <c r="L32" i="2"/>
  <c r="I35" i="2"/>
  <c r="L35" i="2"/>
  <c r="I24" i="33"/>
  <c r="J24" i="33" s="1"/>
  <c r="K24" i="33" s="1"/>
  <c r="G127" i="54"/>
  <c r="J134" i="1"/>
  <c r="W5" i="2"/>
  <c r="J63" i="1"/>
  <c r="J109" i="1"/>
  <c r="J86" i="1"/>
  <c r="L16" i="2"/>
  <c r="L18" i="2"/>
  <c r="H32" i="1"/>
  <c r="J32" i="1" s="1"/>
  <c r="F9" i="2" s="1"/>
  <c r="I9" i="2" s="1"/>
  <c r="G241" i="1"/>
  <c r="I252" i="1"/>
  <c r="J251" i="1" s="1"/>
  <c r="K251" i="1" s="1"/>
  <c r="H251" i="1"/>
  <c r="I22" i="33"/>
  <c r="J18" i="42"/>
  <c r="L18" i="42"/>
  <c r="M18" i="42" s="1"/>
  <c r="G25" i="37"/>
  <c r="H55" i="21"/>
  <c r="G25" i="21"/>
  <c r="I18" i="42"/>
  <c r="H21" i="50"/>
  <c r="J20" i="42"/>
  <c r="H23" i="26"/>
  <c r="H21" i="40"/>
  <c r="G17" i="21"/>
  <c r="I27" i="26"/>
  <c r="G14" i="21"/>
  <c r="H27" i="21"/>
  <c r="G27" i="21"/>
  <c r="G27" i="44"/>
  <c r="J56" i="21"/>
  <c r="K56" i="21" s="1"/>
  <c r="J21" i="33"/>
  <c r="I29" i="26"/>
  <c r="H17" i="21"/>
  <c r="G94" i="33"/>
  <c r="G24" i="27"/>
  <c r="G26" i="26"/>
  <c r="G29" i="36"/>
  <c r="H26" i="44"/>
  <c r="H52" i="21"/>
  <c r="H194" i="54"/>
  <c r="H17" i="27"/>
  <c r="L11" i="23"/>
  <c r="G18" i="12"/>
  <c r="G21" i="44"/>
  <c r="I27" i="47"/>
  <c r="I9" i="47"/>
  <c r="J20" i="36"/>
  <c r="G21" i="45"/>
  <c r="K21" i="42"/>
  <c r="L20" i="42" s="1"/>
  <c r="M20" i="42" s="1"/>
  <c r="I27" i="28"/>
  <c r="G27" i="26"/>
  <c r="G23" i="12"/>
  <c r="H22" i="27"/>
  <c r="G164" i="54"/>
  <c r="I21" i="26"/>
  <c r="H27" i="26"/>
  <c r="J23" i="27"/>
  <c r="K23" i="27" s="1"/>
  <c r="L27" i="26"/>
  <c r="M27" i="26" s="1"/>
  <c r="G29" i="28"/>
  <c r="J30" i="42"/>
  <c r="I161" i="54"/>
  <c r="I163" i="54" s="1"/>
  <c r="G95" i="33"/>
  <c r="G28" i="33"/>
  <c r="J20" i="40"/>
  <c r="J24" i="12"/>
  <c r="K24" i="12" s="1"/>
  <c r="J19" i="33"/>
  <c r="K19" i="33" s="1"/>
  <c r="J29" i="45"/>
  <c r="I20" i="45"/>
  <c r="H94" i="33"/>
  <c r="G30" i="26"/>
  <c r="G28" i="42"/>
  <c r="H30" i="26"/>
  <c r="H28" i="42"/>
  <c r="I28" i="42"/>
  <c r="L20" i="45"/>
  <c r="M20" i="45" s="1"/>
  <c r="J30" i="26"/>
  <c r="G24" i="12"/>
  <c r="L29" i="40"/>
  <c r="M29" i="40" s="1"/>
  <c r="K20" i="37"/>
  <c r="L20" i="37" s="1"/>
  <c r="M20" i="37" s="1"/>
  <c r="J19" i="37"/>
  <c r="G18" i="44"/>
  <c r="J22" i="44"/>
  <c r="G27" i="45"/>
  <c r="J22" i="45"/>
  <c r="I25" i="45"/>
  <c r="G62" i="21"/>
  <c r="J66" i="52"/>
  <c r="K66" i="52" s="1"/>
  <c r="H31" i="28"/>
  <c r="I29" i="40"/>
  <c r="L20" i="40"/>
  <c r="M20" i="40" s="1"/>
  <c r="H62" i="21"/>
  <c r="J67" i="52"/>
  <c r="K67" i="52" s="1"/>
  <c r="H28" i="28"/>
  <c r="H27" i="36"/>
  <c r="G29" i="40"/>
  <c r="I28" i="37"/>
  <c r="H18" i="44"/>
  <c r="H26" i="45"/>
  <c r="H23" i="45"/>
  <c r="J93" i="33"/>
  <c r="K93" i="33" s="1"/>
  <c r="J52" i="33"/>
  <c r="K52" i="33" s="1"/>
  <c r="H67" i="52"/>
  <c r="H66" i="52"/>
  <c r="G192" i="54"/>
  <c r="G21" i="12"/>
  <c r="J29" i="40"/>
  <c r="J20" i="50"/>
  <c r="K22" i="37"/>
  <c r="L22" i="37" s="1"/>
  <c r="M22" i="37" s="1"/>
  <c r="G26" i="45"/>
  <c r="G52" i="33"/>
  <c r="H25" i="27"/>
  <c r="G25" i="12"/>
  <c r="H23" i="40"/>
  <c r="H29" i="44"/>
  <c r="J24" i="45"/>
  <c r="G92" i="48"/>
  <c r="G25" i="27"/>
  <c r="G23" i="44"/>
  <c r="G93" i="33"/>
  <c r="H200" i="54"/>
  <c r="J19" i="12"/>
  <c r="K19" i="12" s="1"/>
  <c r="G26" i="33"/>
  <c r="I20" i="37"/>
  <c r="H19" i="37"/>
  <c r="J134" i="54"/>
  <c r="K134" i="54" s="1"/>
  <c r="O10" i="23"/>
  <c r="I25" i="26"/>
  <c r="L19" i="37"/>
  <c r="M19" i="37" s="1"/>
  <c r="H199" i="54"/>
  <c r="J29" i="26"/>
  <c r="G29" i="26"/>
  <c r="I22" i="36"/>
  <c r="G21" i="37"/>
  <c r="H85" i="48"/>
  <c r="G49" i="21"/>
  <c r="H193" i="54"/>
  <c r="Q11" i="23"/>
  <c r="G25" i="28"/>
  <c r="L25" i="26"/>
  <c r="M25" i="26" s="1"/>
  <c r="I31" i="40"/>
  <c r="G134" i="54"/>
  <c r="H21" i="33"/>
  <c r="G199" i="54"/>
  <c r="J164" i="54"/>
  <c r="K164" i="54" s="1"/>
  <c r="I31" i="50"/>
  <c r="K10" i="23"/>
  <c r="H29" i="36"/>
  <c r="J26" i="21"/>
  <c r="K26" i="21" s="1"/>
  <c r="I250" i="1"/>
  <c r="J249" i="1" s="1"/>
  <c r="K249" i="1" s="1"/>
  <c r="H158" i="1"/>
  <c r="H21" i="42"/>
  <c r="G21" i="42"/>
  <c r="R11" i="23"/>
  <c r="J17" i="27"/>
  <c r="K17" i="27" s="1"/>
  <c r="J22" i="27"/>
  <c r="K22" i="27" s="1"/>
  <c r="H20" i="26"/>
  <c r="J24" i="36"/>
  <c r="J27" i="37"/>
  <c r="L18" i="37"/>
  <c r="M18" i="37" s="1"/>
  <c r="G26" i="42"/>
  <c r="I91" i="33"/>
  <c r="H63" i="52"/>
  <c r="I196" i="54"/>
  <c r="J195" i="54" s="1"/>
  <c r="K195" i="54" s="1"/>
  <c r="J18" i="50"/>
  <c r="I28" i="28"/>
  <c r="G27" i="28"/>
  <c r="I22" i="37"/>
  <c r="I27" i="44"/>
  <c r="I31" i="45"/>
  <c r="G86" i="33"/>
  <c r="W17" i="47"/>
  <c r="H54" i="21"/>
  <c r="J193" i="54"/>
  <c r="K193" i="54" s="1"/>
  <c r="G92" i="33"/>
  <c r="G20" i="33"/>
  <c r="J27" i="40"/>
  <c r="J22" i="33"/>
  <c r="K22" i="33" s="1"/>
  <c r="G28" i="28"/>
  <c r="H26" i="27"/>
  <c r="H27" i="28"/>
  <c r="J20" i="28"/>
  <c r="M20" i="28"/>
  <c r="H19" i="33"/>
  <c r="L18" i="36"/>
  <c r="M18" i="36" s="1"/>
  <c r="H20" i="33"/>
  <c r="H27" i="40"/>
  <c r="J30" i="40"/>
  <c r="K24" i="37"/>
  <c r="L24" i="37" s="1"/>
  <c r="M24" i="37" s="1"/>
  <c r="H92" i="48"/>
  <c r="J54" i="21"/>
  <c r="K54" i="21" s="1"/>
  <c r="H74" i="52"/>
  <c r="J190" i="1"/>
  <c r="K190" i="1" s="1"/>
  <c r="I25" i="50"/>
  <c r="V83" i="2"/>
  <c r="U83" i="2" s="1"/>
  <c r="N10" i="23"/>
  <c r="N11" i="23" s="1"/>
  <c r="H26" i="28"/>
  <c r="G23" i="28"/>
  <c r="L21" i="26"/>
  <c r="M21" i="26" s="1"/>
  <c r="J20" i="27"/>
  <c r="K20" i="27" s="1"/>
  <c r="M20" i="36"/>
  <c r="H30" i="40"/>
  <c r="J15" i="37"/>
  <c r="G55" i="21"/>
  <c r="G63" i="52"/>
  <c r="J28" i="26"/>
  <c r="H30" i="36"/>
  <c r="G28" i="21"/>
  <c r="H27" i="44"/>
  <c r="H69" i="48"/>
  <c r="G53" i="33"/>
  <c r="J28" i="28"/>
  <c r="J18" i="12"/>
  <c r="K18" i="12" s="1"/>
  <c r="J28" i="21"/>
  <c r="K28" i="21" s="1"/>
  <c r="G27" i="40"/>
  <c r="G27" i="37"/>
  <c r="S17" i="47"/>
  <c r="J59" i="21"/>
  <c r="K59" i="21" s="1"/>
  <c r="H60" i="21"/>
  <c r="H31" i="50"/>
  <c r="H247" i="1"/>
  <c r="AD8" i="23"/>
  <c r="H24" i="28"/>
  <c r="H27" i="24"/>
  <c r="H28" i="24" s="1"/>
  <c r="H38" i="24" s="1"/>
  <c r="L24" i="40"/>
  <c r="M24" i="40" s="1"/>
  <c r="J18" i="37"/>
  <c r="G29" i="44"/>
  <c r="L20" i="44"/>
  <c r="M20" i="44" s="1"/>
  <c r="J27" i="45"/>
  <c r="G74" i="52"/>
  <c r="H30" i="50"/>
  <c r="H160" i="1"/>
  <c r="AG37" i="23"/>
  <c r="AG6" i="23"/>
  <c r="H23" i="27"/>
  <c r="AJ32" i="23"/>
  <c r="J27" i="36"/>
  <c r="G25" i="40"/>
  <c r="H18" i="37"/>
  <c r="I29" i="44"/>
  <c r="L26" i="42"/>
  <c r="M26" i="42" s="1"/>
  <c r="L26" i="45"/>
  <c r="M26" i="45" s="1"/>
  <c r="H29" i="45"/>
  <c r="J244" i="1"/>
  <c r="K244" i="1" s="1"/>
  <c r="H63" i="21"/>
  <c r="J63" i="21"/>
  <c r="K63" i="21" s="1"/>
  <c r="J53" i="33"/>
  <c r="H246" i="1"/>
  <c r="H73" i="52"/>
  <c r="J192" i="54"/>
  <c r="K192" i="54" s="1"/>
  <c r="I162" i="54"/>
  <c r="J200" i="54"/>
  <c r="K200" i="54" s="1"/>
  <c r="J30" i="28"/>
  <c r="J22" i="21"/>
  <c r="K22" i="21" s="1"/>
  <c r="L24" i="45"/>
  <c r="M24" i="45" s="1"/>
  <c r="U15" i="5"/>
  <c r="T15" i="5" s="1"/>
  <c r="I29" i="50"/>
  <c r="S11" i="23"/>
  <c r="G30" i="28"/>
  <c r="H30" i="28"/>
  <c r="H22" i="26"/>
  <c r="J9" i="23"/>
  <c r="G30" i="36"/>
  <c r="L24" i="36"/>
  <c r="M24" i="36" s="1"/>
  <c r="I28" i="40"/>
  <c r="H27" i="41"/>
  <c r="J26" i="42"/>
  <c r="J22" i="12"/>
  <c r="K22" i="12" s="1"/>
  <c r="L19" i="26"/>
  <c r="M19" i="26" s="1"/>
  <c r="AC33" i="23"/>
  <c r="H51" i="33"/>
  <c r="J21" i="21"/>
  <c r="K21" i="21" s="1"/>
  <c r="I18" i="37"/>
  <c r="H26" i="42"/>
  <c r="H31" i="45"/>
  <c r="I27" i="45"/>
  <c r="G84" i="33"/>
  <c r="H86" i="33"/>
  <c r="L18" i="50"/>
  <c r="M18" i="50" s="1"/>
  <c r="H18" i="50"/>
  <c r="K16" i="23"/>
  <c r="M10" i="23"/>
  <c r="G22" i="12"/>
  <c r="L23" i="26"/>
  <c r="M23" i="26" s="1"/>
  <c r="AK18" i="23"/>
  <c r="I27" i="36"/>
  <c r="G51" i="33"/>
  <c r="L22" i="44"/>
  <c r="M22" i="44" s="1"/>
  <c r="G29" i="45"/>
  <c r="G18" i="45"/>
  <c r="G88" i="33"/>
  <c r="G56" i="21"/>
  <c r="J52" i="21"/>
  <c r="K52" i="21" s="1"/>
  <c r="H45" i="52"/>
  <c r="H218" i="1"/>
  <c r="J30" i="50"/>
  <c r="G33" i="23"/>
  <c r="H36" i="22"/>
  <c r="H37" i="22" s="1"/>
  <c r="H38" i="22" s="1"/>
  <c r="J30" i="36"/>
  <c r="H21" i="21"/>
  <c r="J24" i="40"/>
  <c r="L18" i="45"/>
  <c r="M18" i="45" s="1"/>
  <c r="I26" i="45"/>
  <c r="J88" i="33"/>
  <c r="K88" i="33" s="1"/>
  <c r="J254" i="1"/>
  <c r="K254" i="1" s="1"/>
  <c r="P25" i="5"/>
  <c r="J57" i="21"/>
  <c r="K57" i="21" s="1"/>
  <c r="I18" i="50"/>
  <c r="J29" i="50"/>
  <c r="H29" i="50"/>
  <c r="G30" i="50"/>
  <c r="J27" i="50"/>
  <c r="I27" i="50"/>
  <c r="G15" i="50"/>
  <c r="J160" i="1"/>
  <c r="K160" i="1" s="1"/>
  <c r="K9" i="23"/>
  <c r="P11" i="23"/>
  <c r="H49" i="31"/>
  <c r="H30" i="31" s="1"/>
  <c r="H27" i="43"/>
  <c r="H11" i="23"/>
  <c r="H26" i="25"/>
  <c r="H27" i="25" s="1"/>
  <c r="H29" i="25" s="1"/>
  <c r="H9" i="23"/>
  <c r="H28" i="26"/>
  <c r="I18" i="28"/>
  <c r="L24" i="28"/>
  <c r="M24" i="28" s="1"/>
  <c r="I28" i="26"/>
  <c r="J18" i="28"/>
  <c r="J22" i="28"/>
  <c r="J26" i="28"/>
  <c r="J29" i="28"/>
  <c r="H31" i="37"/>
  <c r="J31" i="37"/>
  <c r="G31" i="37"/>
  <c r="H28" i="44"/>
  <c r="L28" i="44"/>
  <c r="M28" i="44" s="1"/>
  <c r="J20" i="21"/>
  <c r="K20" i="21" s="1"/>
  <c r="G20" i="21"/>
  <c r="H20" i="21"/>
  <c r="J19" i="26"/>
  <c r="G18" i="36"/>
  <c r="J18" i="36"/>
  <c r="H18" i="36"/>
  <c r="J19" i="21"/>
  <c r="K19" i="21" s="1"/>
  <c r="H19" i="21"/>
  <c r="H31" i="40"/>
  <c r="G28" i="40"/>
  <c r="L28" i="40"/>
  <c r="H28" i="40"/>
  <c r="I28" i="44"/>
  <c r="J30" i="44"/>
  <c r="G30" i="44"/>
  <c r="H30" i="44"/>
  <c r="L19" i="2"/>
  <c r="G135" i="54"/>
  <c r="H135" i="54"/>
  <c r="H137" i="54" s="1"/>
  <c r="J135" i="54"/>
  <c r="K135" i="54" s="1"/>
  <c r="J165" i="54"/>
  <c r="K165" i="54" s="1"/>
  <c r="H165" i="54"/>
  <c r="H167" i="54" s="1"/>
  <c r="G165" i="54"/>
  <c r="J190" i="54"/>
  <c r="K190" i="54" s="1"/>
  <c r="G190" i="54"/>
  <c r="H190" i="54"/>
  <c r="O16" i="23"/>
  <c r="J16" i="23" s="1"/>
  <c r="G31" i="28"/>
  <c r="H18" i="28"/>
  <c r="L22" i="28"/>
  <c r="M22" i="28" s="1"/>
  <c r="I29" i="28"/>
  <c r="I19" i="26"/>
  <c r="G31" i="40"/>
  <c r="I31" i="37"/>
  <c r="H23" i="37"/>
  <c r="G23" i="37"/>
  <c r="H255" i="1"/>
  <c r="G255" i="1"/>
  <c r="J255" i="1"/>
  <c r="K255" i="1" s="1"/>
  <c r="H72" i="52"/>
  <c r="J72" i="52"/>
  <c r="K72" i="52" s="1"/>
  <c r="H43" i="54"/>
  <c r="H112" i="54"/>
  <c r="J136" i="54"/>
  <c r="K136" i="54" s="1"/>
  <c r="G136" i="54"/>
  <c r="H136" i="54"/>
  <c r="G28" i="50"/>
  <c r="I28" i="50"/>
  <c r="H28" i="50"/>
  <c r="J28" i="50"/>
  <c r="J88" i="48"/>
  <c r="K88" i="48" s="1"/>
  <c r="G88" i="48"/>
  <c r="G100" i="48" s="1"/>
  <c r="I19" i="50"/>
  <c r="H19" i="50"/>
  <c r="G19" i="50"/>
  <c r="J19" i="50"/>
  <c r="J31" i="28"/>
  <c r="L22" i="36"/>
  <c r="M22" i="36" s="1"/>
  <c r="H27" i="39"/>
  <c r="L18" i="40"/>
  <c r="M18" i="40" s="1"/>
  <c r="G26" i="37"/>
  <c r="G28" i="37"/>
  <c r="L28" i="37"/>
  <c r="M28" i="37" s="1"/>
  <c r="H28" i="37"/>
  <c r="J31" i="44"/>
  <c r="I31" i="44"/>
  <c r="G31" i="44"/>
  <c r="J15" i="45"/>
  <c r="I132" i="54"/>
  <c r="J132" i="54" s="1"/>
  <c r="K132" i="54" s="1"/>
  <c r="J130" i="54"/>
  <c r="K130" i="54" s="1"/>
  <c r="H24" i="44"/>
  <c r="J24" i="44"/>
  <c r="I26" i="28"/>
  <c r="H21" i="12"/>
  <c r="H26" i="12" s="1"/>
  <c r="G23" i="36"/>
  <c r="H23" i="36"/>
  <c r="J22" i="40"/>
  <c r="L22" i="40"/>
  <c r="M22" i="40" s="1"/>
  <c r="H24" i="37"/>
  <c r="J24" i="37"/>
  <c r="I29" i="42"/>
  <c r="J29" i="42"/>
  <c r="G29" i="42"/>
  <c r="G26" i="44"/>
  <c r="J26" i="44"/>
  <c r="L26" i="44"/>
  <c r="M26" i="44" s="1"/>
  <c r="K22" i="45"/>
  <c r="L22" i="45" s="1"/>
  <c r="M22" i="45" s="1"/>
  <c r="H15" i="45"/>
  <c r="H93" i="48"/>
  <c r="J93" i="48"/>
  <c r="K93" i="48" s="1"/>
  <c r="H88" i="54"/>
  <c r="J22" i="50"/>
  <c r="I22" i="50"/>
  <c r="L26" i="37"/>
  <c r="M26" i="37" s="1"/>
  <c r="I26" i="37"/>
  <c r="J26" i="37"/>
  <c r="L18" i="28"/>
  <c r="M18" i="28" s="1"/>
  <c r="H28" i="36"/>
  <c r="I28" i="36"/>
  <c r="G28" i="36"/>
  <c r="G18" i="40"/>
  <c r="I18" i="40"/>
  <c r="H18" i="40"/>
  <c r="J30" i="37"/>
  <c r="I30" i="37"/>
  <c r="G30" i="37"/>
  <c r="I30" i="45"/>
  <c r="J30" i="45"/>
  <c r="G30" i="45"/>
  <c r="H30" i="45"/>
  <c r="H124" i="33"/>
  <c r="H58" i="33"/>
  <c r="G58" i="33"/>
  <c r="J26" i="33"/>
  <c r="K26" i="33" s="1"/>
  <c r="J19" i="45"/>
  <c r="I19" i="45"/>
  <c r="G19" i="45"/>
  <c r="L19" i="45"/>
  <c r="M19" i="45" s="1"/>
  <c r="I24" i="26"/>
  <c r="H28" i="33"/>
  <c r="H95" i="33"/>
  <c r="H60" i="33"/>
  <c r="L20" i="36"/>
  <c r="I26" i="40"/>
  <c r="H26" i="40"/>
  <c r="J26" i="40"/>
  <c r="L24" i="44"/>
  <c r="M24" i="44" s="1"/>
  <c r="J28" i="44"/>
  <c r="I56" i="33"/>
  <c r="J56" i="33" s="1"/>
  <c r="K56" i="33" s="1"/>
  <c r="H48" i="33"/>
  <c r="I54" i="33"/>
  <c r="J54" i="33" s="1"/>
  <c r="K54" i="33" s="1"/>
  <c r="G65" i="52"/>
  <c r="J65" i="52"/>
  <c r="K65" i="52" s="1"/>
  <c r="H65" i="52"/>
  <c r="G27" i="36"/>
  <c r="I25" i="36"/>
  <c r="H21" i="36"/>
  <c r="G29" i="37"/>
  <c r="H27" i="37"/>
  <c r="I19" i="37"/>
  <c r="G30" i="42"/>
  <c r="H30" i="42"/>
  <c r="I18" i="44"/>
  <c r="J20" i="44"/>
  <c r="J84" i="33"/>
  <c r="K84" i="33" s="1"/>
  <c r="H22" i="48"/>
  <c r="H45" i="48"/>
  <c r="H21" i="52"/>
  <c r="J194" i="54"/>
  <c r="K194" i="54" s="1"/>
  <c r="L18" i="44"/>
  <c r="M18" i="44" s="1"/>
  <c r="K32" i="2"/>
  <c r="G60" i="52"/>
  <c r="I69" i="52"/>
  <c r="J68" i="52" s="1"/>
  <c r="K68" i="52" s="1"/>
  <c r="H21" i="54"/>
  <c r="O21" i="54"/>
  <c r="G26" i="50"/>
  <c r="K21" i="50"/>
  <c r="L20" i="50" s="1"/>
  <c r="M20" i="50" s="1"/>
  <c r="I15" i="50"/>
  <c r="J29" i="36"/>
  <c r="I30" i="40"/>
  <c r="G30" i="40"/>
  <c r="I29" i="37"/>
  <c r="G25" i="44"/>
  <c r="J28" i="45"/>
  <c r="L28" i="45"/>
  <c r="M28" i="45" s="1"/>
  <c r="H28" i="45"/>
  <c r="G28" i="45"/>
  <c r="I89" i="33"/>
  <c r="J89" i="33" s="1"/>
  <c r="K89" i="33" s="1"/>
  <c r="G87" i="33"/>
  <c r="H87" i="33"/>
  <c r="J87" i="33"/>
  <c r="K87" i="33" s="1"/>
  <c r="H166" i="54"/>
  <c r="J166" i="54"/>
  <c r="K166" i="54" s="1"/>
  <c r="J26" i="50"/>
  <c r="H65" i="54"/>
  <c r="H26" i="50"/>
  <c r="J18" i="45"/>
  <c r="I18" i="45"/>
  <c r="H99" i="48"/>
  <c r="J99" i="48"/>
  <c r="K99" i="48" s="1"/>
  <c r="J248" i="1"/>
  <c r="K248" i="1" s="1"/>
  <c r="G248" i="1"/>
  <c r="G201" i="54"/>
  <c r="J201" i="54"/>
  <c r="K201" i="54" s="1"/>
  <c r="H201" i="54"/>
  <c r="H221" i="1"/>
  <c r="J91" i="33"/>
  <c r="K91" i="33" s="1"/>
  <c r="H244" i="1"/>
  <c r="G15" i="42"/>
  <c r="G73" i="52"/>
  <c r="J188" i="1"/>
  <c r="K188" i="1" s="1"/>
  <c r="H24" i="50"/>
  <c r="G31" i="50"/>
  <c r="G27" i="50"/>
  <c r="J31" i="45"/>
  <c r="G188" i="1"/>
  <c r="K25" i="50"/>
  <c r="H15" i="50"/>
  <c r="G23" i="42"/>
  <c r="K23" i="42"/>
  <c r="L22" i="42" s="1"/>
  <c r="M22" i="42" s="1"/>
  <c r="I215" i="1"/>
  <c r="I217" i="1" s="1"/>
  <c r="J216" i="1" s="1"/>
  <c r="K216" i="1" s="1"/>
  <c r="H190" i="1"/>
  <c r="H191" i="1" s="1"/>
  <c r="G180" i="1"/>
  <c r="I186" i="1"/>
  <c r="J185" i="1" s="1"/>
  <c r="K185" i="1" s="1"/>
  <c r="J183" i="1"/>
  <c r="K183" i="1" s="1"/>
  <c r="J219" i="1"/>
  <c r="K219" i="1" s="1"/>
  <c r="H219" i="1"/>
  <c r="G219" i="1"/>
  <c r="G157" i="1"/>
  <c r="H157" i="1"/>
  <c r="J157" i="1"/>
  <c r="K157" i="1" s="1"/>
  <c r="G253" i="1"/>
  <c r="G187" i="1"/>
  <c r="G158" i="1"/>
  <c r="H254" i="1"/>
  <c r="H9" i="39"/>
  <c r="J247" i="1"/>
  <c r="K247" i="1" s="1"/>
  <c r="J187" i="1"/>
  <c r="K187" i="1" s="1"/>
  <c r="H9" i="41"/>
  <c r="H248" i="1"/>
  <c r="J246" i="1"/>
  <c r="K246" i="1" s="1"/>
  <c r="J253" i="1"/>
  <c r="K253" i="1" s="1"/>
  <c r="I154" i="1"/>
  <c r="I156" i="1" s="1"/>
  <c r="J155" i="1" s="1"/>
  <c r="K155" i="1" s="1"/>
  <c r="H9" i="43"/>
  <c r="F12" i="2" l="1"/>
  <c r="I12" i="2" s="1"/>
  <c r="H11" i="5"/>
  <c r="G161" i="1"/>
  <c r="H161" i="1"/>
  <c r="G191" i="1"/>
  <c r="G192" i="1" s="1"/>
  <c r="H222" i="1"/>
  <c r="G222" i="1"/>
  <c r="J41" i="1"/>
  <c r="G27" i="27"/>
  <c r="I100" i="48"/>
  <c r="I256" i="1"/>
  <c r="K31" i="42"/>
  <c r="I191" i="1"/>
  <c r="H32" i="31"/>
  <c r="H31" i="31"/>
  <c r="H27" i="5"/>
  <c r="Q16" i="42"/>
  <c r="U31" i="2"/>
  <c r="W4" i="2"/>
  <c r="AD34" i="2"/>
  <c r="Q4" i="2"/>
  <c r="K33" i="50"/>
  <c r="J214" i="1"/>
  <c r="K214" i="1" s="1"/>
  <c r="I222" i="1" s="1"/>
  <c r="O21" i="1"/>
  <c r="P25" i="1"/>
  <c r="K33" i="2"/>
  <c r="L33" i="2"/>
  <c r="I27" i="12"/>
  <c r="H29" i="24"/>
  <c r="H40" i="24" s="1"/>
  <c r="G29" i="21"/>
  <c r="I31" i="42"/>
  <c r="G31" i="26"/>
  <c r="G167" i="54"/>
  <c r="G168" i="54" s="1"/>
  <c r="G29" i="33"/>
  <c r="H28" i="43"/>
  <c r="H29" i="43" s="1"/>
  <c r="H28" i="41"/>
  <c r="H29" i="41" s="1"/>
  <c r="J162" i="54"/>
  <c r="K162" i="54" s="1"/>
  <c r="J160" i="54"/>
  <c r="K160" i="54" s="1"/>
  <c r="L11" i="2"/>
  <c r="H96" i="33"/>
  <c r="G32" i="45"/>
  <c r="H202" i="54"/>
  <c r="I28" i="47"/>
  <c r="J10" i="23"/>
  <c r="J11" i="23" s="1"/>
  <c r="L12" i="2"/>
  <c r="I30" i="33"/>
  <c r="J31" i="26"/>
  <c r="I30" i="21"/>
  <c r="H31" i="26"/>
  <c r="G26" i="12"/>
  <c r="G27" i="12" s="1"/>
  <c r="H28" i="39"/>
  <c r="H29" i="39" s="1"/>
  <c r="K32" i="26"/>
  <c r="K11" i="23"/>
  <c r="H64" i="21"/>
  <c r="H27" i="27"/>
  <c r="G28" i="27" s="1"/>
  <c r="K32" i="36"/>
  <c r="G256" i="1"/>
  <c r="G31" i="42"/>
  <c r="H31" i="42"/>
  <c r="G64" i="21"/>
  <c r="I65" i="21"/>
  <c r="I28" i="27"/>
  <c r="G137" i="54"/>
  <c r="G138" i="54" s="1"/>
  <c r="I31" i="36"/>
  <c r="G202" i="54"/>
  <c r="H100" i="48"/>
  <c r="G101" i="48" s="1"/>
  <c r="H105" i="48" s="1"/>
  <c r="K33" i="37"/>
  <c r="I75" i="52"/>
  <c r="J31" i="42"/>
  <c r="I32" i="45"/>
  <c r="H32" i="45"/>
  <c r="H32" i="28"/>
  <c r="M11" i="23"/>
  <c r="G32" i="28"/>
  <c r="K33" i="44"/>
  <c r="H29" i="33"/>
  <c r="G61" i="33"/>
  <c r="I32" i="37"/>
  <c r="I62" i="33"/>
  <c r="L33" i="23"/>
  <c r="H75" i="52"/>
  <c r="G96" i="33"/>
  <c r="J32" i="40"/>
  <c r="H61" i="33"/>
  <c r="K33" i="28"/>
  <c r="I137" i="54"/>
  <c r="J31" i="36"/>
  <c r="K33" i="45"/>
  <c r="J32" i="37"/>
  <c r="H32" i="44"/>
  <c r="H256" i="1"/>
  <c r="K33" i="40"/>
  <c r="G23" i="50"/>
  <c r="G32" i="50" s="1"/>
  <c r="H23" i="50"/>
  <c r="H32" i="50" s="1"/>
  <c r="G32" i="40"/>
  <c r="J32" i="44"/>
  <c r="G32" i="44"/>
  <c r="H32" i="37"/>
  <c r="H29" i="21"/>
  <c r="J32" i="50"/>
  <c r="H55" i="22"/>
  <c r="H57" i="22" s="1"/>
  <c r="I32" i="44"/>
  <c r="H32" i="40"/>
  <c r="G31" i="36"/>
  <c r="I32" i="28"/>
  <c r="O11" i="23"/>
  <c r="I32" i="40"/>
  <c r="I31" i="26"/>
  <c r="H50" i="31"/>
  <c r="I202" i="54"/>
  <c r="J32" i="45"/>
  <c r="G32" i="37"/>
  <c r="J32" i="28"/>
  <c r="G75" i="52"/>
  <c r="I32" i="50"/>
  <c r="I97" i="33"/>
  <c r="H31" i="36"/>
  <c r="J153" i="1"/>
  <c r="K153" i="1" s="1"/>
  <c r="I161" i="1" s="1"/>
  <c r="H11" i="61" l="1"/>
  <c r="H28" i="61" s="1"/>
  <c r="H47" i="61" s="1"/>
  <c r="L10" i="61"/>
  <c r="H196" i="1"/>
  <c r="G162" i="1"/>
  <c r="H166" i="1" s="1"/>
  <c r="G223" i="1"/>
  <c r="H226" i="1" s="1"/>
  <c r="F14" i="2" s="1"/>
  <c r="I14" i="2" s="1"/>
  <c r="H28" i="5"/>
  <c r="G32" i="42"/>
  <c r="I36" i="42" s="1"/>
  <c r="H33" i="31"/>
  <c r="H52" i="31" s="1"/>
  <c r="G33" i="50"/>
  <c r="I37" i="50" s="1"/>
  <c r="G257" i="1"/>
  <c r="H260" i="1" s="1"/>
  <c r="H37" i="5"/>
  <c r="I19" i="2"/>
  <c r="U34" i="2"/>
  <c r="F168" i="32"/>
  <c r="I168" i="32" s="1"/>
  <c r="Y31" i="2"/>
  <c r="G30" i="21"/>
  <c r="H34" i="21" s="1"/>
  <c r="L25" i="2"/>
  <c r="G62" i="33"/>
  <c r="H66" i="33" s="1"/>
  <c r="H31" i="12"/>
  <c r="G65" i="21"/>
  <c r="H69" i="21" s="1"/>
  <c r="G30" i="33"/>
  <c r="H34" i="33" s="1"/>
  <c r="I167" i="54"/>
  <c r="H172" i="54" s="1"/>
  <c r="G32" i="26"/>
  <c r="I36" i="26" s="1"/>
  <c r="G97" i="33"/>
  <c r="H101" i="33" s="1"/>
  <c r="H39" i="43"/>
  <c r="H48" i="43"/>
  <c r="H32" i="27"/>
  <c r="H48" i="41"/>
  <c r="H39" i="41"/>
  <c r="G76" i="52"/>
  <c r="H80" i="52" s="1"/>
  <c r="G33" i="37"/>
  <c r="I37" i="37" s="1"/>
  <c r="I29" i="47"/>
  <c r="I46" i="47"/>
  <c r="G203" i="54"/>
  <c r="H207" i="54" s="1"/>
  <c r="H48" i="39"/>
  <c r="H39" i="39"/>
  <c r="H142" i="54"/>
  <c r="I38" i="47"/>
  <c r="G33" i="45"/>
  <c r="I37" i="45" s="1"/>
  <c r="G33" i="28"/>
  <c r="I37" i="28" s="1"/>
  <c r="G33" i="40"/>
  <c r="I37" i="40" s="1"/>
  <c r="G33" i="44"/>
  <c r="I37" i="44" s="1"/>
  <c r="G32" i="36"/>
  <c r="I36" i="36" s="1"/>
  <c r="J168" i="32" l="1"/>
  <c r="C17" i="2" s="1"/>
  <c r="R34" i="42"/>
  <c r="L10" i="5"/>
  <c r="I13" i="2"/>
  <c r="K25" i="2"/>
  <c r="K24" i="2"/>
  <c r="L24" i="2"/>
  <c r="K21" i="2"/>
  <c r="L21" i="2"/>
  <c r="K23" i="2"/>
  <c r="L23" i="2"/>
  <c r="H50" i="43"/>
  <c r="H50" i="41"/>
  <c r="H50" i="39"/>
  <c r="I48" i="47"/>
  <c r="L17" i="2" l="1"/>
  <c r="U22" i="2"/>
  <c r="I8" i="2"/>
  <c r="F16" i="2"/>
  <c r="I16" i="2" s="1"/>
  <c r="Q39" i="2"/>
  <c r="K20" i="2"/>
  <c r="K13" i="2"/>
  <c r="K12" i="2"/>
  <c r="K11" i="2" l="1"/>
  <c r="K16" i="2"/>
  <c r="H41" i="5"/>
  <c r="H42" i="5" s="1"/>
  <c r="H43" i="5" l="1"/>
  <c r="H45" i="5" s="1"/>
  <c r="H47" i="5" l="1"/>
  <c r="F17" i="2" s="1"/>
  <c r="I17" i="2" s="1"/>
  <c r="F11" i="32"/>
  <c r="I11" i="32" s="1"/>
  <c r="J11" i="32" s="1"/>
  <c r="J38" i="32" s="1"/>
  <c r="K19" i="2" l="1"/>
  <c r="G93" i="32"/>
  <c r="K93" i="32" s="1"/>
  <c r="F93" i="32"/>
  <c r="I93" i="32" s="1"/>
  <c r="J92" i="32" s="1"/>
  <c r="K153" i="32" l="1"/>
  <c r="M93" i="32"/>
  <c r="N93" i="32" s="1"/>
  <c r="N135" i="32" s="1"/>
  <c r="K41" i="2" s="1"/>
  <c r="K17" i="2"/>
  <c r="C31" i="2"/>
  <c r="L31" i="2" s="1"/>
  <c r="K18" i="2" l="1"/>
  <c r="Q38" i="2" s="1"/>
  <c r="V42" i="2" s="1"/>
  <c r="K31" i="2"/>
  <c r="J155" i="32"/>
  <c r="C22" i="2" l="1"/>
  <c r="L34" i="2"/>
  <c r="K34" i="2"/>
  <c r="L22" i="2" l="1"/>
  <c r="U24" i="2"/>
  <c r="K22" i="2"/>
  <c r="K43" i="2"/>
  <c r="F164" i="32" l="1"/>
  <c r="I164" i="32" s="1"/>
  <c r="J164" i="32" s="1"/>
  <c r="F160" i="32"/>
  <c r="I160" i="32" s="1"/>
  <c r="J160" i="32" s="1"/>
  <c r="C14" i="2" l="1"/>
  <c r="K14" i="2" s="1"/>
  <c r="C15" i="2"/>
  <c r="L15" i="2" l="1"/>
  <c r="U21" i="2"/>
  <c r="K15" i="2"/>
  <c r="L14" i="2"/>
  <c r="F73" i="32"/>
  <c r="I73" i="32" s="1"/>
  <c r="F74" i="32"/>
  <c r="I74" i="32" s="1"/>
  <c r="F110" i="32" l="1"/>
  <c r="I110" i="32" s="1"/>
  <c r="F111" i="32"/>
  <c r="I111" i="32" s="1"/>
  <c r="J110" i="32" l="1"/>
  <c r="J144" i="32" s="1"/>
  <c r="F77" i="32"/>
  <c r="I77" i="32" s="1"/>
  <c r="F9" i="32" l="1"/>
  <c r="I9" i="32" s="1"/>
  <c r="F72" i="32" l="1"/>
  <c r="I72" i="32" s="1"/>
  <c r="J72" i="32" s="1"/>
  <c r="J107" i="32" s="1"/>
  <c r="F76" i="32"/>
  <c r="I76" i="32" s="1"/>
  <c r="J76" i="32" l="1"/>
  <c r="J108" i="32" s="1"/>
  <c r="F7" i="32"/>
  <c r="I7" i="32" s="1"/>
  <c r="F8" i="32"/>
  <c r="I8" i="32" s="1"/>
  <c r="J7" i="32" l="1"/>
  <c r="J37" i="32"/>
  <c r="F41" i="32"/>
  <c r="I41" i="32" s="1"/>
  <c r="F45" i="32"/>
  <c r="I45" i="32" s="1"/>
  <c r="J45" i="32" s="1"/>
  <c r="J70" i="32" s="1"/>
  <c r="J149" i="32" s="1"/>
  <c r="F48" i="32"/>
  <c r="I48" i="32" s="1"/>
  <c r="J48" i="32" s="1"/>
  <c r="J71" i="32" s="1"/>
  <c r="J150" i="32" s="1"/>
  <c r="F42" i="32"/>
  <c r="I42" i="32" s="1"/>
  <c r="J41" i="32" l="1"/>
  <c r="J69" i="32" s="1"/>
  <c r="C9" i="2"/>
  <c r="C10" i="2"/>
  <c r="U20" i="2" l="1"/>
  <c r="K10" i="2"/>
  <c r="L10" i="2"/>
  <c r="L9" i="2"/>
  <c r="K9" i="2"/>
  <c r="C27" i="2"/>
  <c r="O29" i="2"/>
  <c r="L8" i="2"/>
  <c r="L38" i="2" l="1"/>
  <c r="L39" i="2" s="1"/>
  <c r="L27" i="2"/>
  <c r="H27" i="2" s="1"/>
  <c r="N29" i="2"/>
  <c r="K38" i="2"/>
  <c r="K39" i="2" s="1"/>
  <c r="O38" i="2"/>
  <c r="K27" i="2"/>
  <c r="F27" i="2" s="1"/>
  <c r="O35" i="2"/>
  <c r="Q32" i="2"/>
  <c r="Y32" i="2"/>
  <c r="Y33" i="2"/>
  <c r="Y34" i="2" l="1"/>
  <c r="W34" i="2" s="1"/>
  <c r="U2" i="2" s="1"/>
  <c r="A1" i="52"/>
  <c r="A68" i="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U3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Stiklojuma laukums</t>
        </r>
      </text>
    </comment>
    <comment ref="V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Stiklojuma caurlaidība</t>
        </r>
      </text>
    </comment>
    <comment ref="W3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Rāmja laukums</t>
        </r>
      </text>
    </comment>
    <comment ref="X3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Rāmja caurlaidība
</t>
        </r>
      </text>
    </comment>
    <comment ref="Y3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Stiklojuma malas garums</t>
        </r>
      </text>
    </comment>
    <comment ref="Z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siltuma caurlaidiibas koeficents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1" authorId="0" shapeId="0" xr:uid="{00000000-0006-0000-2100-000001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no LBN lapas tabulad Rgaiss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19" authorId="0" shapeId="0" xr:uid="{00000000-0006-0000-2200-000001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LBN 002-01 3tabula</t>
        </r>
      </text>
    </comment>
    <comment ref="H24" authorId="0" shapeId="0" xr:uid="{00000000-0006-0000-2200-000002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visos gadījumos</t>
        </r>
      </text>
    </comment>
    <comment ref="H29" authorId="0" shapeId="0" xr:uid="{00000000-0006-0000-2200-000003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Aprēķina katram grīdas segmentam U un apakšējā tabulā izvelk vidējo 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14" authorId="0" shapeId="0" xr:uid="{A37307F8-EB04-422E-9053-B54CF4DB7837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visos gadījumos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46" authorId="0" shapeId="0" xr:uid="{4110501E-A9F8-49EB-9B64-E150AFDFA158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pilsētā 0.02
vidēji atklātām ēkām 0.05
atklātām ēkām laukos 0.1</t>
        </r>
      </text>
    </comment>
    <comment ref="H56" authorId="0" shapeId="0" xr:uid="{1E64B5CF-05CB-428F-BCBD-E4E657B19654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visos gadījumos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43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pilsētā 0.02
vidēji atklātām ēkām 0.05
atklātām ēkām laukos 0.1</t>
        </r>
      </text>
    </comment>
    <comment ref="H53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visos gadījumos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12" authorId="0" shapeId="0" xr:uid="{00000000-0006-0000-2300-000001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LBN 002-01 3tabula</t>
        </r>
      </text>
    </comment>
    <comment ref="H17" authorId="0" shapeId="0" xr:uid="{00000000-0006-0000-2300-000002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visos gadījumos</t>
        </r>
      </text>
    </comment>
    <comment ref="H38" authorId="0" shapeId="0" xr:uid="{00000000-0006-0000-2300-000003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pilsētā 0.02
vidēji atklātām ēkām 0.05
atklātām ēkām laukos 0.1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19" authorId="0" shapeId="0" xr:uid="{00000000-0006-0000-1600-000001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LBN 002-01 3tabula</t>
        </r>
      </text>
    </comment>
    <comment ref="H24" authorId="0" shapeId="0" xr:uid="{00000000-0006-0000-1600-000002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visos gadījumos</t>
        </r>
      </text>
    </comment>
    <comment ref="H29" authorId="0" shapeId="0" xr:uid="{00000000-0006-0000-1600-000003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Aprēķina katram grīdas segmentam U un apakšējā tabulā izvelk vidējo U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19" authorId="0" shapeId="0" xr:uid="{00000000-0006-0000-1A00-000001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LBN 002-01 3tabula</t>
        </r>
      </text>
    </comment>
    <comment ref="H24" authorId="0" shapeId="0" xr:uid="{00000000-0006-0000-1A00-000002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visos gadījumos</t>
        </r>
      </text>
    </comment>
    <comment ref="H29" authorId="0" shapeId="0" xr:uid="{00000000-0006-0000-1A00-000003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Aprēķina katram grīdas segmentam U un apakšējā tabulā izvelk vidējo U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18" authorId="0" shapeId="0" xr:uid="{00000000-0006-0000-1B00-000001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LBN 002-01 3tabula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8" authorId="0" shapeId="0" xr:uid="{00000000-0006-0000-1C00-000001000000}">
      <text>
        <r>
          <rPr>
            <b/>
            <sz val="9"/>
            <color indexed="81"/>
            <rFont val="Tahoma"/>
            <family val="2"/>
            <charset val="186"/>
          </rPr>
          <t>Admin:</t>
        </r>
        <r>
          <rPr>
            <sz val="9"/>
            <color indexed="81"/>
            <rFont val="Tahoma"/>
            <family val="2"/>
            <charset val="186"/>
          </rPr>
          <t xml:space="preserve">
no LBN lapas tabulas Ru jumtam</t>
        </r>
      </text>
    </comment>
  </commentList>
</comments>
</file>

<file path=xl/sharedStrings.xml><?xml version="1.0" encoding="utf-8"?>
<sst xmlns="http://schemas.openxmlformats.org/spreadsheetml/2006/main" count="3624" uniqueCount="855">
  <si>
    <t>1.daļa</t>
  </si>
  <si>
    <t>2.daļa</t>
  </si>
  <si>
    <t>3.daļa</t>
  </si>
  <si>
    <t>4.daļa</t>
  </si>
  <si>
    <t>ƒ</t>
  </si>
  <si>
    <t>Nr.</t>
  </si>
  <si>
    <t>Slāņa nosaukums</t>
  </si>
  <si>
    <t>koka karkass</t>
  </si>
  <si>
    <t>Elementa izmēri  AxB (m)</t>
  </si>
  <si>
    <t>A</t>
  </si>
  <si>
    <t>λ</t>
  </si>
  <si>
    <t>betons</t>
  </si>
  <si>
    <t>Sienas</t>
  </si>
  <si>
    <t>m2</t>
  </si>
  <si>
    <t>m</t>
  </si>
  <si>
    <t>Pilsēta</t>
  </si>
  <si>
    <t>Ainaži</t>
  </si>
  <si>
    <t>Alūksne</t>
  </si>
  <si>
    <t>Daugavpils</t>
  </si>
  <si>
    <t>Dobele</t>
  </si>
  <si>
    <t>Liepāja</t>
  </si>
  <si>
    <t>Mērsrags</t>
  </si>
  <si>
    <t>Priekuļi</t>
  </si>
  <si>
    <t>Rīga</t>
  </si>
  <si>
    <t>Stende</t>
  </si>
  <si>
    <t>Zilāni</t>
  </si>
  <si>
    <t>Apkures sezona</t>
  </si>
  <si>
    <t>dienās</t>
  </si>
  <si>
    <t>Jumti un pārsegumi, kas saskaras ar āra gaisu</t>
  </si>
  <si>
    <t>Būvelementi</t>
  </si>
  <si>
    <t>Grīdas uz grunts</t>
  </si>
  <si>
    <r>
      <t>m</t>
    </r>
    <r>
      <rPr>
        <i/>
        <vertAlign val="superscript"/>
        <sz val="10"/>
        <color theme="1"/>
        <rFont val="Calibri"/>
        <family val="2"/>
        <charset val="186"/>
        <scheme val="minor"/>
      </rPr>
      <t>2</t>
    </r>
  </si>
  <si>
    <r>
      <t xml:space="preserve">Apkures sezonas vidējā temperatūra </t>
    </r>
    <r>
      <rPr>
        <b/>
        <i/>
        <sz val="9"/>
        <color theme="1"/>
        <rFont val="Calibri"/>
        <family val="2"/>
        <charset val="186"/>
      </rPr>
      <t>ϴe,</t>
    </r>
    <r>
      <rPr>
        <b/>
        <i/>
        <vertAlign val="superscript"/>
        <sz val="9"/>
        <color theme="1"/>
        <rFont val="Calibri"/>
        <family val="2"/>
        <charset val="186"/>
      </rPr>
      <t xml:space="preserve"> 0</t>
    </r>
    <r>
      <rPr>
        <b/>
        <i/>
        <sz val="9"/>
        <color theme="1"/>
        <rFont val="Calibri"/>
        <family val="2"/>
        <charset val="186"/>
      </rPr>
      <t>C</t>
    </r>
  </si>
  <si>
    <r>
      <t xml:space="preserve">Dzīvojamo telpu vidējā temperatūra </t>
    </r>
    <r>
      <rPr>
        <b/>
        <i/>
        <sz val="9"/>
        <color theme="1"/>
        <rFont val="Calibri"/>
        <family val="2"/>
        <charset val="186"/>
      </rPr>
      <t xml:space="preserve">ϴi, </t>
    </r>
    <r>
      <rPr>
        <b/>
        <i/>
        <vertAlign val="superscript"/>
        <sz val="9"/>
        <color theme="1"/>
        <rFont val="Calibri"/>
        <family val="2"/>
        <charset val="186"/>
      </rPr>
      <t>0</t>
    </r>
    <r>
      <rPr>
        <b/>
        <i/>
        <sz val="9"/>
        <color theme="1"/>
        <rFont val="Calibri"/>
        <family val="2"/>
        <charset val="186"/>
      </rPr>
      <t>C</t>
    </r>
  </si>
  <si>
    <r>
      <t xml:space="preserve">Temp faktors          </t>
    </r>
    <r>
      <rPr>
        <b/>
        <i/>
        <sz val="16"/>
        <color theme="1"/>
        <rFont val="Calibri"/>
        <family val="2"/>
        <charset val="186"/>
        <scheme val="minor"/>
      </rPr>
      <t>K</t>
    </r>
  </si>
  <si>
    <r>
      <t>19/</t>
    </r>
    <r>
      <rPr>
        <b/>
        <i/>
        <sz val="9"/>
        <color rgb="FFFF0000"/>
        <rFont val="Calibri"/>
        <family val="2"/>
        <charset val="186"/>
      </rPr>
      <t>ϴi-ϴe</t>
    </r>
  </si>
  <si>
    <r>
      <t>Termiskie tilti</t>
    </r>
    <r>
      <rPr>
        <b/>
        <i/>
        <sz val="12"/>
        <color theme="1"/>
        <rFont val="Calibri"/>
        <family val="2"/>
        <charset val="186"/>
        <scheme val="minor"/>
      </rPr>
      <t xml:space="preserve"> </t>
    </r>
    <r>
      <rPr>
        <b/>
        <i/>
        <sz val="12"/>
        <color theme="1"/>
        <rFont val="Calibri"/>
        <family val="2"/>
        <charset val="186"/>
      </rPr>
      <t>ψ</t>
    </r>
    <r>
      <rPr>
        <b/>
        <i/>
        <vertAlign val="subscript"/>
        <sz val="12"/>
        <color theme="1"/>
        <rFont val="Calibri"/>
        <family val="2"/>
        <charset val="186"/>
      </rPr>
      <t>RN</t>
    </r>
  </si>
  <si>
    <t>Aprēķinātais</t>
  </si>
  <si>
    <t>LBN</t>
  </si>
  <si>
    <t>Telpas temperatūra</t>
  </si>
  <si>
    <t>Energoefekt.</t>
  </si>
  <si>
    <t>dēļu apšuvums</t>
  </si>
  <si>
    <t>D</t>
  </si>
  <si>
    <t>W/K</t>
  </si>
  <si>
    <t>Termiskie tilti</t>
  </si>
  <si>
    <t>Z</t>
  </si>
  <si>
    <t>R</t>
  </si>
  <si>
    <t>2 zona</t>
  </si>
  <si>
    <t>Tabula Nr.1</t>
  </si>
  <si>
    <t>Zona 2</t>
  </si>
  <si>
    <t>Dimensija</t>
  </si>
  <si>
    <t>mērv.</t>
  </si>
  <si>
    <t>Garums</t>
  </si>
  <si>
    <t>Augstums</t>
  </si>
  <si>
    <t>Platība</t>
  </si>
  <si>
    <r>
      <t>m</t>
    </r>
    <r>
      <rPr>
        <i/>
        <vertAlign val="superscript"/>
        <sz val="12"/>
        <color theme="1"/>
        <rFont val="Calibri"/>
        <family val="2"/>
        <charset val="186"/>
        <scheme val="minor"/>
      </rPr>
      <t>2</t>
    </r>
  </si>
  <si>
    <t>Logi</t>
  </si>
  <si>
    <t>Jumts</t>
  </si>
  <si>
    <t>1.stāva platība  (projekts)</t>
  </si>
  <si>
    <t>Kopējā grīdas platība (projekts)</t>
  </si>
  <si>
    <t>L1</t>
  </si>
  <si>
    <t>L2</t>
  </si>
  <si>
    <t>L3</t>
  </si>
  <si>
    <t>L4</t>
  </si>
  <si>
    <t>L5</t>
  </si>
  <si>
    <t>D1</t>
  </si>
  <si>
    <t>D2</t>
  </si>
  <si>
    <t>D3</t>
  </si>
  <si>
    <t>D4</t>
  </si>
  <si>
    <t>D5</t>
  </si>
  <si>
    <t>Ārdurvis</t>
  </si>
  <si>
    <t>riģipsis</t>
  </si>
  <si>
    <t>akmensvate</t>
  </si>
  <si>
    <t>apmetums</t>
  </si>
  <si>
    <t>L6</t>
  </si>
  <si>
    <t>L7</t>
  </si>
  <si>
    <t>L8</t>
  </si>
  <si>
    <t>B</t>
  </si>
  <si>
    <t>H</t>
  </si>
  <si>
    <t>gb</t>
  </si>
  <si>
    <t>primm</t>
  </si>
  <si>
    <t>perim m</t>
  </si>
  <si>
    <t>horizontālā</t>
  </si>
  <si>
    <t>slīpā</t>
  </si>
  <si>
    <t>Griesti</t>
  </si>
  <si>
    <t>ZD</t>
  </si>
  <si>
    <t>DZ</t>
  </si>
  <si>
    <t>RA</t>
  </si>
  <si>
    <t>AR</t>
  </si>
  <si>
    <t>jumts</t>
  </si>
  <si>
    <t>1.st</t>
  </si>
  <si>
    <t>2.st</t>
  </si>
  <si>
    <t>kopā m2</t>
  </si>
  <si>
    <t>U - vērtība</t>
  </si>
  <si>
    <r>
      <t>R</t>
    </r>
    <r>
      <rPr>
        <vertAlign val="subscript"/>
        <sz val="10"/>
        <color theme="1"/>
        <rFont val="Arial"/>
        <family val="2"/>
        <charset val="186"/>
      </rPr>
      <t>si</t>
    </r>
  </si>
  <si>
    <r>
      <t>R</t>
    </r>
    <r>
      <rPr>
        <vertAlign val="subscript"/>
        <sz val="10"/>
        <color theme="1"/>
        <rFont val="Arial"/>
        <family val="2"/>
        <charset val="186"/>
      </rPr>
      <t>se</t>
    </r>
  </si>
  <si>
    <r>
      <rPr>
        <sz val="10"/>
        <rFont val="Arial"/>
        <family val="2"/>
        <charset val="186"/>
      </rPr>
      <t>W/(m</t>
    </r>
    <r>
      <rPr>
        <vertAlign val="superscript"/>
        <sz val="10"/>
        <rFont val="Arial"/>
        <family val="2"/>
        <charset val="186"/>
      </rPr>
      <t>2</t>
    </r>
    <r>
      <rPr>
        <sz val="10"/>
        <rFont val="Arial"/>
        <family val="2"/>
        <charset val="186"/>
      </rPr>
      <t>K)</t>
    </r>
  </si>
  <si>
    <r>
      <t>Virsmu siltuma zudumu pretestība (m</t>
    </r>
    <r>
      <rPr>
        <vertAlign val="superscript"/>
        <sz val="10"/>
        <color theme="1"/>
        <rFont val="Arial"/>
        <family val="2"/>
        <charset val="186"/>
      </rPr>
      <t>2</t>
    </r>
    <r>
      <rPr>
        <sz val="10"/>
        <color theme="1"/>
        <rFont val="Arial"/>
        <family val="2"/>
        <charset val="186"/>
      </rPr>
      <t>K/W):</t>
    </r>
  </si>
  <si>
    <r>
      <t>R</t>
    </r>
    <r>
      <rPr>
        <vertAlign val="subscript"/>
        <sz val="8"/>
        <color theme="1"/>
        <rFont val="Arial"/>
        <family val="2"/>
        <charset val="186"/>
      </rPr>
      <t xml:space="preserve">1 </t>
    </r>
    <r>
      <rPr>
        <sz val="8"/>
        <color theme="1"/>
        <rFont val="Arial"/>
        <family val="2"/>
        <charset val="186"/>
      </rPr>
      <t>(m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K/W)</t>
    </r>
  </si>
  <si>
    <r>
      <t>R</t>
    </r>
    <r>
      <rPr>
        <vertAlign val="subscript"/>
        <sz val="8"/>
        <color theme="1"/>
        <rFont val="Arial"/>
        <family val="2"/>
        <charset val="186"/>
      </rPr>
      <t xml:space="preserve">2        </t>
    </r>
    <r>
      <rPr>
        <sz val="8"/>
        <color theme="1"/>
        <rFont val="Arial"/>
        <family val="2"/>
        <charset val="186"/>
      </rPr>
      <t>(m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K/W)</t>
    </r>
  </si>
  <si>
    <r>
      <t>R</t>
    </r>
    <r>
      <rPr>
        <vertAlign val="subscript"/>
        <sz val="8"/>
        <color theme="1"/>
        <rFont val="Arial"/>
        <family val="2"/>
        <charset val="186"/>
      </rPr>
      <t xml:space="preserve">3 </t>
    </r>
    <r>
      <rPr>
        <sz val="8"/>
        <color theme="1"/>
        <rFont val="Arial"/>
        <family val="2"/>
        <charset val="186"/>
      </rPr>
      <t>(m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K/W)</t>
    </r>
  </si>
  <si>
    <r>
      <t>R</t>
    </r>
    <r>
      <rPr>
        <vertAlign val="subscript"/>
        <sz val="8"/>
        <color theme="1"/>
        <rFont val="Arial"/>
        <family val="2"/>
        <charset val="186"/>
      </rPr>
      <t xml:space="preserve">4 </t>
    </r>
    <r>
      <rPr>
        <sz val="8"/>
        <color theme="1"/>
        <rFont val="Arial"/>
        <family val="2"/>
        <charset val="186"/>
      </rPr>
      <t>(m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K/W)</t>
    </r>
  </si>
  <si>
    <r>
      <t>Relatīvā platība ƒ</t>
    </r>
    <r>
      <rPr>
        <vertAlign val="subscript"/>
        <sz val="8"/>
        <color theme="1"/>
        <rFont val="Arial"/>
        <family val="2"/>
        <charset val="186"/>
      </rPr>
      <t>n</t>
    </r>
  </si>
  <si>
    <r>
      <t>Norobežojošo kontrukciju izmēri b</t>
    </r>
    <r>
      <rPr>
        <vertAlign val="subscript"/>
        <sz val="8"/>
        <rFont val="Arial"/>
        <family val="2"/>
        <charset val="186"/>
      </rPr>
      <t>n</t>
    </r>
    <r>
      <rPr>
        <sz val="8"/>
        <rFont val="Arial"/>
        <family val="2"/>
        <charset val="186"/>
      </rPr>
      <t xml:space="preserve"> (m)</t>
    </r>
  </si>
  <si>
    <t>kkk</t>
  </si>
  <si>
    <t>Ēkas norobežojošo būvkonstrukciju U - vērtības</t>
  </si>
  <si>
    <t>kopā:</t>
  </si>
  <si>
    <r>
      <t>Siltumpretestības augšējā robeža R'</t>
    </r>
    <r>
      <rPr>
        <vertAlign val="subscript"/>
        <sz val="8"/>
        <color theme="1"/>
        <rFont val="Arial"/>
        <family val="2"/>
        <charset val="186"/>
      </rPr>
      <t>T</t>
    </r>
  </si>
  <si>
    <r>
      <t>Siltumpretestības apakšējā robeža R"</t>
    </r>
    <r>
      <rPr>
        <vertAlign val="subscript"/>
        <sz val="8"/>
        <color theme="1"/>
        <rFont val="Arial"/>
        <family val="2"/>
        <charset val="186"/>
      </rPr>
      <t>T</t>
    </r>
  </si>
  <si>
    <r>
      <t>Virsmu siltuma zudumu pretestība (m</t>
    </r>
    <r>
      <rPr>
        <vertAlign val="superscript"/>
        <sz val="9"/>
        <color theme="1"/>
        <rFont val="Arial"/>
        <family val="2"/>
        <charset val="186"/>
      </rPr>
      <t>2</t>
    </r>
    <r>
      <rPr>
        <sz val="9"/>
        <color theme="1"/>
        <rFont val="Arial"/>
        <family val="2"/>
        <charset val="186"/>
      </rPr>
      <t>K/W):</t>
    </r>
  </si>
  <si>
    <r>
      <t>R</t>
    </r>
    <r>
      <rPr>
        <vertAlign val="subscript"/>
        <sz val="9"/>
        <color theme="1"/>
        <rFont val="Arial"/>
        <family val="2"/>
        <charset val="186"/>
      </rPr>
      <t>si</t>
    </r>
  </si>
  <si>
    <r>
      <t>R</t>
    </r>
    <r>
      <rPr>
        <vertAlign val="subscript"/>
        <sz val="9"/>
        <color theme="1"/>
        <rFont val="Arial"/>
        <family val="2"/>
        <charset val="186"/>
      </rPr>
      <t>se</t>
    </r>
  </si>
  <si>
    <t>iekštelpa</t>
  </si>
  <si>
    <t>ārtelpa</t>
  </si>
  <si>
    <r>
      <t>d</t>
    </r>
    <r>
      <rPr>
        <vertAlign val="subscript"/>
        <sz val="8"/>
        <color theme="1"/>
        <rFont val="Arial"/>
        <family val="2"/>
        <charset val="186"/>
      </rPr>
      <t xml:space="preserve">n </t>
    </r>
    <r>
      <rPr>
        <sz val="8"/>
        <color theme="1"/>
        <rFont val="Arial"/>
        <family val="2"/>
        <charset val="186"/>
      </rPr>
      <t xml:space="preserve">               (m)</t>
    </r>
  </si>
  <si>
    <r>
      <t>R"</t>
    </r>
    <r>
      <rPr>
        <vertAlign val="subscript"/>
        <sz val="8"/>
        <color theme="1"/>
        <rFont val="Arial"/>
        <family val="2"/>
        <charset val="186"/>
      </rPr>
      <t xml:space="preserve">Tn     </t>
    </r>
    <r>
      <rPr>
        <sz val="8"/>
        <color theme="1"/>
        <rFont val="Arial"/>
        <family val="2"/>
        <charset val="186"/>
      </rPr>
      <t xml:space="preserve"> (m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K/W)</t>
    </r>
  </si>
  <si>
    <r>
      <t>∆λ</t>
    </r>
    <r>
      <rPr>
        <vertAlign val="subscript"/>
        <sz val="8"/>
        <color theme="1"/>
        <rFont val="Arial"/>
        <family val="2"/>
        <charset val="186"/>
      </rPr>
      <t xml:space="preserve">W </t>
    </r>
    <r>
      <rPr>
        <sz val="8"/>
        <color theme="1"/>
        <rFont val="Arial"/>
        <family val="2"/>
        <charset val="186"/>
      </rPr>
      <t>(W/mK)</t>
    </r>
  </si>
  <si>
    <r>
      <t>λ</t>
    </r>
    <r>
      <rPr>
        <vertAlign val="subscript"/>
        <sz val="8"/>
        <color theme="1"/>
        <rFont val="Arial"/>
        <family val="2"/>
        <charset val="186"/>
      </rPr>
      <t>cl</t>
    </r>
    <r>
      <rPr>
        <sz val="8"/>
        <color theme="1"/>
        <rFont val="Arial"/>
        <family val="2"/>
        <charset val="186"/>
      </rPr>
      <t xml:space="preserve">    (W/mK)</t>
    </r>
  </si>
  <si>
    <r>
      <t>λ</t>
    </r>
    <r>
      <rPr>
        <vertAlign val="subscript"/>
        <sz val="8"/>
        <color theme="1"/>
        <rFont val="Arial"/>
        <family val="2"/>
        <charset val="186"/>
      </rPr>
      <t>D</t>
    </r>
    <r>
      <rPr>
        <sz val="8"/>
        <color theme="1"/>
        <rFont val="Arial"/>
        <family val="2"/>
        <charset val="186"/>
      </rPr>
      <t xml:space="preserve">    (W/mK)</t>
    </r>
  </si>
  <si>
    <t>λ"          (W/mK)</t>
  </si>
  <si>
    <t>mm</t>
  </si>
  <si>
    <t>koka grīda</t>
  </si>
  <si>
    <t>Grīda virs aukstās pagrīdes</t>
  </si>
  <si>
    <t>koka latojums</t>
  </si>
  <si>
    <t>gaiss</t>
  </si>
  <si>
    <t>pretvēja plāksne</t>
  </si>
  <si>
    <r>
      <t>R</t>
    </r>
    <r>
      <rPr>
        <vertAlign val="subscript"/>
        <sz val="10"/>
        <color theme="1"/>
        <rFont val="Arial"/>
        <family val="2"/>
        <charset val="186"/>
      </rPr>
      <t>u</t>
    </r>
  </si>
  <si>
    <r>
      <t>R</t>
    </r>
    <r>
      <rPr>
        <vertAlign val="subscript"/>
        <sz val="9"/>
        <color theme="1"/>
        <rFont val="Arial"/>
        <family val="2"/>
        <charset val="186"/>
      </rPr>
      <t>u</t>
    </r>
  </si>
  <si>
    <r>
      <t>d</t>
    </r>
    <r>
      <rPr>
        <vertAlign val="subscript"/>
        <sz val="8"/>
        <color theme="1"/>
        <rFont val="Arial"/>
        <family val="2"/>
        <charset val="186"/>
      </rPr>
      <t xml:space="preserve">n </t>
    </r>
    <r>
      <rPr>
        <sz val="8"/>
        <color theme="1"/>
        <rFont val="Arial"/>
        <family val="2"/>
        <charset val="186"/>
      </rPr>
      <t xml:space="preserve">                    (m)</t>
    </r>
  </si>
  <si>
    <t>P</t>
  </si>
  <si>
    <t>B'</t>
  </si>
  <si>
    <t>Ārsienas perimetrs (m):</t>
  </si>
  <si>
    <t>Raksturīgais izmērs (m):</t>
  </si>
  <si>
    <t>Nesasalušas zemes siltumvadītspēja (W/mK):</t>
  </si>
  <si>
    <r>
      <t>λ</t>
    </r>
    <r>
      <rPr>
        <vertAlign val="subscript"/>
        <sz val="9"/>
        <color theme="1"/>
        <rFont val="Arial"/>
        <family val="2"/>
        <charset val="186"/>
      </rPr>
      <t xml:space="preserve">cl                  </t>
    </r>
    <r>
      <rPr>
        <sz val="9"/>
        <color theme="1"/>
        <rFont val="Arial"/>
        <family val="2"/>
        <charset val="186"/>
      </rPr>
      <t xml:space="preserve">(W/mK) </t>
    </r>
    <r>
      <rPr>
        <vertAlign val="subscript"/>
        <sz val="9"/>
        <color theme="1"/>
        <rFont val="Arial"/>
        <family val="2"/>
        <charset val="186"/>
      </rPr>
      <t xml:space="preserve">   </t>
    </r>
  </si>
  <si>
    <r>
      <t>λ</t>
    </r>
    <r>
      <rPr>
        <vertAlign val="subscript"/>
        <sz val="9"/>
        <color theme="1"/>
        <rFont val="Arial"/>
        <family val="2"/>
        <charset val="186"/>
      </rPr>
      <t>d</t>
    </r>
    <r>
      <rPr>
        <sz val="9"/>
        <color theme="1"/>
        <rFont val="Arial"/>
        <family val="2"/>
        <charset val="186"/>
      </rPr>
      <t xml:space="preserve">         (W/mK)</t>
    </r>
  </si>
  <si>
    <r>
      <t>∆λ</t>
    </r>
    <r>
      <rPr>
        <vertAlign val="subscript"/>
        <sz val="9"/>
        <color theme="1"/>
        <rFont val="Arial"/>
        <family val="2"/>
        <charset val="186"/>
      </rPr>
      <t xml:space="preserve">W      </t>
    </r>
    <r>
      <rPr>
        <sz val="9"/>
        <color theme="1"/>
        <rFont val="Arial"/>
        <family val="2"/>
        <charset val="186"/>
      </rPr>
      <t>(W/mK)</t>
    </r>
  </si>
  <si>
    <r>
      <t>R</t>
    </r>
    <r>
      <rPr>
        <vertAlign val="subscript"/>
        <sz val="9"/>
        <color theme="1"/>
        <rFont val="Arial"/>
        <family val="2"/>
        <charset val="186"/>
      </rPr>
      <t xml:space="preserve">fn           </t>
    </r>
    <r>
      <rPr>
        <sz val="9"/>
        <color theme="1"/>
        <rFont val="Arial"/>
        <family val="2"/>
        <charset val="186"/>
      </rPr>
      <t>(m</t>
    </r>
    <r>
      <rPr>
        <vertAlign val="superscript"/>
        <sz val="9"/>
        <color theme="1"/>
        <rFont val="Arial"/>
        <family val="2"/>
        <charset val="186"/>
      </rPr>
      <t>2</t>
    </r>
    <r>
      <rPr>
        <sz val="9"/>
        <color theme="1"/>
        <rFont val="Arial"/>
        <family val="2"/>
        <charset val="186"/>
      </rPr>
      <t>K/W)</t>
    </r>
  </si>
  <si>
    <r>
      <t>d</t>
    </r>
    <r>
      <rPr>
        <vertAlign val="subscript"/>
        <sz val="9"/>
        <color theme="1"/>
        <rFont val="Arial"/>
        <family val="2"/>
        <charset val="186"/>
      </rPr>
      <t>n</t>
    </r>
    <r>
      <rPr>
        <sz val="9"/>
        <color theme="1"/>
        <rFont val="Arial"/>
        <family val="2"/>
        <charset val="186"/>
      </rPr>
      <t xml:space="preserve">          (m)</t>
    </r>
  </si>
  <si>
    <r>
      <t>Grīdas laukums (m</t>
    </r>
    <r>
      <rPr>
        <vertAlign val="superscript"/>
        <sz val="9"/>
        <color theme="1"/>
        <rFont val="Arial"/>
        <family val="2"/>
        <charset val="186"/>
      </rPr>
      <t>2</t>
    </r>
    <r>
      <rPr>
        <sz val="9"/>
        <color theme="1"/>
        <rFont val="Arial"/>
        <family val="2"/>
        <charset val="186"/>
      </rPr>
      <t>):</t>
    </r>
  </si>
  <si>
    <r>
      <t>Grīdas konstrukcijas siltuma zudumu pretestība (m</t>
    </r>
    <r>
      <rPr>
        <vertAlign val="superscript"/>
        <sz val="9"/>
        <color theme="1"/>
        <rFont val="Arial"/>
        <family val="2"/>
        <charset val="186"/>
      </rPr>
      <t>2</t>
    </r>
    <r>
      <rPr>
        <sz val="9"/>
        <color theme="1"/>
        <rFont val="Arial"/>
        <family val="2"/>
        <charset val="186"/>
      </rPr>
      <t>K/W):</t>
    </r>
  </si>
  <si>
    <r>
      <t xml:space="preserve"> R</t>
    </r>
    <r>
      <rPr>
        <vertAlign val="subscript"/>
        <sz val="9"/>
        <color theme="1"/>
        <rFont val="Arial"/>
        <family val="2"/>
        <charset val="186"/>
      </rPr>
      <t>f</t>
    </r>
  </si>
  <si>
    <r>
      <t>d</t>
    </r>
    <r>
      <rPr>
        <vertAlign val="subscript"/>
        <sz val="10"/>
        <color theme="1"/>
        <rFont val="Arial"/>
        <family val="2"/>
        <charset val="186"/>
      </rPr>
      <t>t</t>
    </r>
  </si>
  <si>
    <t>Grīdas ekvivalentais biezums (m):</t>
  </si>
  <si>
    <t>Sienas biezums (m):</t>
  </si>
  <si>
    <t>W</t>
  </si>
  <si>
    <t>U-vērtība</t>
  </si>
  <si>
    <r>
      <t>W/(m</t>
    </r>
    <r>
      <rPr>
        <vertAlign val="superscript"/>
        <sz val="10"/>
        <color theme="1"/>
        <rFont val="Arial"/>
        <family val="2"/>
        <charset val="186"/>
      </rPr>
      <t>2</t>
    </r>
    <r>
      <rPr>
        <sz val="10"/>
        <color theme="1"/>
        <rFont val="Arial"/>
        <family val="2"/>
        <charset val="186"/>
      </rPr>
      <t>K)</t>
    </r>
  </si>
  <si>
    <t>grīdas lamināta dēļi</t>
  </si>
  <si>
    <t>cementa java</t>
  </si>
  <si>
    <t>izlīdzinošā kārta</t>
  </si>
  <si>
    <t>Putupolistirols EPS 100</t>
  </si>
  <si>
    <t>Grīda uz grunts ar vertikālo un horizontālo virsmas izolāciju</t>
  </si>
  <si>
    <r>
      <t>Bāzes siltuma caurlaidības koeficents (W/m</t>
    </r>
    <r>
      <rPr>
        <vertAlign val="superscript"/>
        <sz val="10"/>
        <color theme="1"/>
        <rFont val="Arial"/>
        <family val="2"/>
        <charset val="186"/>
      </rPr>
      <t>2</t>
    </r>
    <r>
      <rPr>
        <sz val="10"/>
        <color theme="1"/>
        <rFont val="Arial"/>
        <family val="2"/>
        <charset val="186"/>
      </rPr>
      <t>K)</t>
    </r>
  </si>
  <si>
    <r>
      <t>U</t>
    </r>
    <r>
      <rPr>
        <vertAlign val="subscript"/>
        <sz val="10"/>
        <color theme="1"/>
        <rFont val="Arial"/>
        <family val="2"/>
        <charset val="186"/>
      </rPr>
      <t>0</t>
    </r>
  </si>
  <si>
    <t>Sienas biezums (m)</t>
  </si>
  <si>
    <r>
      <t>Grīdas laukums (m</t>
    </r>
    <r>
      <rPr>
        <vertAlign val="superscript"/>
        <sz val="9"/>
        <color theme="1"/>
        <rFont val="Arial"/>
        <family val="2"/>
        <charset val="186"/>
      </rPr>
      <t>2</t>
    </r>
    <r>
      <rPr>
        <sz val="9"/>
        <color theme="1"/>
        <rFont val="Arial"/>
        <family val="2"/>
        <charset val="186"/>
      </rPr>
      <t>)</t>
    </r>
  </si>
  <si>
    <t>Ārsienas perimetrs (m)</t>
  </si>
  <si>
    <t>Raksturīgais izmērs (m)</t>
  </si>
  <si>
    <r>
      <t>Grīdas konstrukcijas siltuma zudumu pretestība (m</t>
    </r>
    <r>
      <rPr>
        <vertAlign val="superscript"/>
        <sz val="9"/>
        <color theme="1"/>
        <rFont val="Arial"/>
        <family val="2"/>
        <charset val="186"/>
      </rPr>
      <t>2</t>
    </r>
    <r>
      <rPr>
        <sz val="9"/>
        <color theme="1"/>
        <rFont val="Arial"/>
        <family val="2"/>
        <charset val="186"/>
      </rPr>
      <t>K/W)</t>
    </r>
  </si>
  <si>
    <t>Grīdas ekvivalentais biezums (m)</t>
  </si>
  <si>
    <t>Izolācijas slāņa biezums (m)</t>
  </si>
  <si>
    <r>
      <t>d</t>
    </r>
    <r>
      <rPr>
        <vertAlign val="subscript"/>
        <sz val="10"/>
        <color theme="1"/>
        <rFont val="Arial"/>
        <family val="2"/>
        <charset val="186"/>
      </rPr>
      <t>ins</t>
    </r>
  </si>
  <si>
    <t>Izolācijas siltumvadītspēja (W/mK)</t>
  </si>
  <si>
    <t>Labojuma koeficents (W/mK)</t>
  </si>
  <si>
    <r>
      <t>∆λ</t>
    </r>
    <r>
      <rPr>
        <vertAlign val="subscript"/>
        <sz val="10"/>
        <color theme="1"/>
        <rFont val="Calibri"/>
        <family val="2"/>
        <charset val="186"/>
      </rPr>
      <t>W</t>
    </r>
  </si>
  <si>
    <r>
      <t>R</t>
    </r>
    <r>
      <rPr>
        <vertAlign val="subscript"/>
        <sz val="10"/>
        <color theme="1"/>
        <rFont val="Arial"/>
        <family val="2"/>
        <charset val="186"/>
      </rPr>
      <t>ins</t>
    </r>
  </si>
  <si>
    <r>
      <t>Siltuma zudumu pretestība (m</t>
    </r>
    <r>
      <rPr>
        <vertAlign val="superscript"/>
        <sz val="10"/>
        <color theme="1"/>
        <rFont val="Arial"/>
        <family val="2"/>
        <charset val="186"/>
      </rPr>
      <t>2</t>
    </r>
    <r>
      <rPr>
        <sz val="10"/>
        <color theme="1"/>
        <rFont val="Arial"/>
        <family val="2"/>
        <charset val="186"/>
      </rPr>
      <t>K/W)</t>
    </r>
  </si>
  <si>
    <r>
      <t>Papildus siltuma zudumu pretestība (m</t>
    </r>
    <r>
      <rPr>
        <vertAlign val="superscript"/>
        <sz val="10"/>
        <color theme="1"/>
        <rFont val="Arial"/>
        <family val="2"/>
        <charset val="186"/>
      </rPr>
      <t>2</t>
    </r>
    <r>
      <rPr>
        <sz val="10"/>
        <color theme="1"/>
        <rFont val="Arial"/>
        <family val="2"/>
        <charset val="186"/>
      </rPr>
      <t>K/W)</t>
    </r>
  </si>
  <si>
    <t>R'</t>
  </si>
  <si>
    <t>Papildus ekvivalentais biezums (m)</t>
  </si>
  <si>
    <t>d'</t>
  </si>
  <si>
    <t>∆ψ</t>
  </si>
  <si>
    <t>Izolācijas platums (m)</t>
  </si>
  <si>
    <t>Izolācijas dziļums zem zemes līmeņa (m)</t>
  </si>
  <si>
    <t>Vertikālās izolācijas sānu faktors (W/mK)</t>
  </si>
  <si>
    <t>Horizontālās izolācijas sānu faktors (W/mK)</t>
  </si>
  <si>
    <r>
      <t>λ</t>
    </r>
    <r>
      <rPr>
        <vertAlign val="subscript"/>
        <sz val="8"/>
        <color theme="1"/>
        <rFont val="Arial"/>
        <family val="2"/>
        <charset val="186"/>
      </rPr>
      <t xml:space="preserve">cl                  </t>
    </r>
    <r>
      <rPr>
        <sz val="8"/>
        <color theme="1"/>
        <rFont val="Arial"/>
        <family val="2"/>
        <charset val="186"/>
      </rPr>
      <t xml:space="preserve">(W/mK) </t>
    </r>
    <r>
      <rPr>
        <vertAlign val="subscript"/>
        <sz val="8"/>
        <color theme="1"/>
        <rFont val="Arial"/>
        <family val="2"/>
        <charset val="186"/>
      </rPr>
      <t xml:space="preserve">   </t>
    </r>
  </si>
  <si>
    <r>
      <t>∆λ</t>
    </r>
    <r>
      <rPr>
        <vertAlign val="subscript"/>
        <sz val="8"/>
        <color theme="1"/>
        <rFont val="Arial"/>
        <family val="2"/>
        <charset val="186"/>
      </rPr>
      <t xml:space="preserve">W      </t>
    </r>
    <r>
      <rPr>
        <sz val="8"/>
        <color theme="1"/>
        <rFont val="Arial"/>
        <family val="2"/>
        <charset val="186"/>
      </rPr>
      <t>(W/mK)</t>
    </r>
  </si>
  <si>
    <r>
      <t>λ</t>
    </r>
    <r>
      <rPr>
        <vertAlign val="subscript"/>
        <sz val="8"/>
        <color theme="1"/>
        <rFont val="Arial"/>
        <family val="2"/>
        <charset val="186"/>
      </rPr>
      <t>d</t>
    </r>
    <r>
      <rPr>
        <sz val="8"/>
        <color theme="1"/>
        <rFont val="Arial"/>
        <family val="2"/>
        <charset val="186"/>
      </rPr>
      <t xml:space="preserve">         (W/mK)</t>
    </r>
  </si>
  <si>
    <r>
      <t>R</t>
    </r>
    <r>
      <rPr>
        <vertAlign val="subscript"/>
        <sz val="8"/>
        <color theme="1"/>
        <rFont val="Arial"/>
        <family val="2"/>
        <charset val="186"/>
      </rPr>
      <t xml:space="preserve">fn           </t>
    </r>
    <r>
      <rPr>
        <sz val="8"/>
        <color theme="1"/>
        <rFont val="Arial"/>
        <family val="2"/>
        <charset val="186"/>
      </rPr>
      <t>(m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K/W)</t>
    </r>
  </si>
  <si>
    <r>
      <t>d</t>
    </r>
    <r>
      <rPr>
        <vertAlign val="subscript"/>
        <sz val="8"/>
        <color theme="1"/>
        <rFont val="Arial"/>
        <family val="2"/>
        <charset val="186"/>
      </rPr>
      <t>n</t>
    </r>
    <r>
      <rPr>
        <sz val="8"/>
        <color theme="1"/>
        <rFont val="Arial"/>
        <family val="2"/>
        <charset val="186"/>
      </rPr>
      <t xml:space="preserve">          (m)</t>
    </r>
  </si>
  <si>
    <r>
      <t>λ</t>
    </r>
    <r>
      <rPr>
        <vertAlign val="subscript"/>
        <sz val="10"/>
        <color theme="1"/>
        <rFont val="Calibri"/>
        <family val="2"/>
        <charset val="186"/>
      </rPr>
      <t>cl</t>
    </r>
  </si>
  <si>
    <r>
      <t>Virsmu siltuma zudumu pretestība (m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K/W):</t>
    </r>
  </si>
  <si>
    <r>
      <t>R</t>
    </r>
    <r>
      <rPr>
        <vertAlign val="subscript"/>
        <sz val="8"/>
        <color theme="1"/>
        <rFont val="Arial"/>
        <family val="2"/>
        <charset val="186"/>
      </rPr>
      <t>si</t>
    </r>
  </si>
  <si>
    <r>
      <t>R</t>
    </r>
    <r>
      <rPr>
        <vertAlign val="subscript"/>
        <sz val="8"/>
        <color theme="1"/>
        <rFont val="Arial"/>
        <family val="2"/>
        <charset val="186"/>
      </rPr>
      <t>se</t>
    </r>
  </si>
  <si>
    <r>
      <t>Grīdas laukums (m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)</t>
    </r>
  </si>
  <si>
    <r>
      <t>Grīdas konstrukcijas siltuma caurlaidības koeficents (W/m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K)</t>
    </r>
  </si>
  <si>
    <r>
      <t>U</t>
    </r>
    <r>
      <rPr>
        <vertAlign val="subscript"/>
        <sz val="8"/>
        <color theme="1"/>
        <rFont val="Arial"/>
        <family val="2"/>
        <charset val="186"/>
      </rPr>
      <t>f</t>
    </r>
  </si>
  <si>
    <r>
      <t>Grīda uz grunts siltuma caurlaidības koeficents (W/m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K)</t>
    </r>
  </si>
  <si>
    <r>
      <t>U</t>
    </r>
    <r>
      <rPr>
        <vertAlign val="subscript"/>
        <sz val="8"/>
        <color theme="1"/>
        <rFont val="Arial"/>
        <family val="2"/>
        <charset val="186"/>
      </rPr>
      <t>g</t>
    </r>
  </si>
  <si>
    <t>z</t>
  </si>
  <si>
    <t>Pagraba grīdas dziļums zem zemes virmas līmeņa (m)</t>
  </si>
  <si>
    <t>Attālums no zemes virsmas līmeņa līdz telpas grīdas līmenim (m)</t>
  </si>
  <si>
    <t>h</t>
  </si>
  <si>
    <t>Ɛ</t>
  </si>
  <si>
    <t>v</t>
  </si>
  <si>
    <r>
      <t>Ventilācijas caurumu platība uz zemgrīdas telpas perimetra 1 metru (m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/m)</t>
    </r>
  </si>
  <si>
    <t>Vidējais vēja ātrums 10m augstumā (m/s)</t>
  </si>
  <si>
    <t>Vēja ierobežojuma koeficents</t>
  </si>
  <si>
    <r>
      <t>Zemgrīdas telpas sienas siltuma caurlaidības koeficents (W/m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K)</t>
    </r>
  </si>
  <si>
    <r>
      <t>Zemgrīdas telpas ekvivalentais siltuma caurlaidības koeficents (W/m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K)</t>
    </r>
  </si>
  <si>
    <t xml:space="preserve">pārseguma panelis </t>
  </si>
  <si>
    <t>pamatu bloks</t>
  </si>
  <si>
    <t>putuplasts</t>
  </si>
  <si>
    <t>Pagraba sienas ekvivalentais biezums (m)</t>
  </si>
  <si>
    <r>
      <t>d</t>
    </r>
    <r>
      <rPr>
        <vertAlign val="subscript"/>
        <sz val="8"/>
        <color theme="1"/>
        <rFont val="Arial"/>
        <family val="2"/>
        <charset val="186"/>
      </rPr>
      <t>w</t>
    </r>
  </si>
  <si>
    <r>
      <t>Pagraba grīdas siltuma caurlaidības koeficents (W/m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K)</t>
    </r>
  </si>
  <si>
    <r>
      <t>Pagraba sienu siltuma caurlaidības koeficents (W/m</t>
    </r>
    <r>
      <rPr>
        <vertAlign val="superscript"/>
        <sz val="8"/>
        <color theme="1"/>
        <rFont val="Arial"/>
        <family val="2"/>
        <charset val="186"/>
      </rPr>
      <t>2</t>
    </r>
    <r>
      <rPr>
        <sz val="8"/>
        <color theme="1"/>
        <rFont val="Arial"/>
        <family val="2"/>
        <charset val="186"/>
      </rPr>
      <t>K)</t>
    </r>
  </si>
  <si>
    <r>
      <t>U</t>
    </r>
    <r>
      <rPr>
        <vertAlign val="subscript"/>
        <sz val="8"/>
        <color theme="1"/>
        <rFont val="Arial"/>
        <family val="2"/>
        <charset val="186"/>
      </rPr>
      <t>bf</t>
    </r>
  </si>
  <si>
    <r>
      <t>U</t>
    </r>
    <r>
      <rPr>
        <vertAlign val="subscript"/>
        <sz val="8"/>
        <color theme="1"/>
        <rFont val="Arial"/>
        <family val="2"/>
        <charset val="186"/>
      </rPr>
      <t>bw</t>
    </r>
  </si>
  <si>
    <r>
      <t>U</t>
    </r>
    <r>
      <rPr>
        <vertAlign val="subscript"/>
        <sz val="8"/>
        <color theme="1"/>
        <rFont val="Arial"/>
        <family val="2"/>
        <charset val="186"/>
      </rPr>
      <t>w</t>
    </r>
  </si>
  <si>
    <r>
      <t>U</t>
    </r>
    <r>
      <rPr>
        <vertAlign val="subscript"/>
        <sz val="8"/>
        <color theme="1"/>
        <rFont val="Arial"/>
        <family val="2"/>
        <charset val="186"/>
      </rPr>
      <t>x</t>
    </r>
  </si>
  <si>
    <r>
      <t>f</t>
    </r>
    <r>
      <rPr>
        <vertAlign val="subscript"/>
        <sz val="8"/>
        <color theme="1"/>
        <rFont val="Arial"/>
        <family val="2"/>
        <charset val="186"/>
      </rPr>
      <t>w</t>
    </r>
  </si>
  <si>
    <r>
      <t>d</t>
    </r>
    <r>
      <rPr>
        <vertAlign val="subscript"/>
        <sz val="8"/>
        <color theme="1"/>
        <rFont val="Arial"/>
        <family val="2"/>
        <charset val="186"/>
      </rPr>
      <t>t</t>
    </r>
  </si>
  <si>
    <t>Grīdas virs pagraba ekvivalentais biezums (m)</t>
  </si>
  <si>
    <r>
      <t>Grīda virs neapkurināta pagraba ( z &gt;</t>
    </r>
    <r>
      <rPr>
        <sz val="12"/>
        <color theme="1"/>
        <rFont val="Calibri"/>
        <family val="2"/>
        <charset val="186"/>
      </rPr>
      <t xml:space="preserve"> 0.5m)</t>
    </r>
  </si>
  <si>
    <t>4. Ēkas norobežojošo būvkonstrukciju U - vērtības</t>
  </si>
  <si>
    <t>Izolācijas dziļums zem zemes virsmas līmeņa (m)</t>
  </si>
  <si>
    <t>Pārseguma konstrukcija P4</t>
  </si>
  <si>
    <t>OSB saplāksnis</t>
  </si>
  <si>
    <t>Paroc UNM37</t>
  </si>
  <si>
    <t>Tenapors EPS 200</t>
  </si>
  <si>
    <t>grīdas segums</t>
  </si>
  <si>
    <t>armēta betona kārta</t>
  </si>
  <si>
    <t>siena S1</t>
  </si>
  <si>
    <t>siena S2</t>
  </si>
  <si>
    <t>V1</t>
  </si>
  <si>
    <r>
      <t>Mansarda pārsegums B</t>
    </r>
    <r>
      <rPr>
        <vertAlign val="subscript"/>
        <sz val="12"/>
        <color theme="1"/>
        <rFont val="Arial"/>
        <family val="2"/>
        <charset val="186"/>
      </rPr>
      <t>2</t>
    </r>
  </si>
  <si>
    <t>Paroc WAS 25t</t>
  </si>
  <si>
    <t>L9</t>
  </si>
  <si>
    <t>L10</t>
  </si>
  <si>
    <t>L11</t>
  </si>
  <si>
    <t>L12</t>
  </si>
  <si>
    <t>L13</t>
  </si>
  <si>
    <t>Paroc UNM 37</t>
  </si>
  <si>
    <t>reģipsis</t>
  </si>
  <si>
    <t>pārsegums</t>
  </si>
  <si>
    <t>siena virs grunts</t>
  </si>
  <si>
    <t>pagrabs</t>
  </si>
  <si>
    <t>1.2 stāvs</t>
  </si>
  <si>
    <t>kopā</t>
  </si>
  <si>
    <t>PAROC UNM 37</t>
  </si>
  <si>
    <t>PAROC WAS 25t</t>
  </si>
  <si>
    <t>Debesspuse</t>
  </si>
  <si>
    <t>Norobežojošā konstrukcija</t>
  </si>
  <si>
    <t>Tips</t>
  </si>
  <si>
    <t>Laukums</t>
  </si>
  <si>
    <t>Perimetrs</t>
  </si>
  <si>
    <t>Skaits</t>
  </si>
  <si>
    <t>gab.</t>
  </si>
  <si>
    <t>Siena</t>
  </si>
  <si>
    <t>Kopā perimetrs</t>
  </si>
  <si>
    <t>Kopā laukums</t>
  </si>
  <si>
    <t>Kopējais segmentu laukums</t>
  </si>
  <si>
    <t>OSB 3</t>
  </si>
  <si>
    <t>Jumta konstrukcija J3</t>
  </si>
  <si>
    <t>4.2.2</t>
  </si>
  <si>
    <t>4.3.2</t>
  </si>
  <si>
    <t>Grīdas konstrukcija G1</t>
  </si>
  <si>
    <t>Pielikums Nr.4</t>
  </si>
  <si>
    <t>Kopā:</t>
  </si>
  <si>
    <t>PAROC eXtra</t>
  </si>
  <si>
    <t>PAROC ROS 30</t>
  </si>
  <si>
    <t>keramzīts</t>
  </si>
  <si>
    <t>Pielikums Nr. 4</t>
  </si>
  <si>
    <t xml:space="preserve">v </t>
  </si>
  <si>
    <t>4.3</t>
  </si>
  <si>
    <t xml:space="preserve">Grīda uz grunts bez sānu virsmas izolācijas </t>
  </si>
  <si>
    <t>lamināts, OSB, dēļi</t>
  </si>
  <si>
    <t>PAROC BLT 9 starp sijām</t>
  </si>
  <si>
    <t>putupolistirols EPS 100</t>
  </si>
  <si>
    <t>Garums, platums</t>
  </si>
  <si>
    <t>Pārseguma panelis</t>
  </si>
  <si>
    <t>PAROC BLT 9</t>
  </si>
  <si>
    <t xml:space="preserve">Grīda uz grunts </t>
  </si>
  <si>
    <t>Keramzīts</t>
  </si>
  <si>
    <t>FIBO 5 bloks</t>
  </si>
  <si>
    <r>
      <t>Virsmu siltuma zudumu pretestība (m</t>
    </r>
    <r>
      <rPr>
        <vertAlign val="superscript"/>
        <sz val="10"/>
        <color theme="1"/>
        <rFont val="Calibri"/>
        <family val="2"/>
        <charset val="186"/>
        <scheme val="minor"/>
      </rPr>
      <t>2</t>
    </r>
    <r>
      <rPr>
        <sz val="10"/>
        <color theme="1"/>
        <rFont val="Calibri"/>
        <family val="2"/>
        <charset val="186"/>
        <scheme val="minor"/>
      </rPr>
      <t>K/W):</t>
    </r>
  </si>
  <si>
    <r>
      <t>R</t>
    </r>
    <r>
      <rPr>
        <vertAlign val="subscript"/>
        <sz val="10"/>
        <color theme="1"/>
        <rFont val="Calibri"/>
        <family val="2"/>
        <charset val="186"/>
        <scheme val="minor"/>
      </rPr>
      <t>si</t>
    </r>
  </si>
  <si>
    <r>
      <t>R</t>
    </r>
    <r>
      <rPr>
        <vertAlign val="subscript"/>
        <sz val="10"/>
        <color theme="1"/>
        <rFont val="Calibri"/>
        <family val="2"/>
        <charset val="186"/>
        <scheme val="minor"/>
      </rPr>
      <t>se</t>
    </r>
  </si>
  <si>
    <r>
      <t>Grīdas laukums (m</t>
    </r>
    <r>
      <rPr>
        <vertAlign val="superscript"/>
        <sz val="9"/>
        <color theme="1"/>
        <rFont val="Calibri"/>
        <family val="2"/>
        <charset val="186"/>
        <scheme val="minor"/>
      </rPr>
      <t>2</t>
    </r>
    <r>
      <rPr>
        <sz val="9"/>
        <color theme="1"/>
        <rFont val="Calibri"/>
        <family val="2"/>
        <charset val="186"/>
        <scheme val="minor"/>
      </rPr>
      <t>)</t>
    </r>
  </si>
  <si>
    <r>
      <t>λ</t>
    </r>
    <r>
      <rPr>
        <vertAlign val="subscript"/>
        <sz val="9"/>
        <color theme="1"/>
        <rFont val="Calibri"/>
        <family val="2"/>
        <charset val="186"/>
        <scheme val="minor"/>
      </rPr>
      <t xml:space="preserve">cl                  </t>
    </r>
    <r>
      <rPr>
        <sz val="9"/>
        <color theme="1"/>
        <rFont val="Calibri"/>
        <family val="2"/>
        <charset val="186"/>
        <scheme val="minor"/>
      </rPr>
      <t xml:space="preserve">(W/mK) </t>
    </r>
    <r>
      <rPr>
        <vertAlign val="subscript"/>
        <sz val="9"/>
        <color theme="1"/>
        <rFont val="Calibri"/>
        <family val="2"/>
        <charset val="186"/>
        <scheme val="minor"/>
      </rPr>
      <t xml:space="preserve">   </t>
    </r>
  </si>
  <si>
    <r>
      <t>∆λ</t>
    </r>
    <r>
      <rPr>
        <vertAlign val="subscript"/>
        <sz val="9"/>
        <color theme="1"/>
        <rFont val="Calibri"/>
        <family val="2"/>
        <charset val="186"/>
        <scheme val="minor"/>
      </rPr>
      <t xml:space="preserve">W      </t>
    </r>
    <r>
      <rPr>
        <sz val="9"/>
        <color theme="1"/>
        <rFont val="Calibri"/>
        <family val="2"/>
        <charset val="186"/>
        <scheme val="minor"/>
      </rPr>
      <t>(W/mK)</t>
    </r>
  </si>
  <si>
    <r>
      <t>λ</t>
    </r>
    <r>
      <rPr>
        <vertAlign val="subscript"/>
        <sz val="9"/>
        <color theme="1"/>
        <rFont val="Calibri"/>
        <family val="2"/>
        <charset val="186"/>
        <scheme val="minor"/>
      </rPr>
      <t>d</t>
    </r>
    <r>
      <rPr>
        <sz val="9"/>
        <color theme="1"/>
        <rFont val="Calibri"/>
        <family val="2"/>
        <charset val="186"/>
        <scheme val="minor"/>
      </rPr>
      <t xml:space="preserve">         (W/mK)</t>
    </r>
  </si>
  <si>
    <r>
      <t>R</t>
    </r>
    <r>
      <rPr>
        <vertAlign val="subscript"/>
        <sz val="9"/>
        <color theme="1"/>
        <rFont val="Calibri"/>
        <family val="2"/>
        <charset val="186"/>
        <scheme val="minor"/>
      </rPr>
      <t xml:space="preserve">fn           </t>
    </r>
    <r>
      <rPr>
        <sz val="9"/>
        <color theme="1"/>
        <rFont val="Calibri"/>
        <family val="2"/>
        <charset val="186"/>
        <scheme val="minor"/>
      </rPr>
      <t>(m</t>
    </r>
    <r>
      <rPr>
        <vertAlign val="superscript"/>
        <sz val="9"/>
        <color theme="1"/>
        <rFont val="Calibri"/>
        <family val="2"/>
        <charset val="186"/>
        <scheme val="minor"/>
      </rPr>
      <t>2</t>
    </r>
    <r>
      <rPr>
        <sz val="9"/>
        <color theme="1"/>
        <rFont val="Calibri"/>
        <family val="2"/>
        <charset val="186"/>
        <scheme val="minor"/>
      </rPr>
      <t>K/W)</t>
    </r>
  </si>
  <si>
    <r>
      <t>d</t>
    </r>
    <r>
      <rPr>
        <vertAlign val="subscript"/>
        <sz val="9"/>
        <color theme="1"/>
        <rFont val="Calibri"/>
        <family val="2"/>
        <charset val="186"/>
        <scheme val="minor"/>
      </rPr>
      <t>n</t>
    </r>
    <r>
      <rPr>
        <sz val="9"/>
        <color theme="1"/>
        <rFont val="Calibri"/>
        <family val="2"/>
        <charset val="186"/>
        <scheme val="minor"/>
      </rPr>
      <t xml:space="preserve">          (m)</t>
    </r>
  </si>
  <si>
    <r>
      <t>Grīdas konstrukcijas siltuma zudumu pretestība (m</t>
    </r>
    <r>
      <rPr>
        <vertAlign val="superscript"/>
        <sz val="9"/>
        <color theme="1"/>
        <rFont val="Calibri"/>
        <family val="2"/>
        <charset val="186"/>
        <scheme val="minor"/>
      </rPr>
      <t>2</t>
    </r>
    <r>
      <rPr>
        <sz val="9"/>
        <color theme="1"/>
        <rFont val="Calibri"/>
        <family val="2"/>
        <charset val="186"/>
        <scheme val="minor"/>
      </rPr>
      <t>K/W)</t>
    </r>
  </si>
  <si>
    <r>
      <t xml:space="preserve"> R</t>
    </r>
    <r>
      <rPr>
        <vertAlign val="subscript"/>
        <sz val="9"/>
        <color theme="1"/>
        <rFont val="Calibri"/>
        <family val="2"/>
        <charset val="186"/>
        <scheme val="minor"/>
      </rPr>
      <t>f</t>
    </r>
  </si>
  <si>
    <r>
      <t>d</t>
    </r>
    <r>
      <rPr>
        <vertAlign val="subscript"/>
        <sz val="10"/>
        <color theme="1"/>
        <rFont val="Calibri"/>
        <family val="2"/>
        <charset val="186"/>
        <scheme val="minor"/>
      </rPr>
      <t>t</t>
    </r>
  </si>
  <si>
    <r>
      <t>Bāzes siltuma caurlaidības koeficents (W/m</t>
    </r>
    <r>
      <rPr>
        <vertAlign val="superscript"/>
        <sz val="10"/>
        <color theme="1"/>
        <rFont val="Calibri"/>
        <family val="2"/>
        <charset val="186"/>
        <scheme val="minor"/>
      </rPr>
      <t>2</t>
    </r>
    <r>
      <rPr>
        <sz val="10"/>
        <color theme="1"/>
        <rFont val="Calibri"/>
        <family val="2"/>
        <charset val="186"/>
        <scheme val="minor"/>
      </rPr>
      <t>K)</t>
    </r>
  </si>
  <si>
    <r>
      <t>U</t>
    </r>
    <r>
      <rPr>
        <vertAlign val="subscript"/>
        <sz val="10"/>
        <color theme="1"/>
        <rFont val="Calibri"/>
        <family val="2"/>
        <charset val="186"/>
        <scheme val="minor"/>
      </rPr>
      <t>0</t>
    </r>
  </si>
  <si>
    <r>
      <t>d</t>
    </r>
    <r>
      <rPr>
        <vertAlign val="subscript"/>
        <sz val="10"/>
        <color theme="1"/>
        <rFont val="Calibri"/>
        <family val="2"/>
        <charset val="186"/>
        <scheme val="minor"/>
      </rPr>
      <t>ins</t>
    </r>
  </si>
  <si>
    <r>
      <t>λ</t>
    </r>
    <r>
      <rPr>
        <vertAlign val="subscript"/>
        <sz val="10"/>
        <color theme="1"/>
        <rFont val="Calibri"/>
        <family val="2"/>
        <charset val="186"/>
        <scheme val="minor"/>
      </rPr>
      <t>cl</t>
    </r>
  </si>
  <si>
    <r>
      <t>∆λ</t>
    </r>
    <r>
      <rPr>
        <vertAlign val="subscript"/>
        <sz val="10"/>
        <color theme="1"/>
        <rFont val="Calibri"/>
        <family val="2"/>
        <charset val="186"/>
        <scheme val="minor"/>
      </rPr>
      <t>w</t>
    </r>
  </si>
  <si>
    <r>
      <t>Siltuma zudumu pretestība (m</t>
    </r>
    <r>
      <rPr>
        <vertAlign val="superscript"/>
        <sz val="10"/>
        <color theme="1"/>
        <rFont val="Calibri"/>
        <family val="2"/>
        <charset val="186"/>
        <scheme val="minor"/>
      </rPr>
      <t>2</t>
    </r>
    <r>
      <rPr>
        <sz val="10"/>
        <color theme="1"/>
        <rFont val="Calibri"/>
        <family val="2"/>
        <charset val="186"/>
        <scheme val="minor"/>
      </rPr>
      <t>K/W)</t>
    </r>
  </si>
  <si>
    <r>
      <t>R</t>
    </r>
    <r>
      <rPr>
        <vertAlign val="subscript"/>
        <sz val="10"/>
        <color theme="1"/>
        <rFont val="Calibri"/>
        <family val="2"/>
        <charset val="186"/>
        <scheme val="minor"/>
      </rPr>
      <t>ins</t>
    </r>
  </si>
  <si>
    <r>
      <t>Papildus siltuma zudumu pretestība (m</t>
    </r>
    <r>
      <rPr>
        <vertAlign val="superscript"/>
        <sz val="10"/>
        <color theme="1"/>
        <rFont val="Calibri"/>
        <family val="2"/>
        <charset val="186"/>
        <scheme val="minor"/>
      </rPr>
      <t>2</t>
    </r>
    <r>
      <rPr>
        <sz val="10"/>
        <color theme="1"/>
        <rFont val="Calibri"/>
        <family val="2"/>
        <charset val="186"/>
        <scheme val="minor"/>
      </rPr>
      <t>K/W)</t>
    </r>
  </si>
  <si>
    <r>
      <t>W/(m</t>
    </r>
    <r>
      <rPr>
        <vertAlign val="superscript"/>
        <sz val="10"/>
        <color theme="1"/>
        <rFont val="Calibri"/>
        <family val="2"/>
        <charset val="186"/>
        <scheme val="minor"/>
      </rPr>
      <t>2</t>
    </r>
    <r>
      <rPr>
        <sz val="10"/>
        <color theme="1"/>
        <rFont val="Calibri"/>
        <family val="2"/>
        <charset val="186"/>
        <scheme val="minor"/>
      </rPr>
      <t>K)</t>
    </r>
  </si>
  <si>
    <r>
      <t>Virsmu siltuma zudumu pretestība (m</t>
    </r>
    <r>
      <rPr>
        <i/>
        <vertAlign val="superscript"/>
        <sz val="10"/>
        <color theme="1"/>
        <rFont val="Calibri"/>
        <family val="2"/>
        <charset val="186"/>
        <scheme val="minor"/>
      </rPr>
      <t>2</t>
    </r>
    <r>
      <rPr>
        <i/>
        <sz val="10"/>
        <color theme="1"/>
        <rFont val="Calibri"/>
        <family val="2"/>
        <charset val="186"/>
        <scheme val="minor"/>
      </rPr>
      <t>K/W):</t>
    </r>
  </si>
  <si>
    <r>
      <t>R</t>
    </r>
    <r>
      <rPr>
        <i/>
        <vertAlign val="subscript"/>
        <sz val="10"/>
        <color theme="1"/>
        <rFont val="Calibri"/>
        <family val="2"/>
        <charset val="186"/>
        <scheme val="minor"/>
      </rPr>
      <t>si</t>
    </r>
  </si>
  <si>
    <r>
      <t>R</t>
    </r>
    <r>
      <rPr>
        <i/>
        <vertAlign val="subscript"/>
        <sz val="10"/>
        <color theme="1"/>
        <rFont val="Calibri"/>
        <family val="2"/>
        <charset val="186"/>
        <scheme val="minor"/>
      </rPr>
      <t>se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</si>
  <si>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cl</t>
    </r>
    <r>
      <rPr>
        <i/>
        <sz val="8"/>
        <color theme="1"/>
        <rFont val="Calibri"/>
        <family val="2"/>
        <charset val="186"/>
        <scheme val="minor"/>
      </rPr>
      <t xml:space="preserve"> (W/mK)</t>
    </r>
  </si>
  <si>
    <r>
      <t>∆λ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W </t>
    </r>
    <r>
      <rPr>
        <i/>
        <sz val="8"/>
        <color theme="1"/>
        <rFont val="Calibri"/>
        <family val="2"/>
        <charset val="186"/>
        <scheme val="minor"/>
      </rPr>
      <t>(W/mK)</t>
    </r>
  </si>
  <si>
    <r>
      <t>R</t>
    </r>
    <r>
      <rPr>
        <i/>
        <vertAlign val="subscript"/>
        <sz val="8"/>
        <color theme="1"/>
        <rFont val="Calibri"/>
        <family val="2"/>
        <charset val="186"/>
        <scheme val="minor"/>
      </rPr>
      <t>n</t>
    </r>
    <r>
      <rPr>
        <i/>
        <sz val="8"/>
        <color theme="1"/>
        <rFont val="Calibri"/>
        <family val="2"/>
        <charset val="186"/>
        <scheme val="minor"/>
      </rPr>
      <t xml:space="preserve"> (m</t>
    </r>
    <r>
      <rPr>
        <i/>
        <vertAlign val="superscript"/>
        <sz val="8"/>
        <color theme="1"/>
        <rFont val="Calibri"/>
        <family val="2"/>
        <charset val="186"/>
        <scheme val="minor"/>
      </rPr>
      <t>2</t>
    </r>
    <r>
      <rPr>
        <i/>
        <sz val="8"/>
        <color theme="1"/>
        <rFont val="Calibri"/>
        <family val="2"/>
        <charset val="186"/>
        <scheme val="minor"/>
      </rPr>
      <t>K/W)</t>
    </r>
  </si>
  <si>
    <r>
      <t>d</t>
    </r>
    <r>
      <rPr>
        <i/>
        <vertAlign val="subscript"/>
        <sz val="8"/>
        <color theme="1"/>
        <rFont val="Calibri"/>
        <family val="2"/>
        <charset val="186"/>
        <scheme val="minor"/>
      </rPr>
      <t>n</t>
    </r>
    <r>
      <rPr>
        <i/>
        <sz val="8"/>
        <color theme="1"/>
        <rFont val="Calibri"/>
        <family val="2"/>
        <charset val="186"/>
        <scheme val="minor"/>
      </rPr>
      <t xml:space="preserve"> (m)</t>
    </r>
  </si>
  <si>
    <r>
      <t>W/(m</t>
    </r>
    <r>
      <rPr>
        <i/>
        <vertAlign val="superscript"/>
        <sz val="10"/>
        <rFont val="Calibri"/>
        <family val="2"/>
        <charset val="186"/>
        <scheme val="minor"/>
      </rPr>
      <t>2</t>
    </r>
    <r>
      <rPr>
        <i/>
        <sz val="10"/>
        <rFont val="Calibri"/>
        <family val="2"/>
        <charset val="186"/>
        <scheme val="minor"/>
      </rPr>
      <t>K)</t>
    </r>
  </si>
  <si>
    <r>
      <t>Virsmu siltuma zudumu pretestība 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K/W):</t>
    </r>
  </si>
  <si>
    <r>
      <t>R</t>
    </r>
    <r>
      <rPr>
        <i/>
        <vertAlign val="subscript"/>
        <sz val="9"/>
        <color theme="1"/>
        <rFont val="Calibri"/>
        <family val="2"/>
        <charset val="186"/>
        <scheme val="minor"/>
      </rPr>
      <t>si</t>
    </r>
  </si>
  <si>
    <r>
      <t>R</t>
    </r>
    <r>
      <rPr>
        <i/>
        <vertAlign val="subscript"/>
        <sz val="9"/>
        <color theme="1"/>
        <rFont val="Calibri"/>
        <family val="2"/>
        <charset val="186"/>
        <scheme val="minor"/>
      </rPr>
      <t>se</t>
    </r>
  </si>
  <si>
    <r>
      <t>R</t>
    </r>
    <r>
      <rPr>
        <i/>
        <vertAlign val="subscript"/>
        <sz val="9"/>
        <color theme="1"/>
        <rFont val="Calibri"/>
        <family val="2"/>
        <charset val="186"/>
        <scheme val="minor"/>
      </rPr>
      <t>u</t>
    </r>
  </si>
  <si>
    <r>
      <t>Norobežojošo kontrukciju izmēri b</t>
    </r>
    <r>
      <rPr>
        <i/>
        <vertAlign val="subscript"/>
        <sz val="8"/>
        <rFont val="Calibri"/>
        <family val="2"/>
        <charset val="186"/>
        <scheme val="minor"/>
      </rPr>
      <t>n</t>
    </r>
    <r>
      <rPr>
        <i/>
        <sz val="8"/>
        <rFont val="Calibri"/>
        <family val="2"/>
        <charset val="186"/>
        <scheme val="minor"/>
      </rPr>
      <t xml:space="preserve"> (m)</t>
    </r>
  </si>
  <si>
    <r>
      <t>Relatīvā platība ƒ</t>
    </r>
    <r>
      <rPr>
        <i/>
        <vertAlign val="subscript"/>
        <sz val="8"/>
        <color theme="1"/>
        <rFont val="Calibri"/>
        <family val="2"/>
        <charset val="186"/>
        <scheme val="minor"/>
      </rPr>
      <t>n</t>
    </r>
  </si>
  <si>
    <r>
      <t>Siltumpretestības augšējā robeža R'</t>
    </r>
    <r>
      <rPr>
        <i/>
        <vertAlign val="subscript"/>
        <sz val="8"/>
        <color theme="1"/>
        <rFont val="Calibri"/>
        <family val="2"/>
        <charset val="186"/>
        <scheme val="minor"/>
      </rPr>
      <t>T</t>
    </r>
  </si>
  <si>
    <r>
      <t>Siltumpretestības apakšējā robeža R"</t>
    </r>
    <r>
      <rPr>
        <i/>
        <vertAlign val="subscript"/>
        <sz val="8"/>
        <color theme="1"/>
        <rFont val="Calibri"/>
        <family val="2"/>
        <charset val="186"/>
        <scheme val="minor"/>
      </rPr>
      <t>T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</si>
  <si>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cl</t>
    </r>
    <r>
      <rPr>
        <i/>
        <sz val="8"/>
        <color theme="1"/>
        <rFont val="Calibri"/>
        <family val="2"/>
        <charset val="186"/>
        <scheme val="minor"/>
      </rPr>
      <t xml:space="preserve">   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</si>
  <si>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 xml:space="preserve">    (W/mK)</t>
    </r>
  </si>
  <si>
    <r>
      <t>R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1 </t>
    </r>
    <r>
      <rPr>
        <i/>
        <sz val="8"/>
        <color theme="1"/>
        <rFont val="Calibri"/>
        <family val="2"/>
        <charset val="186"/>
        <scheme val="minor"/>
      </rPr>
      <t>(m</t>
    </r>
    <r>
      <rPr>
        <i/>
        <vertAlign val="superscript"/>
        <sz val="8"/>
        <color theme="1"/>
        <rFont val="Calibri"/>
        <family val="2"/>
        <charset val="186"/>
        <scheme val="minor"/>
      </rPr>
      <t>2</t>
    </r>
    <r>
      <rPr>
        <i/>
        <sz val="8"/>
        <color theme="1"/>
        <rFont val="Calibri"/>
        <family val="2"/>
        <charset val="186"/>
        <scheme val="minor"/>
      </rPr>
      <t>K/W)</t>
    </r>
  </si>
  <si>
    <r>
      <t>R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2        </t>
    </r>
    <r>
      <rPr>
        <i/>
        <sz val="8"/>
        <color theme="1"/>
        <rFont val="Calibri"/>
        <family val="2"/>
        <charset val="186"/>
        <scheme val="minor"/>
      </rPr>
      <t>(m</t>
    </r>
    <r>
      <rPr>
        <i/>
        <vertAlign val="superscript"/>
        <sz val="8"/>
        <color theme="1"/>
        <rFont val="Calibri"/>
        <family val="2"/>
        <charset val="186"/>
        <scheme val="minor"/>
      </rPr>
      <t>2</t>
    </r>
    <r>
      <rPr>
        <i/>
        <sz val="8"/>
        <color theme="1"/>
        <rFont val="Calibri"/>
        <family val="2"/>
        <charset val="186"/>
        <scheme val="minor"/>
      </rPr>
      <t>K/W)</t>
    </r>
  </si>
  <si>
    <r>
      <t>R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3 </t>
    </r>
    <r>
      <rPr>
        <i/>
        <sz val="8"/>
        <color theme="1"/>
        <rFont val="Calibri"/>
        <family val="2"/>
        <charset val="186"/>
        <scheme val="minor"/>
      </rPr>
      <t>(m</t>
    </r>
    <r>
      <rPr>
        <i/>
        <vertAlign val="superscript"/>
        <sz val="8"/>
        <color theme="1"/>
        <rFont val="Calibri"/>
        <family val="2"/>
        <charset val="186"/>
        <scheme val="minor"/>
      </rPr>
      <t>2</t>
    </r>
    <r>
      <rPr>
        <i/>
        <sz val="8"/>
        <color theme="1"/>
        <rFont val="Calibri"/>
        <family val="2"/>
        <charset val="186"/>
        <scheme val="minor"/>
      </rPr>
      <t>K/W)</t>
    </r>
  </si>
  <si>
    <r>
      <t>R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4 </t>
    </r>
    <r>
      <rPr>
        <i/>
        <sz val="8"/>
        <color theme="1"/>
        <rFont val="Calibri"/>
        <family val="2"/>
        <charset val="186"/>
        <scheme val="minor"/>
      </rPr>
      <t>(m</t>
    </r>
    <r>
      <rPr>
        <i/>
        <vertAlign val="superscript"/>
        <sz val="8"/>
        <color theme="1"/>
        <rFont val="Calibri"/>
        <family val="2"/>
        <charset val="186"/>
        <scheme val="minor"/>
      </rPr>
      <t>2</t>
    </r>
    <r>
      <rPr>
        <i/>
        <sz val="8"/>
        <color theme="1"/>
        <rFont val="Calibri"/>
        <family val="2"/>
        <charset val="186"/>
        <scheme val="minor"/>
      </rPr>
      <t>K/W)</t>
    </r>
  </si>
  <si>
    <r>
      <t>R"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Tn     </t>
    </r>
    <r>
      <rPr>
        <i/>
        <sz val="8"/>
        <color theme="1"/>
        <rFont val="Calibri"/>
        <family val="2"/>
        <charset val="186"/>
        <scheme val="minor"/>
      </rPr>
      <t xml:space="preserve"> (m</t>
    </r>
    <r>
      <rPr>
        <i/>
        <vertAlign val="superscript"/>
        <sz val="8"/>
        <color theme="1"/>
        <rFont val="Calibri"/>
        <family val="2"/>
        <charset val="186"/>
        <scheme val="minor"/>
      </rPr>
      <t>2</t>
    </r>
    <r>
      <rPr>
        <i/>
        <sz val="8"/>
        <color theme="1"/>
        <rFont val="Calibri"/>
        <family val="2"/>
        <charset val="186"/>
        <scheme val="minor"/>
      </rPr>
      <t>K/W)</t>
    </r>
  </si>
  <si>
    <r>
      <t>d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n </t>
    </r>
    <r>
      <rPr>
        <i/>
        <sz val="8"/>
        <color theme="1"/>
        <rFont val="Calibri"/>
        <family val="2"/>
        <charset val="186"/>
        <scheme val="minor"/>
      </rPr>
      <t xml:space="preserve">                    (m)</t>
    </r>
  </si>
  <si>
    <r>
      <t>R</t>
    </r>
    <r>
      <rPr>
        <i/>
        <vertAlign val="subscript"/>
        <sz val="10"/>
        <color theme="1"/>
        <rFont val="Calibri"/>
        <family val="2"/>
        <charset val="186"/>
        <scheme val="minor"/>
      </rPr>
      <t>u</t>
    </r>
  </si>
  <si>
    <r>
      <t>d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n </t>
    </r>
    <r>
      <rPr>
        <i/>
        <sz val="8"/>
        <color theme="1"/>
        <rFont val="Calibri"/>
        <family val="2"/>
        <charset val="186"/>
        <scheme val="minor"/>
      </rPr>
      <t xml:space="preserve">               (m)</t>
    </r>
  </si>
  <si>
    <r>
      <t>Grīdas laukums 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)</t>
    </r>
  </si>
  <si>
    <r>
      <t>λ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cl                  </t>
    </r>
    <r>
      <rPr>
        <i/>
        <sz val="9"/>
        <color theme="1"/>
        <rFont val="Calibri"/>
        <family val="2"/>
        <charset val="186"/>
        <scheme val="minor"/>
      </rPr>
      <t xml:space="preserve">(W/mK) 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   </t>
    </r>
  </si>
  <si>
    <r>
      <t>∆λ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W      </t>
    </r>
    <r>
      <rPr>
        <i/>
        <sz val="9"/>
        <color theme="1"/>
        <rFont val="Calibri"/>
        <family val="2"/>
        <charset val="186"/>
        <scheme val="minor"/>
      </rPr>
      <t>(W/mK)</t>
    </r>
  </si>
  <si>
    <r>
      <t>λ</t>
    </r>
    <r>
      <rPr>
        <i/>
        <vertAlign val="subscript"/>
        <sz val="9"/>
        <color theme="1"/>
        <rFont val="Calibri"/>
        <family val="2"/>
        <charset val="186"/>
        <scheme val="minor"/>
      </rPr>
      <t>d</t>
    </r>
    <r>
      <rPr>
        <i/>
        <sz val="9"/>
        <color theme="1"/>
        <rFont val="Calibri"/>
        <family val="2"/>
        <charset val="186"/>
        <scheme val="minor"/>
      </rPr>
      <t xml:space="preserve">         (W/mK)</t>
    </r>
  </si>
  <si>
    <r>
      <t>R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fn           </t>
    </r>
    <r>
      <rPr>
        <i/>
        <sz val="9"/>
        <color theme="1"/>
        <rFont val="Calibri"/>
        <family val="2"/>
        <charset val="186"/>
        <scheme val="minor"/>
      </rPr>
      <t>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K/W)</t>
    </r>
  </si>
  <si>
    <r>
      <t>d</t>
    </r>
    <r>
      <rPr>
        <i/>
        <vertAlign val="subscript"/>
        <sz val="9"/>
        <color theme="1"/>
        <rFont val="Calibri"/>
        <family val="2"/>
        <charset val="186"/>
        <scheme val="minor"/>
      </rPr>
      <t>n</t>
    </r>
    <r>
      <rPr>
        <i/>
        <sz val="9"/>
        <color theme="1"/>
        <rFont val="Calibri"/>
        <family val="2"/>
        <charset val="186"/>
        <scheme val="minor"/>
      </rPr>
      <t xml:space="preserve">          (m)</t>
    </r>
  </si>
  <si>
    <r>
      <t>Grīdas konstrukcijas siltuma zudumu pretestība 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K/W)</t>
    </r>
  </si>
  <si>
    <r>
      <t xml:space="preserve"> R</t>
    </r>
    <r>
      <rPr>
        <i/>
        <vertAlign val="subscript"/>
        <sz val="9"/>
        <color theme="1"/>
        <rFont val="Calibri"/>
        <family val="2"/>
        <charset val="186"/>
        <scheme val="minor"/>
      </rPr>
      <t>f</t>
    </r>
  </si>
  <si>
    <r>
      <t>d</t>
    </r>
    <r>
      <rPr>
        <i/>
        <vertAlign val="subscript"/>
        <sz val="10"/>
        <color theme="1"/>
        <rFont val="Calibri"/>
        <family val="2"/>
        <charset val="186"/>
        <scheme val="minor"/>
      </rPr>
      <t>t</t>
    </r>
  </si>
  <si>
    <r>
      <t>Bāzes siltuma caurlaidības koeficents (W/m</t>
    </r>
    <r>
      <rPr>
        <i/>
        <vertAlign val="superscript"/>
        <sz val="10"/>
        <color theme="1"/>
        <rFont val="Calibri"/>
        <family val="2"/>
        <charset val="186"/>
        <scheme val="minor"/>
      </rPr>
      <t>2</t>
    </r>
    <r>
      <rPr>
        <i/>
        <sz val="10"/>
        <color theme="1"/>
        <rFont val="Calibri"/>
        <family val="2"/>
        <charset val="186"/>
        <scheme val="minor"/>
      </rPr>
      <t>K)</t>
    </r>
  </si>
  <si>
    <r>
      <t>U</t>
    </r>
    <r>
      <rPr>
        <i/>
        <vertAlign val="subscript"/>
        <sz val="10"/>
        <color theme="1"/>
        <rFont val="Calibri"/>
        <family val="2"/>
        <charset val="186"/>
        <scheme val="minor"/>
      </rPr>
      <t>0</t>
    </r>
  </si>
  <si>
    <r>
      <t>d</t>
    </r>
    <r>
      <rPr>
        <i/>
        <vertAlign val="subscript"/>
        <sz val="10"/>
        <color theme="1"/>
        <rFont val="Calibri"/>
        <family val="2"/>
        <charset val="186"/>
        <scheme val="minor"/>
      </rPr>
      <t>ins</t>
    </r>
  </si>
  <si>
    <r>
      <t>λ</t>
    </r>
    <r>
      <rPr>
        <i/>
        <vertAlign val="subscript"/>
        <sz val="10"/>
        <color theme="1"/>
        <rFont val="Calibri"/>
        <family val="2"/>
        <charset val="186"/>
        <scheme val="minor"/>
      </rPr>
      <t>cl</t>
    </r>
  </si>
  <si>
    <r>
      <t>∆λ</t>
    </r>
    <r>
      <rPr>
        <i/>
        <vertAlign val="subscript"/>
        <sz val="10"/>
        <color theme="1"/>
        <rFont val="Calibri"/>
        <family val="2"/>
        <charset val="186"/>
        <scheme val="minor"/>
      </rPr>
      <t>w</t>
    </r>
  </si>
  <si>
    <r>
      <t>Siltuma zudumu pretestība (m</t>
    </r>
    <r>
      <rPr>
        <i/>
        <vertAlign val="superscript"/>
        <sz val="10"/>
        <color theme="1"/>
        <rFont val="Calibri"/>
        <family val="2"/>
        <charset val="186"/>
        <scheme val="minor"/>
      </rPr>
      <t>2</t>
    </r>
    <r>
      <rPr>
        <i/>
        <sz val="10"/>
        <color theme="1"/>
        <rFont val="Calibri"/>
        <family val="2"/>
        <charset val="186"/>
        <scheme val="minor"/>
      </rPr>
      <t>K/W)</t>
    </r>
  </si>
  <si>
    <r>
      <t>R</t>
    </r>
    <r>
      <rPr>
        <i/>
        <vertAlign val="subscript"/>
        <sz val="10"/>
        <color theme="1"/>
        <rFont val="Calibri"/>
        <family val="2"/>
        <charset val="186"/>
        <scheme val="minor"/>
      </rPr>
      <t>ins</t>
    </r>
  </si>
  <si>
    <r>
      <t>Papildus siltuma zudumu pretestība (m</t>
    </r>
    <r>
      <rPr>
        <i/>
        <vertAlign val="superscript"/>
        <sz val="10"/>
        <color theme="1"/>
        <rFont val="Calibri"/>
        <family val="2"/>
        <charset val="186"/>
        <scheme val="minor"/>
      </rPr>
      <t>2</t>
    </r>
    <r>
      <rPr>
        <i/>
        <sz val="10"/>
        <color theme="1"/>
        <rFont val="Calibri"/>
        <family val="2"/>
        <charset val="186"/>
        <scheme val="minor"/>
      </rPr>
      <t>K/W)</t>
    </r>
  </si>
  <si>
    <r>
      <t>W/(m</t>
    </r>
    <r>
      <rPr>
        <i/>
        <vertAlign val="superscript"/>
        <sz val="10"/>
        <color theme="1"/>
        <rFont val="Calibri"/>
        <family val="2"/>
        <charset val="186"/>
        <scheme val="minor"/>
      </rPr>
      <t>2</t>
    </r>
    <r>
      <rPr>
        <i/>
        <sz val="10"/>
        <color theme="1"/>
        <rFont val="Calibri"/>
        <family val="2"/>
        <charset val="186"/>
        <scheme val="minor"/>
      </rPr>
      <t>K)</t>
    </r>
  </si>
  <si>
    <r>
      <t>A</t>
    </r>
    <r>
      <rPr>
        <i/>
        <vertAlign val="subscript"/>
        <sz val="9"/>
        <color theme="1"/>
        <rFont val="Calibri"/>
        <family val="2"/>
        <charset val="186"/>
        <scheme val="minor"/>
      </rPr>
      <t>kop</t>
    </r>
  </si>
  <si>
    <r>
      <t>U</t>
    </r>
    <r>
      <rPr>
        <i/>
        <vertAlign val="subscript"/>
        <sz val="9"/>
        <color theme="1"/>
        <rFont val="Calibri"/>
        <family val="2"/>
        <charset val="186"/>
        <scheme val="minor"/>
      </rPr>
      <t>i</t>
    </r>
  </si>
  <si>
    <r>
      <t>U</t>
    </r>
    <r>
      <rPr>
        <i/>
        <vertAlign val="subscript"/>
        <sz val="9"/>
        <rFont val="Calibri"/>
        <family val="2"/>
        <charset val="186"/>
        <scheme val="minor"/>
      </rPr>
      <t>iRM</t>
    </r>
  </si>
  <si>
    <r>
      <t>H</t>
    </r>
    <r>
      <rPr>
        <b/>
        <i/>
        <vertAlign val="subscript"/>
        <sz val="9"/>
        <color theme="1"/>
        <rFont val="Calibri"/>
        <family val="2"/>
        <charset val="186"/>
        <scheme val="minor"/>
      </rPr>
      <t>iT</t>
    </r>
  </si>
  <si>
    <r>
      <t>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</si>
  <si>
    <t>Tenapors EPS 100</t>
  </si>
  <si>
    <t>4.2</t>
  </si>
  <si>
    <t>ģipškartona loksne</t>
  </si>
  <si>
    <t>pārseguma panelis</t>
  </si>
  <si>
    <t>4.4</t>
  </si>
  <si>
    <t>Konstrukcija G-4</t>
  </si>
  <si>
    <t>PAROC FAS 3</t>
  </si>
  <si>
    <t>reģipša plāksnes</t>
  </si>
  <si>
    <t>Siena 2</t>
  </si>
  <si>
    <t>PAROC FAS 4</t>
  </si>
  <si>
    <t>Konstrukcija J-2</t>
  </si>
  <si>
    <t>stiegrots betona slānis</t>
  </si>
  <si>
    <t>4.5</t>
  </si>
  <si>
    <t>4.6</t>
  </si>
  <si>
    <t>dēļu klājs</t>
  </si>
  <si>
    <t>Grīda</t>
  </si>
  <si>
    <t>zeme</t>
  </si>
  <si>
    <t>dēļi</t>
  </si>
  <si>
    <t>šķembas; smiltis</t>
  </si>
  <si>
    <t>LBNam ielikt</t>
  </si>
  <si>
    <t>ģipškartons</t>
  </si>
  <si>
    <t>4.8</t>
  </si>
  <si>
    <t>G-2 (garāža)</t>
  </si>
  <si>
    <t>Tenapors EXTRA EPS 200</t>
  </si>
  <si>
    <t>Konstrukcija SAK - 2</t>
  </si>
  <si>
    <r>
      <t>Grīdas konstrukcijas siltuma zudumu pretestība (m</t>
    </r>
    <r>
      <rPr>
        <i/>
        <vertAlign val="superscript"/>
        <sz val="10"/>
        <color theme="1"/>
        <rFont val="Calibri"/>
        <family val="2"/>
        <charset val="186"/>
        <scheme val="minor"/>
      </rPr>
      <t>2</t>
    </r>
    <r>
      <rPr>
        <i/>
        <sz val="10"/>
        <color theme="1"/>
        <rFont val="Calibri"/>
        <family val="2"/>
        <charset val="186"/>
        <scheme val="minor"/>
      </rPr>
      <t>K/W)</t>
    </r>
  </si>
  <si>
    <r>
      <t>Grīdas laukums (m</t>
    </r>
    <r>
      <rPr>
        <i/>
        <vertAlign val="superscript"/>
        <sz val="10"/>
        <color theme="1"/>
        <rFont val="Calibri"/>
        <family val="2"/>
        <charset val="186"/>
        <scheme val="minor"/>
      </rPr>
      <t>2</t>
    </r>
    <r>
      <rPr>
        <i/>
        <sz val="10"/>
        <color theme="1"/>
        <rFont val="Calibri"/>
        <family val="2"/>
        <charset val="186"/>
        <scheme val="minor"/>
      </rPr>
      <t>)</t>
    </r>
  </si>
  <si>
    <r>
      <t>d</t>
    </r>
    <r>
      <rPr>
        <i/>
        <vertAlign val="subscript"/>
        <sz val="10"/>
        <color theme="1"/>
        <rFont val="Calibri"/>
        <family val="2"/>
        <charset val="186"/>
        <scheme val="minor"/>
      </rPr>
      <t>g</t>
    </r>
  </si>
  <si>
    <r>
      <t>U</t>
    </r>
    <r>
      <rPr>
        <i/>
        <vertAlign val="subscript"/>
        <sz val="10"/>
        <color theme="1"/>
        <rFont val="Calibri"/>
        <family val="2"/>
        <charset val="186"/>
        <scheme val="minor"/>
      </rPr>
      <t>g</t>
    </r>
  </si>
  <si>
    <r>
      <t>f</t>
    </r>
    <r>
      <rPr>
        <i/>
        <vertAlign val="subscript"/>
        <sz val="10"/>
        <color theme="1"/>
        <rFont val="Calibri"/>
        <family val="2"/>
        <charset val="186"/>
        <scheme val="minor"/>
      </rPr>
      <t>W</t>
    </r>
  </si>
  <si>
    <r>
      <t>U</t>
    </r>
    <r>
      <rPr>
        <i/>
        <vertAlign val="subscript"/>
        <sz val="10"/>
        <color theme="1"/>
        <rFont val="Calibri"/>
        <family val="2"/>
        <charset val="186"/>
        <scheme val="minor"/>
      </rPr>
      <t>W</t>
    </r>
  </si>
  <si>
    <r>
      <t>U</t>
    </r>
    <r>
      <rPr>
        <i/>
        <vertAlign val="subscript"/>
        <sz val="10"/>
        <color theme="1"/>
        <rFont val="Calibri"/>
        <family val="2"/>
        <charset val="186"/>
        <scheme val="minor"/>
      </rPr>
      <t>X</t>
    </r>
  </si>
  <si>
    <t>putupolistirols</t>
  </si>
  <si>
    <t>dz/b plāksne</t>
  </si>
  <si>
    <t>PAROC WAS 35</t>
  </si>
  <si>
    <t>J - 1</t>
  </si>
  <si>
    <t>S - 1</t>
  </si>
  <si>
    <t>G - 1</t>
  </si>
  <si>
    <t>siltumizolācija</t>
  </si>
  <si>
    <t>S - 2</t>
  </si>
  <si>
    <t>iekšējā apdare</t>
  </si>
  <si>
    <t>profilētā līmbrusa</t>
  </si>
  <si>
    <t>J - 2 (mansarda slīpais jumts)</t>
  </si>
  <si>
    <t>J - 2</t>
  </si>
  <si>
    <t>cits</t>
  </si>
  <si>
    <t>ārtelpas</t>
  </si>
  <si>
    <t>G - 2</t>
  </si>
  <si>
    <t>armēts monolīts</t>
  </si>
  <si>
    <t>2.stāvs</t>
  </si>
  <si>
    <t>S - 3</t>
  </si>
  <si>
    <t>Logu laukuma attiecības pret grīdas laukumu atbilstība LBN 002-15</t>
  </si>
  <si>
    <t>Logu laukums pēc         LBN 002-15</t>
  </si>
  <si>
    <t>Sienas platība atbilstoši LBN 002-15</t>
  </si>
  <si>
    <t>profilēta līmbrusa</t>
  </si>
  <si>
    <t>apdare</t>
  </si>
  <si>
    <t>Neapkurināmās platības</t>
  </si>
  <si>
    <t>ķieģelis</t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</si>
  <si>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D(d)</t>
    </r>
    <r>
      <rPr>
        <i/>
        <sz val="8"/>
        <color theme="1"/>
        <rFont val="Calibri"/>
        <family val="2"/>
        <charset val="186"/>
        <scheme val="minor"/>
      </rPr>
      <t xml:space="preserve"> (W/mK)</t>
    </r>
  </si>
  <si>
    <r>
      <t>d</t>
    </r>
    <r>
      <rPr>
        <i/>
        <vertAlign val="subscript"/>
        <sz val="9"/>
        <color theme="1"/>
        <rFont val="Calibri"/>
        <family val="2"/>
        <charset val="186"/>
        <scheme val="minor"/>
      </rPr>
      <t>n</t>
    </r>
    <r>
      <rPr>
        <i/>
        <sz val="9"/>
        <color theme="1"/>
        <rFont val="Calibri"/>
        <family val="2"/>
        <charset val="186"/>
        <scheme val="minor"/>
      </rPr>
      <t xml:space="preserve">  
(m)</t>
    </r>
  </si>
  <si>
    <t>OSB</t>
  </si>
  <si>
    <t>Keraterm bloks</t>
  </si>
  <si>
    <t>vēja izolācija</t>
  </si>
  <si>
    <t>caurumotais panelis</t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</si>
  <si>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D </t>
    </r>
    <r>
      <rPr>
        <i/>
        <sz val="8"/>
        <color theme="1"/>
        <rFont val="Calibri"/>
        <family val="2"/>
        <charset val="186"/>
        <scheme val="minor"/>
      </rPr>
      <t>(W/mK)</t>
    </r>
  </si>
  <si>
    <r>
      <t>λ</t>
    </r>
    <r>
      <rPr>
        <i/>
        <vertAlign val="subscript"/>
        <sz val="9"/>
        <color theme="1"/>
        <rFont val="Calibri"/>
        <family val="2"/>
        <charset val="186"/>
        <scheme val="minor"/>
      </rPr>
      <t>D</t>
    </r>
    <r>
      <rPr>
        <i/>
        <sz val="9"/>
        <color theme="1"/>
        <rFont val="Calibri"/>
        <family val="2"/>
        <charset val="186"/>
        <scheme val="minor"/>
      </rPr>
      <t xml:space="preserve">         (W/mK)</t>
    </r>
  </si>
  <si>
    <t>pretvēja izolācija</t>
  </si>
  <si>
    <t>Isover KL - 34</t>
  </si>
  <si>
    <t>Isover KL - 35</t>
  </si>
  <si>
    <t>Tepanors EXTRA EPS 150</t>
  </si>
  <si>
    <t>FIBO 3</t>
  </si>
  <si>
    <t>STYROFOAM 300 PL-AN</t>
  </si>
  <si>
    <r>
      <t>R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1 
</t>
    </r>
    <r>
      <rPr>
        <i/>
        <sz val="8"/>
        <color theme="1"/>
        <rFont val="Calibri"/>
        <family val="2"/>
        <charset val="186"/>
        <scheme val="minor"/>
      </rPr>
      <t>(m</t>
    </r>
    <r>
      <rPr>
        <i/>
        <vertAlign val="superscript"/>
        <sz val="8"/>
        <color theme="1"/>
        <rFont val="Calibri"/>
        <family val="2"/>
        <charset val="186"/>
        <scheme val="minor"/>
      </rPr>
      <t>2</t>
    </r>
    <r>
      <rPr>
        <i/>
        <sz val="8"/>
        <color theme="1"/>
        <rFont val="Calibri"/>
        <family val="2"/>
        <charset val="186"/>
        <scheme val="minor"/>
      </rPr>
      <t>K/W)</t>
    </r>
  </si>
  <si>
    <t>monolīts</t>
  </si>
  <si>
    <t>gāzbetona bloks</t>
  </si>
  <si>
    <t>vieglbetona bloks</t>
  </si>
  <si>
    <t>PAROC Linio 15</t>
  </si>
  <si>
    <t>PAROC WAS 35t</t>
  </si>
  <si>
    <r>
      <t>λ</t>
    </r>
    <r>
      <rPr>
        <i/>
        <vertAlign val="subscript"/>
        <sz val="10"/>
        <color theme="1"/>
        <rFont val="Calibri"/>
        <family val="2"/>
        <charset val="186"/>
        <scheme val="minor"/>
      </rPr>
      <t>D</t>
    </r>
  </si>
  <si>
    <t>izdedži</t>
  </si>
  <si>
    <t>PAROC Linio 10</t>
  </si>
  <si>
    <t>Texo Block Classic</t>
  </si>
  <si>
    <t>PAROC GRS 20</t>
  </si>
  <si>
    <t>Tenapors Extra EPS 150</t>
  </si>
  <si>
    <t>Knauf Naturoll</t>
  </si>
  <si>
    <t>Isover KL-33</t>
  </si>
  <si>
    <t>(saskaņā ar LBN 002-01 "Ēku norobežojošo konstrukciju siltumtehnika")</t>
  </si>
  <si>
    <t>CITS</t>
  </si>
  <si>
    <t>Logu laukuma attiecības pret grīdas laukumu atbilstība LBN 002-01</t>
  </si>
  <si>
    <t>Logu laukums pēc         LBN 002-01</t>
  </si>
  <si>
    <t>Logu laukuma atbilstība LBN 002-01 (projekts)</t>
  </si>
  <si>
    <t>Logu laukuma atbilstība LBN 002-15 (projekts)</t>
  </si>
  <si>
    <t>Sienas platība atbilstoši LBN 002-01</t>
  </si>
  <si>
    <t>jumta segums</t>
  </si>
  <si>
    <t>dz/b panelis</t>
  </si>
  <si>
    <t>gāzbetons</t>
  </si>
  <si>
    <t>keramzītbetona bloks</t>
  </si>
  <si>
    <t>keramzītbetons</t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</si>
  <si>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D(d)</t>
    </r>
    <r>
      <rPr>
        <i/>
        <sz val="8"/>
        <color theme="1"/>
        <rFont val="Calibri"/>
        <family val="2"/>
        <charset val="186"/>
        <scheme val="minor"/>
      </rPr>
      <t>(W/mK)</t>
    </r>
  </si>
  <si>
    <t>segums</t>
  </si>
  <si>
    <t>pretvēja barjera</t>
  </si>
  <si>
    <t>4.7</t>
  </si>
  <si>
    <t>dz/b monolīts</t>
  </si>
  <si>
    <t>koks+siltumizolācija</t>
  </si>
  <si>
    <t>AEROC</t>
  </si>
  <si>
    <t>armēts betons</t>
  </si>
  <si>
    <t>balkona segums</t>
  </si>
  <si>
    <t>0,44m</t>
  </si>
  <si>
    <t>0,25m</t>
  </si>
  <si>
    <t>Keraterm 44</t>
  </si>
  <si>
    <t>Keraterm 25</t>
  </si>
  <si>
    <t>admin</t>
  </si>
  <si>
    <t>1.stāvs</t>
  </si>
  <si>
    <t>ISOVER KL - 33</t>
  </si>
  <si>
    <t>Ārsiena / jumts</t>
  </si>
  <si>
    <t>PAROC ROS 50</t>
  </si>
  <si>
    <t>atbilstība LBN 002-15</t>
  </si>
  <si>
    <t>atbilstība LBN 002-01</t>
  </si>
  <si>
    <t>dobais keramikas bloks</t>
  </si>
  <si>
    <t>mūris</t>
  </si>
  <si>
    <t>putubetona bloks</t>
  </si>
  <si>
    <t>AEROC vieglbetona bloks</t>
  </si>
  <si>
    <t>keramzītoļi</t>
  </si>
  <si>
    <t>Styrodor</t>
  </si>
  <si>
    <t>Aeroc EkoTerm Plus</t>
  </si>
  <si>
    <t>koks</t>
  </si>
  <si>
    <t>Peri Reflekt Plus</t>
  </si>
  <si>
    <t>J - 2 (J 1.1, 1.2)</t>
  </si>
  <si>
    <t>Ytong bloks</t>
  </si>
  <si>
    <t>monolīts betons</t>
  </si>
  <si>
    <t>PAROC WAS 50t</t>
  </si>
  <si>
    <t>PAROC ROB 80</t>
  </si>
  <si>
    <t>PAROC ROS 30g</t>
  </si>
  <si>
    <t>esoša siena</t>
  </si>
  <si>
    <t>skaidas ar kaļķi</t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</si>
  <si>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D(d)</t>
    </r>
    <r>
      <rPr>
        <i/>
        <sz val="8"/>
        <color theme="1"/>
        <rFont val="Calibri"/>
        <family val="2"/>
        <charset val="186"/>
        <scheme val="minor"/>
      </rPr>
      <t xml:space="preserve">   (W/mK)</t>
    </r>
  </si>
  <si>
    <t>dēlis</t>
  </si>
  <si>
    <t>šķembas</t>
  </si>
  <si>
    <t>kokšķiedru plate</t>
  </si>
  <si>
    <t>silikātbloks</t>
  </si>
  <si>
    <t>attieciba</t>
  </si>
  <si>
    <t>esošs mūris</t>
  </si>
  <si>
    <t>saplāksnis</t>
  </si>
  <si>
    <t>esošā ārsiena</t>
  </si>
  <si>
    <t>3.stāvs, pagrabs</t>
  </si>
  <si>
    <t>pārseguma konstrukcija</t>
  </si>
  <si>
    <t>koka pārsegums</t>
  </si>
  <si>
    <t>siltinājums</t>
  </si>
  <si>
    <t>dzīvojamā</t>
  </si>
  <si>
    <t>frēzbaļķu brusa</t>
  </si>
  <si>
    <t>esošā siena</t>
  </si>
  <si>
    <t>keramzīta bloks</t>
  </si>
  <si>
    <t>osb</t>
  </si>
  <si>
    <t>Saskaņā ar SAP 2013; LVS ISO 13790:2008 G.1. pielikums; LVS ISO 10211:2007;  LVS ISO 14683:2007.</t>
  </si>
  <si>
    <t xml:space="preserve">osb 3 </t>
  </si>
  <si>
    <t>hidroizolācija</t>
  </si>
  <si>
    <t>P - 1</t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</si>
  <si>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 xml:space="preserve">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</si>
  <si>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cl(D)</t>
    </r>
    <r>
      <rPr>
        <i/>
        <sz val="8"/>
        <color theme="1"/>
        <rFont val="Calibri"/>
        <family val="2"/>
        <charset val="186"/>
        <scheme val="minor"/>
      </rPr>
      <t xml:space="preserve">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</si>
  <si>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cl(D) </t>
    </r>
    <r>
      <rPr>
        <i/>
        <sz val="8"/>
        <color theme="1"/>
        <rFont val="Calibri"/>
        <family val="2"/>
        <charset val="186"/>
        <scheme val="minor"/>
      </rPr>
      <t>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</si>
  <si>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>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</si>
  <si>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>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</si>
  <si>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cl(D)</t>
    </r>
    <r>
      <rPr>
        <i/>
        <sz val="8"/>
        <color theme="1"/>
        <rFont val="Calibri"/>
        <family val="2"/>
        <charset val="186"/>
        <scheme val="minor"/>
      </rPr>
      <t xml:space="preserve"> 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</si>
  <si>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 xml:space="preserve"> 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</si>
  <si>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cl(D(</t>
    </r>
    <r>
      <rPr>
        <i/>
        <sz val="8"/>
        <color theme="1"/>
        <rFont val="Calibri"/>
        <family val="2"/>
        <charset val="186"/>
        <scheme val="minor"/>
      </rPr>
      <t xml:space="preserve">   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</si>
  <si>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cl (D)</t>
    </r>
    <r>
      <rPr>
        <i/>
        <sz val="8"/>
        <color theme="1"/>
        <rFont val="Calibri"/>
        <family val="2"/>
        <charset val="186"/>
        <scheme val="minor"/>
      </rPr>
      <t xml:space="preserve">   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</si>
  <si>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 xml:space="preserve">  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</si>
  <si>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cl (D)</t>
    </r>
    <r>
      <rPr>
        <i/>
        <sz val="8"/>
        <color theme="1"/>
        <rFont val="Calibri"/>
        <family val="2"/>
        <charset val="186"/>
        <scheme val="minor"/>
      </rPr>
      <t xml:space="preserve">  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</si>
  <si>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cl (D)</t>
    </r>
    <r>
      <rPr>
        <i/>
        <sz val="8"/>
        <color theme="1"/>
        <rFont val="Calibri"/>
        <family val="2"/>
        <charset val="186"/>
        <scheme val="minor"/>
      </rPr>
      <t xml:space="preserve"> 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</si>
  <si>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cl (D) </t>
    </r>
    <r>
      <rPr>
        <i/>
        <sz val="8"/>
        <color theme="1"/>
        <rFont val="Calibri"/>
        <family val="2"/>
        <charset val="186"/>
        <scheme val="minor"/>
      </rPr>
      <t>(W/mK)</t>
    </r>
  </si>
  <si>
    <t>izoplate</t>
  </si>
  <si>
    <t>Grīda 2</t>
  </si>
  <si>
    <t>Jumts 1</t>
  </si>
  <si>
    <t>Siena 1</t>
  </si>
  <si>
    <t>Grīda 1</t>
  </si>
  <si>
    <t>minerālgrunts</t>
  </si>
  <si>
    <t>Siena 3</t>
  </si>
  <si>
    <t>Siena 2 (tips 2)</t>
  </si>
  <si>
    <t>guļbūve</t>
  </si>
  <si>
    <t>kokšķiedra</t>
  </si>
  <si>
    <t>Siena 4</t>
  </si>
  <si>
    <t>Grīda 2 (GR-6)</t>
  </si>
  <si>
    <t>virsklājs</t>
  </si>
  <si>
    <t>slīpuma slānis</t>
  </si>
  <si>
    <t>Jumts 2</t>
  </si>
  <si>
    <t>pārseguma plātne</t>
  </si>
  <si>
    <t>Pamatu horizontālās izolācijas slāņa biezums (m)</t>
  </si>
  <si>
    <t>nesošā ārsiena</t>
  </si>
  <si>
    <t>pamatu bloks/monolīts</t>
  </si>
  <si>
    <t>Paroc eXtra</t>
  </si>
  <si>
    <t>siltumizolācija_b</t>
  </si>
  <si>
    <t>ekovate</t>
  </si>
  <si>
    <t>ISOVER KL37</t>
  </si>
  <si>
    <t>ISOVER KL33</t>
  </si>
  <si>
    <t>bauroc HARD 5MPa</t>
  </si>
  <si>
    <t>bauroc ECOTERM</t>
  </si>
  <si>
    <t>bauroc ECOTERM +</t>
  </si>
  <si>
    <t>bauroc CLASSIC 3MPa</t>
  </si>
  <si>
    <t>bauroc ECOLIGHT</t>
  </si>
  <si>
    <t>Paroc Linio 15</t>
  </si>
  <si>
    <t>Paroc ROB 60</t>
  </si>
  <si>
    <t>Paroc ROS 30</t>
  </si>
  <si>
    <t>Grīda/ ārsiena</t>
  </si>
  <si>
    <t>Ārējais stūris</t>
  </si>
  <si>
    <t>Iekšējais stūris</t>
  </si>
  <si>
    <t>W/mK</t>
  </si>
  <si>
    <t>Jumts 3</t>
  </si>
  <si>
    <t>sausais betons</t>
  </si>
  <si>
    <r>
      <t>W/(m</t>
    </r>
    <r>
      <rPr>
        <i/>
        <vertAlign val="superscript"/>
        <sz val="10"/>
        <rFont val="Calibri"/>
        <family val="2"/>
        <scheme val="minor"/>
      </rPr>
      <t>2</t>
    </r>
    <r>
      <rPr>
        <i/>
        <sz val="10"/>
        <rFont val="Calibri"/>
        <family val="2"/>
        <scheme val="minor"/>
      </rPr>
      <t>K)</t>
    </r>
  </si>
  <si>
    <r>
      <t>W/(m</t>
    </r>
    <r>
      <rPr>
        <i/>
        <vertAlign val="super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K)</t>
    </r>
  </si>
  <si>
    <t>durelis</t>
  </si>
  <si>
    <t>Tenax NEO EPS 70</t>
  </si>
  <si>
    <t>Tenax EPS 100</t>
  </si>
  <si>
    <t>skaidas</t>
  </si>
  <si>
    <t>ISOVER SKL-M</t>
  </si>
  <si>
    <t>kokšķiedras plāksne</t>
  </si>
  <si>
    <t>Siena 5</t>
  </si>
  <si>
    <t>Siena 6</t>
  </si>
  <si>
    <t>Jumts 2 (piebūves jumts)</t>
  </si>
  <si>
    <t>PAROC VL</t>
  </si>
  <si>
    <t xml:space="preserve">Telpu vidējais augstms </t>
  </si>
  <si>
    <t>Ēkas ārējais perimetrs</t>
  </si>
  <si>
    <t>3.stāvs</t>
  </si>
  <si>
    <t>telpu platība, m2</t>
  </si>
  <si>
    <t>telpas augstums, m</t>
  </si>
  <si>
    <t>Jumta Logi</t>
  </si>
  <si>
    <t>putupolistirols NEO</t>
  </si>
  <si>
    <t>PIR</t>
  </si>
  <si>
    <t>ISOVER STYROFOAM 250</t>
  </si>
  <si>
    <t>PAROC XES 200</t>
  </si>
  <si>
    <t>Ag</t>
  </si>
  <si>
    <t>Ug</t>
  </si>
  <si>
    <t>Af</t>
  </si>
  <si>
    <t>Uf</t>
  </si>
  <si>
    <t>Ig</t>
  </si>
  <si>
    <t>Yg</t>
  </si>
  <si>
    <t>koks/skaidas</t>
  </si>
  <si>
    <t>Bauska</t>
  </si>
  <si>
    <t>Gulbene</t>
  </si>
  <si>
    <t>Jelgava</t>
  </si>
  <si>
    <t>Kolka</t>
  </si>
  <si>
    <t>Pāvilosta</t>
  </si>
  <si>
    <t>Rēzekne</t>
  </si>
  <si>
    <t>Rūjiena</t>
  </si>
  <si>
    <t>Saldus</t>
  </si>
  <si>
    <t>Skrīveri</t>
  </si>
  <si>
    <t>Skulte</t>
  </si>
  <si>
    <t>Ventspils</t>
  </si>
  <si>
    <t>Zīlāni</t>
  </si>
  <si>
    <t>Zosēni</t>
  </si>
  <si>
    <t>YTONG 480</t>
  </si>
  <si>
    <t>skaidbetons</t>
  </si>
  <si>
    <t>EPS NEO</t>
  </si>
  <si>
    <t>OSB plātne</t>
  </si>
  <si>
    <t>siltumizolācija3</t>
  </si>
  <si>
    <t>Siltumizolācija4</t>
  </si>
  <si>
    <t>Paroc Linio 10</t>
  </si>
  <si>
    <t>(saskaņā ar LBN 002-19 "Ēku norobežojošo konstrukciju siltumtehnika")</t>
  </si>
  <si>
    <t>Porotherm 38 Profi</t>
  </si>
  <si>
    <t>Paroc WAS 35</t>
  </si>
  <si>
    <t>ISOVER FLOORMATE 200</t>
  </si>
  <si>
    <t>ISOVER FS30</t>
  </si>
  <si>
    <t>Putu betons</t>
  </si>
  <si>
    <t>pretvēja izoplate</t>
  </si>
  <si>
    <t>kokšķiedru plāksne</t>
  </si>
  <si>
    <t>iepūsta vate</t>
  </si>
  <si>
    <t>ISOVER KL32</t>
  </si>
  <si>
    <t>PUR poliuretāns</t>
  </si>
  <si>
    <t>ISOVER RKL-31</t>
  </si>
  <si>
    <t>ISOVER OL-P</t>
  </si>
  <si>
    <t>ARKO M18</t>
  </si>
  <si>
    <t>DOW STYROFOAM 250</t>
  </si>
  <si>
    <t>ģipškartona apšuvums</t>
  </si>
  <si>
    <t>apdares dēlis</t>
  </si>
  <si>
    <t>FINNFOAM FF-EPS</t>
  </si>
  <si>
    <t>FF-PIR GYL</t>
  </si>
  <si>
    <t>FINNFOAM FF-PIR AKL</t>
  </si>
  <si>
    <t>FINNFOAM FL-K600</t>
  </si>
  <si>
    <t>Roth</t>
  </si>
  <si>
    <t>Finnfoam FL300</t>
  </si>
  <si>
    <t>ISOVER KL35</t>
  </si>
  <si>
    <t>YTONG FORTE</t>
  </si>
  <si>
    <t>PAROC ROB 50</t>
  </si>
  <si>
    <t>izdedžbetons</t>
  </si>
  <si>
    <t>Koka panelis CLT</t>
  </si>
  <si>
    <t>Kingspan Kooltherm K5</t>
  </si>
  <si>
    <t>FINNFOAM XPS</t>
  </si>
  <si>
    <t>kokšķiedru platne</t>
  </si>
  <si>
    <t>Isover Standart 35</t>
  </si>
  <si>
    <t>Kingspan TP10</t>
  </si>
  <si>
    <t>dz/b</t>
  </si>
  <si>
    <t>Atstāj nulli, ja nav iekšējā stūra un neslēp līniju</t>
  </si>
  <si>
    <t>Roclite gāzbetona bloks</t>
  </si>
  <si>
    <t>400 mm</t>
  </si>
  <si>
    <t>UW</t>
  </si>
  <si>
    <r>
      <t>Gandrīz nulles enerģijas ēkas energoefektivitātes līmenis tiek sasniegts gadījumā, ja ēkā ir mehāniskās ventilācijas sistēma ar vismaz 80% siltuma zudumu atgūšanas efektivitāti apkures periodā, nodrošinot ēkas gaiscaurlaidību q</t>
    </r>
    <r>
      <rPr>
        <i/>
        <vertAlign val="subscript"/>
        <sz val="12"/>
        <color theme="1"/>
        <rFont val="Calibri"/>
        <family val="2"/>
        <charset val="186"/>
        <scheme val="minor"/>
      </rPr>
      <t>50</t>
    </r>
    <r>
      <rPr>
        <i/>
        <sz val="12"/>
        <color theme="1"/>
        <rFont val="Calibri"/>
        <family val="2"/>
        <charset val="186"/>
        <scheme val="minor"/>
      </rPr>
      <t xml:space="preserve"> ≤ 0,6 m</t>
    </r>
    <r>
      <rPr>
        <i/>
        <vertAlign val="superscript"/>
        <sz val="12"/>
        <color theme="1"/>
        <rFont val="Calibri"/>
        <family val="2"/>
        <charset val="186"/>
        <scheme val="minor"/>
      </rPr>
      <t>3</t>
    </r>
    <r>
      <rPr>
        <i/>
        <sz val="12"/>
        <color theme="1"/>
        <rFont val="Calibri"/>
        <family val="2"/>
        <charset val="186"/>
        <scheme val="minor"/>
      </rPr>
      <t>/(m</t>
    </r>
    <r>
      <rPr>
        <i/>
        <vertAlign val="superscript"/>
        <sz val="12"/>
        <color theme="1"/>
        <rFont val="Calibri"/>
        <family val="2"/>
        <charset val="186"/>
        <scheme val="minor"/>
      </rPr>
      <t>2</t>
    </r>
    <r>
      <rPr>
        <i/>
        <sz val="12"/>
        <color theme="1"/>
        <rFont val="Calibri"/>
        <family val="2"/>
        <charset val="186"/>
        <scheme val="minor"/>
      </rPr>
      <t xml:space="preserve"> × h) </t>
    </r>
  </si>
  <si>
    <r>
      <t>H</t>
    </r>
    <r>
      <rPr>
        <b/>
        <i/>
        <vertAlign val="subscript"/>
        <sz val="9"/>
        <color theme="1"/>
        <rFont val="Calibri"/>
        <family val="2"/>
        <charset val="186"/>
        <scheme val="minor"/>
      </rPr>
      <t>iTM</t>
    </r>
  </si>
  <si>
    <t>Logi 1</t>
  </si>
  <si>
    <t>Logi 2</t>
  </si>
  <si>
    <t>Durvis, vārti 1</t>
  </si>
  <si>
    <t>Durvis, vārti 2</t>
  </si>
  <si>
    <t>Logi, durvis, vārti</t>
  </si>
  <si>
    <t>1,31 0,07 1,76 1,55 2,44 0,99 1,99 2,30 1,06 2,75 2,54 4,43</t>
  </si>
  <si>
    <t>2. Alūksne 1,15 0,06 1,46 1,30 2,06 1,03 2,06 2,19 1,10 2,49 2,33 4,12</t>
  </si>
  <si>
    <t>3. Bauska 1,28 0,06 1,62 1,35 2,29 1,04 2,09 2,32 1,10 2,66 2,39 4,38</t>
  </si>
  <si>
    <t>4. Daugavpils 1,18 0,06 1,58 1,33 2,25 1,05 2,09 2,22 1,10 2,62 2,38 4,34</t>
  </si>
  <si>
    <t>5. Dobele 1,34 0,06 1,64 1,35 2,32 1,05 2,10 2,38 1,11 2,69 2,40 4,41</t>
  </si>
  <si>
    <t>6. Gulbene 1,21 0,06 1,51 1,30 2,14 1,04 2,08 2,25 1,10 2,55 2,34 4,21</t>
  </si>
  <si>
    <t>7. Jelgava 1,28 0,06 1,61 1,34 2,28 1,05 2,09 2,33 1,11 2,65 2,39 4,37</t>
  </si>
  <si>
    <t>8. Kolka 1,32 0,07 1,65 1,47 2,32 1,01 2,02 2,33 1,08 2,66 2,48 4,34</t>
  </si>
  <si>
    <t>9. Liepāja 1,31 0,06 1,73 1,44 2,43 1,03 2,07 2,35 1,10 2,76 2,47 4,50</t>
  </si>
  <si>
    <t>10. Mērsrags 1,30 0,07 1,60 1,39 2,26 0,99 1,99 2,29 1,06 2,60 2,39 4,25</t>
  </si>
  <si>
    <t>11. Pāvilosta 1,27 0,06 1,60 1,37 2,26 1,05 2,11 2,32 1,12 2,65 2,42 4,37</t>
  </si>
  <si>
    <t>12. Priekuļi 1,21 0,07 1,47 1,30 2,09 1,04 2,08 2,25 1,10 2,51 2,34 4,17</t>
  </si>
  <si>
    <t>13. Rēzekne 1,15 0,06 1,52 1,30 2,15 1,04 2,08 2,19 1,10 2,56 2,34 4,23</t>
  </si>
  <si>
    <t>14. Rīga 1,25 0,06 1,53 1,33 2,18 1,06 2,11 2,30 1,12 2,59 2,38 4,29</t>
  </si>
  <si>
    <t>15. Rūjiena 1,22 0,07 1,51 1,39 2,13 1,04 2,07 2,25 1,10 2,54 2,42 4,20</t>
  </si>
  <si>
    <t>16. Saldus 1,25 0,06 1,53 1,31 2,17 1,06 2,11 2,31 1,12 2,58 2,36 4,28</t>
  </si>
  <si>
    <t>17. Skrīveri 1,18 0,06 1,53 1,34 2,17 1,04 2,08 2,22 1,10 2,57 2,38 4,25</t>
  </si>
  <si>
    <t>18. Skulte 1,26 0,06 1,68 1,43 2,35 1,01 2,02 2,27 1,07 2,69 2,44 4,36</t>
  </si>
  <si>
    <t>19. Stende 1,26 0,07 1,50 1,32 2,14 1,06 2,12 2,31 1,13 2,56 2,38 4,26</t>
  </si>
  <si>
    <t>20. Ventspils 1,31 0,06 1,69 1,47 2,37 1,03 2,07 2,34 1,10 2,72 2,50 4,44</t>
  </si>
  <si>
    <t>21. Zīlāni 1,17 0,06 1,52 1,32 2,16 1,04 2,09 2,21 1,10 2,57 2,36 4,25</t>
  </si>
  <si>
    <t>22. Zosēni 1,18 0,06 1,45 1,28 2,07 1,04 2,08 2,22 1,10 2,49 2,32 4,15</t>
  </si>
  <si>
    <t>9. Liepaja 1,31 0,06 1,73 1,44 2,43 1,03 2,07 2,35 1,10 2,76 2,47 4,50</t>
  </si>
  <si>
    <t>10. Mersrags 1,30 0,07 1,60 1,39 2,26 0,99 1,99 2,29 1,06 2,60 2,39 4,25</t>
  </si>
  <si>
    <t>11. Pavilosta 1,27 0,06 1,60 1,37 2,26 1,05 2,11 2,32 1,12 2,65 2,42 4,37</t>
  </si>
  <si>
    <t>12. Priekuli 1,21 0,07 1,47 1,30 2,09 1,04 2,08 2,25 1,10 2,51 2,34 4,17</t>
  </si>
  <si>
    <t>13. Rezekne 1,15 0,06 1,52 1,30 2,15 1,04 2,08 2,19 1,10 2,56 2,34 4,23</t>
  </si>
  <si>
    <t>14. Riga 1,25 0,06 1,53 1,33 2,18 1,06 2,11 2,30 1,12 2,59 2,38 4,29</t>
  </si>
  <si>
    <t>15. Rujiena 1,22 0,07 1,51 1,39 2,13 1,04 2,07 2,25 1,10 2,54 2,42 4,20</t>
  </si>
  <si>
    <t>17. Skriveri 1,18 0,06 1,53 1,34 2,17 1,04 2,08 2,22 1,10 2,57 2,38 4,25</t>
  </si>
  <si>
    <t>21. Zilani 1,17 0,06 1,52 1,32 2,16 1,04 2,09 2,21 1,10 2,57 2,36 4,25</t>
  </si>
  <si>
    <t>22. Zoseni 1,18 0,06 1,45 1,28 2,07 1,04 2,08 2,22 1,10 2,49 2,32 4,15</t>
  </si>
  <si>
    <t>2.</t>
  </si>
  <si>
    <t>Aluksne</t>
  </si>
  <si>
    <t>Kopā/vidēji:</t>
  </si>
  <si>
    <t>EPS80</t>
  </si>
  <si>
    <t>Kopā logu un durvju platība un perimetrs:</t>
  </si>
  <si>
    <t>Kopā siena (ar logiem un bez durvīm):</t>
  </si>
  <si>
    <r>
      <t>W/(m</t>
    </r>
    <r>
      <rPr>
        <i/>
        <vertAlign val="superscript"/>
        <sz val="8"/>
        <rFont val="Calibri"/>
        <family val="2"/>
        <charset val="186"/>
        <scheme val="minor"/>
      </rPr>
      <t>2</t>
    </r>
    <r>
      <rPr>
        <i/>
        <sz val="8"/>
        <rFont val="Calibri"/>
        <family val="2"/>
        <charset val="186"/>
        <scheme val="minor"/>
      </rPr>
      <t>K)</t>
    </r>
  </si>
  <si>
    <t>Dzīvojamā</t>
  </si>
  <si>
    <t>Admin</t>
  </si>
  <si>
    <r>
      <t>Dzīvojamās mājas, pansionāti, slimnīcas un bērnudārzi</t>
    </r>
    <r>
      <rPr>
        <b/>
        <i/>
        <sz val="12"/>
        <color theme="1"/>
        <rFont val="Calibri"/>
        <family val="2"/>
        <charset val="186"/>
        <scheme val="minor"/>
      </rPr>
      <t xml:space="preserve"> U</t>
    </r>
    <r>
      <rPr>
        <b/>
        <i/>
        <vertAlign val="subscript"/>
        <sz val="12"/>
        <color theme="1"/>
        <rFont val="Calibri"/>
        <family val="2"/>
        <charset val="186"/>
        <scheme val="minor"/>
      </rPr>
      <t>RN</t>
    </r>
  </si>
  <si>
    <r>
      <t xml:space="preserve">Publiskās ēkas, izņemot pansionātus, slimnīcas un bērnidārzus </t>
    </r>
    <r>
      <rPr>
        <b/>
        <i/>
        <sz val="12"/>
        <color theme="1"/>
        <rFont val="Calibri"/>
        <family val="2"/>
        <charset val="186"/>
        <scheme val="minor"/>
      </rPr>
      <t>U</t>
    </r>
    <r>
      <rPr>
        <b/>
        <i/>
        <vertAlign val="subscript"/>
        <sz val="12"/>
        <color theme="1"/>
        <rFont val="Calibri"/>
        <family val="2"/>
        <charset val="186"/>
        <scheme val="minor"/>
      </rPr>
      <t>RN</t>
    </r>
  </si>
  <si>
    <r>
      <t xml:space="preserve">Ražošanas ēkas      </t>
    </r>
    <r>
      <rPr>
        <b/>
        <i/>
        <sz val="12"/>
        <color theme="1"/>
        <rFont val="Calibri"/>
        <family val="2"/>
        <charset val="186"/>
        <scheme val="minor"/>
      </rPr>
      <t>U</t>
    </r>
    <r>
      <rPr>
        <b/>
        <i/>
        <vertAlign val="subscript"/>
        <sz val="12"/>
        <color theme="1"/>
        <rFont val="Calibri"/>
        <family val="2"/>
        <charset val="186"/>
        <scheme val="minor"/>
      </rPr>
      <t>RN</t>
    </r>
  </si>
  <si>
    <t>LBN max</t>
  </si>
  <si>
    <t>LBN normatīvais</t>
  </si>
  <si>
    <t>MAX</t>
  </si>
  <si>
    <t>NORM</t>
  </si>
  <si>
    <t>ar masu &lt; 100 kg/m2</t>
  </si>
  <si>
    <t>ar masu = &gt;100 kg/m2</t>
  </si>
  <si>
    <t>logi</t>
  </si>
  <si>
    <t>durvis</t>
  </si>
  <si>
    <t>virs pagraba vai ventil</t>
  </si>
  <si>
    <t>(saskaņā ar LBN 002-15 "Ēku norobežojošo konstrukciju siltumtehnika")</t>
  </si>
  <si>
    <t>atbilstība LBN 002-19</t>
  </si>
  <si>
    <t>Kopā</t>
  </si>
  <si>
    <t>Logi 3</t>
  </si>
  <si>
    <t>Durvis, vārti 3</t>
  </si>
  <si>
    <t>Kopā sienas aprēķina laukums (bez logiem un bez durvīm):</t>
  </si>
  <si>
    <t>poliuretāna siltumiz.</t>
  </si>
  <si>
    <t>Paroc Was 25t</t>
  </si>
  <si>
    <t>Steico protect</t>
  </si>
  <si>
    <t>Paroc XES 300wj</t>
  </si>
  <si>
    <t>Paroc Ultra</t>
  </si>
  <si>
    <t>Finnfoam 300</t>
  </si>
  <si>
    <t>Forestia Thermofloor</t>
  </si>
  <si>
    <t>ISOVER Premium 33</t>
  </si>
  <si>
    <t>Paroc UNS 37</t>
  </si>
  <si>
    <t>izlīdz. kārta</t>
  </si>
  <si>
    <t>ISOVER Extreme 32</t>
  </si>
  <si>
    <t>FRONTROCK SUPER</t>
  </si>
  <si>
    <t>Paroc ROB 80</t>
  </si>
  <si>
    <t>Paroc Cortex One</t>
  </si>
  <si>
    <t>Ruberoīds</t>
  </si>
  <si>
    <t>PAROC BLT</t>
  </si>
  <si>
    <t>YTONG 365</t>
  </si>
  <si>
    <t>STEICO Zell</t>
  </si>
  <si>
    <t>YTONG Forte</t>
  </si>
  <si>
    <t>bbetons</t>
  </si>
  <si>
    <r>
      <t>d</t>
    </r>
    <r>
      <rPr>
        <i/>
        <vertAlign val="subscript"/>
        <sz val="10"/>
        <color theme="1"/>
        <rFont val="Calibri"/>
        <family val="2"/>
        <charset val="186"/>
        <scheme val="minor"/>
      </rPr>
      <t>f</t>
    </r>
  </si>
  <si>
    <r>
      <t>d</t>
    </r>
    <r>
      <rPr>
        <i/>
        <vertAlign val="subscript"/>
        <sz val="10"/>
        <color theme="1"/>
        <rFont val="Calibri"/>
        <family val="2"/>
        <charset val="186"/>
        <scheme val="minor"/>
      </rPr>
      <t>w;e</t>
    </r>
  </si>
  <si>
    <r>
      <t xml:space="preserve"> R</t>
    </r>
    <r>
      <rPr>
        <i/>
        <vertAlign val="subscript"/>
        <sz val="9"/>
        <color theme="1"/>
        <rFont val="Calibri"/>
        <family val="2"/>
        <charset val="186"/>
        <scheme val="minor"/>
      </rPr>
      <t>f;sog</t>
    </r>
  </si>
  <si>
    <r>
      <t>λ</t>
    </r>
    <r>
      <rPr>
        <i/>
        <vertAlign val="subscript"/>
        <sz val="10"/>
        <color theme="1"/>
        <rFont val="Calibri"/>
        <family val="2"/>
        <charset val="186"/>
        <scheme val="minor"/>
      </rPr>
      <t>g</t>
    </r>
  </si>
  <si>
    <r>
      <t>U</t>
    </r>
    <r>
      <rPr>
        <i/>
        <vertAlign val="subscript"/>
        <sz val="10"/>
        <color theme="1"/>
        <rFont val="Calibri"/>
        <family val="2"/>
        <charset val="186"/>
        <scheme val="minor"/>
      </rPr>
      <t>fg;sog</t>
    </r>
  </si>
  <si>
    <r>
      <t>U</t>
    </r>
    <r>
      <rPr>
        <i/>
        <vertAlign val="subscript"/>
        <sz val="10"/>
        <color theme="1"/>
        <rFont val="Calibri"/>
        <family val="2"/>
        <charset val="186"/>
        <scheme val="minor"/>
      </rPr>
      <t>f;sus</t>
    </r>
  </si>
  <si>
    <r>
      <t xml:space="preserve"> R</t>
    </r>
    <r>
      <rPr>
        <i/>
        <vertAlign val="subscript"/>
        <sz val="10"/>
        <color theme="1"/>
        <rFont val="Calibri"/>
        <family val="2"/>
        <charset val="186"/>
        <scheme val="minor"/>
      </rPr>
      <t>g;eff</t>
    </r>
  </si>
  <si>
    <r>
      <t>R</t>
    </r>
    <r>
      <rPr>
        <i/>
        <vertAlign val="subscript"/>
        <sz val="10"/>
        <color theme="1"/>
        <rFont val="Calibri"/>
        <family val="2"/>
        <charset val="186"/>
        <scheme val="minor"/>
      </rPr>
      <t>f;sus</t>
    </r>
  </si>
  <si>
    <t xml:space="preserve">Grīda </t>
  </si>
  <si>
    <r>
      <t>R</t>
    </r>
    <r>
      <rPr>
        <i/>
        <vertAlign val="subscript"/>
        <sz val="9"/>
        <color theme="1"/>
        <rFont val="Calibri"/>
        <family val="2"/>
        <charset val="186"/>
        <scheme val="minor"/>
      </rPr>
      <t>f;b</t>
    </r>
  </si>
  <si>
    <r>
      <t>λ</t>
    </r>
    <r>
      <rPr>
        <i/>
        <vertAlign val="subscript"/>
        <sz val="9"/>
        <color theme="1"/>
        <rFont val="Calibri"/>
        <family val="2"/>
        <charset val="186"/>
        <scheme val="minor"/>
      </rPr>
      <t>g</t>
    </r>
  </si>
  <si>
    <r>
      <t>d</t>
    </r>
    <r>
      <rPr>
        <i/>
        <vertAlign val="subscript"/>
        <sz val="9"/>
        <color theme="1"/>
        <rFont val="Calibri"/>
        <family val="2"/>
        <charset val="186"/>
        <scheme val="minor"/>
      </rPr>
      <t>w;e</t>
    </r>
  </si>
  <si>
    <r>
      <t>R</t>
    </r>
    <r>
      <rPr>
        <i/>
        <vertAlign val="subscript"/>
        <sz val="9"/>
        <color theme="1"/>
        <rFont val="Calibri"/>
        <family val="2"/>
        <charset val="186"/>
        <scheme val="minor"/>
      </rPr>
      <t>w;b</t>
    </r>
  </si>
  <si>
    <r>
      <t>d</t>
    </r>
    <r>
      <rPr>
        <i/>
        <vertAlign val="subscript"/>
        <sz val="9"/>
        <color theme="1"/>
        <rFont val="Calibri"/>
        <family val="2"/>
        <charset val="186"/>
        <scheme val="minor"/>
      </rPr>
      <t>f</t>
    </r>
  </si>
  <si>
    <r>
      <t>U</t>
    </r>
    <r>
      <rPr>
        <i/>
        <vertAlign val="subscript"/>
        <sz val="9"/>
        <color theme="1"/>
        <rFont val="Calibri"/>
        <family val="2"/>
        <charset val="186"/>
        <scheme val="minor"/>
      </rPr>
      <t>fg;b</t>
    </r>
  </si>
  <si>
    <r>
      <t>U</t>
    </r>
    <r>
      <rPr>
        <i/>
        <vertAlign val="subscript"/>
        <sz val="9"/>
        <color theme="1"/>
        <rFont val="Calibri"/>
        <family val="2"/>
        <charset val="186"/>
        <scheme val="minor"/>
      </rPr>
      <t>wg;b</t>
    </r>
  </si>
  <si>
    <r>
      <t>d</t>
    </r>
    <r>
      <rPr>
        <i/>
        <vertAlign val="subscript"/>
        <sz val="9"/>
        <color theme="1"/>
        <rFont val="Calibri"/>
        <family val="2"/>
        <charset val="186"/>
        <scheme val="minor"/>
      </rPr>
      <t>w;b</t>
    </r>
  </si>
  <si>
    <r>
      <t xml:space="preserve">z </t>
    </r>
    <r>
      <rPr>
        <b/>
        <sz val="10"/>
        <color theme="1"/>
        <rFont val="Calibri"/>
        <family val="2"/>
        <charset val="186"/>
      </rPr>
      <t>≤</t>
    </r>
    <r>
      <rPr>
        <b/>
        <i/>
        <sz val="10"/>
        <color theme="1"/>
        <rFont val="Calibri"/>
        <family val="2"/>
        <charset val="186"/>
        <scheme val="minor"/>
      </rPr>
      <t xml:space="preserve"> 0,5</t>
    </r>
  </si>
  <si>
    <t>z &gt; 0,5</t>
  </si>
  <si>
    <r>
      <t>ψ</t>
    </r>
    <r>
      <rPr>
        <i/>
        <vertAlign val="subscript"/>
        <sz val="10"/>
        <color theme="1"/>
        <rFont val="Calibri"/>
        <family val="2"/>
        <charset val="186"/>
        <scheme val="minor"/>
      </rPr>
      <t>g.ed</t>
    </r>
  </si>
  <si>
    <r>
      <t>ψ</t>
    </r>
    <r>
      <rPr>
        <i/>
        <vertAlign val="subscript"/>
        <sz val="10"/>
        <color theme="1"/>
        <rFont val="Calibri"/>
        <family val="2"/>
        <charset val="186"/>
        <scheme val="minor"/>
      </rPr>
      <t>g;ed</t>
    </r>
  </si>
  <si>
    <t>(ISO 13370:2017, Grīda uz grunts)</t>
  </si>
  <si>
    <t>(ISO 13370:2017, Apkurināts pagrabs)</t>
  </si>
  <si>
    <t>(ISO 13370:2017, Grīda ar pagrīdi, z &gt; 0,5m)</t>
  </si>
  <si>
    <r>
      <t xml:space="preserve">(ISO 13370:2017, Grīda ar pagrīdi, z </t>
    </r>
    <r>
      <rPr>
        <sz val="12"/>
        <color theme="1"/>
        <rFont val="Calibri"/>
        <family val="2"/>
        <charset val="186"/>
      </rPr>
      <t xml:space="preserve">≤ </t>
    </r>
    <r>
      <rPr>
        <i/>
        <sz val="12"/>
        <color theme="1"/>
        <rFont val="Calibri"/>
        <family val="2"/>
        <charset val="186"/>
        <scheme val="minor"/>
      </rPr>
      <t>0,5m)</t>
    </r>
  </si>
  <si>
    <r>
      <t>Grīdas ar pagrīdi siltumpretestība, 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K/W:</t>
    </r>
  </si>
  <si>
    <r>
      <t>Grīdas ar pagrīdi siltumcaurlaidība, W/(m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K):</t>
    </r>
  </si>
  <si>
    <t>Sienas biezums, m:</t>
  </si>
  <si>
    <t>Pagraba grīdas vidējais dziļums zem zemes virmas līmeņa, m:</t>
  </si>
  <si>
    <r>
      <t>Grīdas laukums, 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:</t>
    </r>
  </si>
  <si>
    <t>Ārsienas perimetrs, m:</t>
  </si>
  <si>
    <t>Raksturīgais izmērs, m:</t>
  </si>
  <si>
    <t>Zemes siltumvadītspēja W/(mK):</t>
  </si>
  <si>
    <r>
      <t>Grīdas uz grunts siltumpretestība, 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K/W:</t>
    </r>
  </si>
  <si>
    <t>Grīdas ekvivalentais biezums, m:</t>
  </si>
  <si>
    <r>
      <t>Grīda uz grunts siltumcaurlaidība, W/(m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K):</t>
    </r>
  </si>
  <si>
    <t>Attālums no zemes virsmas līmeņa līdz telpas grīdas līmenim, m:</t>
  </si>
  <si>
    <r>
      <t>Ventilācijas caurumu platība uz zemgrīdas telpas perimetra 1 metru, 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/m:</t>
    </r>
  </si>
  <si>
    <t>Vidējais vēja ātrums 10m augstumā, m/s:</t>
  </si>
  <si>
    <t>Vēja ierobežojuma koeficents:</t>
  </si>
  <si>
    <r>
      <t>Pagrabstāva virszemes līmeņa sienas siltumcaurlaidība, W/(m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K):</t>
    </r>
  </si>
  <si>
    <r>
      <t>Zemgrīdas telpas ekvivalentā siltumcaurlaidība, W/(m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K):</t>
    </r>
  </si>
  <si>
    <r>
      <t>U</t>
    </r>
    <r>
      <rPr>
        <b/>
        <i/>
        <vertAlign val="subscript"/>
        <sz val="14"/>
        <color theme="1"/>
        <rFont val="Calibri"/>
        <family val="2"/>
        <charset val="186"/>
        <scheme val="minor"/>
      </rPr>
      <t>fg;sus</t>
    </r>
    <r>
      <rPr>
        <b/>
        <i/>
        <sz val="14"/>
        <color theme="1"/>
        <rFont val="Calibri"/>
        <family val="2"/>
        <charset val="186"/>
        <scheme val="minor"/>
      </rPr>
      <t xml:space="preserve"> =  </t>
    </r>
  </si>
  <si>
    <t>Zemes siltumvadītspēja, W/(mK):</t>
  </si>
  <si>
    <r>
      <t>Grīdas uz grunts siltumcaurlaidība, W/(m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K):</t>
    </r>
  </si>
  <si>
    <t>Pamatu vertikālās siltumizolācijas biezums, m:</t>
  </si>
  <si>
    <t>Siltumvadītspēja, W/(mK):</t>
  </si>
  <si>
    <t>Papildus ekvivalentais biezums, m:</t>
  </si>
  <si>
    <t>Izolācijas dziļums zem zemes 0 līmeņa, m:</t>
  </si>
  <si>
    <t>Vertikālās izolācijas sānu faktors, W/(mK):</t>
  </si>
  <si>
    <t>Pagrabatāva grīdas dziļums zem zemes virsmas līmeņa, m:</t>
  </si>
  <si>
    <t>Pagrabstāva grīdas ekvivalentais biezums, m:</t>
  </si>
  <si>
    <r>
      <t>Pagrabstāva grīdas siltumcaurlaidība, W/(m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K):</t>
    </r>
  </si>
  <si>
    <r>
      <t>Pagrabstāva sienas konstrukcijas siltumpretestība, 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K/W:</t>
    </r>
  </si>
  <si>
    <t>Pagrabstāva sienas ekvivalentais biezums, m:</t>
  </si>
  <si>
    <r>
      <t>Pagrabstāva sienu siltumcaurlaidība, W/(m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K):</t>
    </r>
  </si>
  <si>
    <r>
      <t>U</t>
    </r>
    <r>
      <rPr>
        <b/>
        <i/>
        <vertAlign val="subscript"/>
        <sz val="14"/>
        <color theme="1"/>
        <rFont val="Calibri"/>
        <family val="2"/>
        <charset val="186"/>
        <scheme val="minor"/>
      </rPr>
      <t>bg;eff</t>
    </r>
    <r>
      <rPr>
        <b/>
        <i/>
        <sz val="14"/>
        <color theme="1"/>
        <rFont val="Calibri"/>
        <family val="2"/>
        <charset val="186"/>
        <scheme val="minor"/>
      </rPr>
      <t xml:space="preserve"> =</t>
    </r>
  </si>
  <si>
    <r>
      <rPr>
        <b/>
        <i/>
        <sz val="14"/>
        <color theme="1"/>
        <rFont val="Calibri"/>
        <family val="2"/>
        <scheme val="minor"/>
      </rPr>
      <t>U</t>
    </r>
    <r>
      <rPr>
        <b/>
        <i/>
        <vertAlign val="subscript"/>
        <sz val="14"/>
        <color theme="1"/>
        <rFont val="Calibri"/>
        <family val="2"/>
        <scheme val="minor"/>
      </rPr>
      <t>f;sus</t>
    </r>
    <r>
      <rPr>
        <i/>
        <sz val="14"/>
        <color theme="1"/>
        <rFont val="Calibri"/>
        <family val="2"/>
        <scheme val="minor"/>
      </rPr>
      <t xml:space="preserve"> =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</si>
  <si>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cl 
</t>
    </r>
    <r>
      <rPr>
        <i/>
        <sz val="8"/>
        <color theme="1"/>
        <rFont val="Calibri"/>
        <family val="2"/>
        <charset val="186"/>
        <scheme val="minor"/>
      </rPr>
      <t xml:space="preserve">(W/mK) 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   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</si>
  <si>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 xml:space="preserve">  (λ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>)
(W/mK)</t>
    </r>
  </si>
  <si>
    <r>
      <t>R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fn
</t>
    </r>
    <r>
      <rPr>
        <i/>
        <sz val="8"/>
        <color theme="1"/>
        <rFont val="Calibri"/>
        <family val="2"/>
        <charset val="186"/>
        <scheme val="minor"/>
      </rPr>
      <t>(m</t>
    </r>
    <r>
      <rPr>
        <i/>
        <vertAlign val="superscript"/>
        <sz val="8"/>
        <color theme="1"/>
        <rFont val="Calibri"/>
        <family val="2"/>
        <charset val="186"/>
        <scheme val="minor"/>
      </rPr>
      <t>2</t>
    </r>
    <r>
      <rPr>
        <i/>
        <sz val="8"/>
        <color theme="1"/>
        <rFont val="Calibri"/>
        <family val="2"/>
        <charset val="186"/>
        <scheme val="minor"/>
      </rPr>
      <t>K/W)</t>
    </r>
  </si>
  <si>
    <r>
      <t>d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n
</t>
    </r>
    <r>
      <rPr>
        <i/>
        <sz val="8"/>
        <color theme="1"/>
        <rFont val="Calibri"/>
        <family val="2"/>
        <charset val="186"/>
        <scheme val="minor"/>
      </rPr>
      <t>(m)</t>
    </r>
  </si>
  <si>
    <r>
      <t>∆λ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W
</t>
    </r>
    <r>
      <rPr>
        <i/>
        <sz val="8"/>
        <color theme="1"/>
        <rFont val="Calibri"/>
        <family val="2"/>
        <charset val="186"/>
        <scheme val="minor"/>
      </rPr>
      <t>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</si>
  <si>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cl 
 </t>
    </r>
    <r>
      <rPr>
        <i/>
        <sz val="8"/>
        <color theme="1"/>
        <rFont val="Calibri"/>
        <family val="2"/>
        <charset val="186"/>
        <scheme val="minor"/>
      </rPr>
      <t xml:space="preserve">(W/mK) 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   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</si>
  <si>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 xml:space="preserve">  (  λ</t>
    </r>
    <r>
      <rPr>
        <i/>
        <vertAlign val="subscript"/>
        <sz val="8"/>
        <color theme="1"/>
        <rFont val="Calibri"/>
        <family val="2"/>
        <charset val="186"/>
        <scheme val="minor"/>
      </rPr>
      <t>D</t>
    </r>
    <r>
      <rPr>
        <i/>
        <sz val="8"/>
        <color theme="1"/>
        <rFont val="Calibri"/>
        <family val="2"/>
        <charset val="186"/>
        <scheme val="minor"/>
      </rPr>
      <t>)
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</si>
  <si>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cl
</t>
    </r>
    <r>
      <rPr>
        <i/>
        <sz val="8"/>
        <color theme="1"/>
        <rFont val="Calibri"/>
        <family val="2"/>
        <charset val="186"/>
        <scheme val="minor"/>
      </rPr>
      <t xml:space="preserve">(W/mK) 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   </t>
    </r>
  </si>
  <si>
    <r>
      <t>∆λ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W
 </t>
    </r>
    <r>
      <rPr>
        <i/>
        <sz val="8"/>
        <color theme="1"/>
        <rFont val="Calibri"/>
        <family val="2"/>
        <charset val="186"/>
        <scheme val="minor"/>
      </rPr>
      <t>(W/mK)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</si>
  <si>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d
</t>
    </r>
    <r>
      <rPr>
        <i/>
        <sz val="8"/>
        <color theme="1"/>
        <rFont val="Calibri"/>
        <family val="2"/>
        <charset val="186"/>
        <scheme val="minor"/>
      </rPr>
      <t>(W/mK)</t>
    </r>
  </si>
  <si>
    <r>
      <t>R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fn 
</t>
    </r>
    <r>
      <rPr>
        <i/>
        <sz val="8"/>
        <color theme="1"/>
        <rFont val="Calibri"/>
        <family val="2"/>
        <charset val="186"/>
        <scheme val="minor"/>
      </rPr>
      <t>(m</t>
    </r>
    <r>
      <rPr>
        <i/>
        <vertAlign val="superscript"/>
        <sz val="8"/>
        <color theme="1"/>
        <rFont val="Calibri"/>
        <family val="2"/>
        <charset val="186"/>
        <scheme val="minor"/>
      </rPr>
      <t>2</t>
    </r>
    <r>
      <rPr>
        <i/>
        <sz val="8"/>
        <color theme="1"/>
        <rFont val="Calibri"/>
        <family val="2"/>
        <charset val="186"/>
        <scheme val="minor"/>
      </rPr>
      <t>K/W)</t>
    </r>
  </si>
  <si>
    <r>
      <t>λ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cl   (D)
</t>
    </r>
    <r>
      <rPr>
        <i/>
        <sz val="9"/>
        <color theme="1"/>
        <rFont val="Calibri"/>
        <family val="2"/>
        <charset val="186"/>
        <scheme val="minor"/>
      </rPr>
      <t xml:space="preserve">(W/mK) 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   </t>
    </r>
  </si>
  <si>
    <r>
      <t>∆λ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W
 </t>
    </r>
    <r>
      <rPr>
        <i/>
        <sz val="9"/>
        <color theme="1"/>
        <rFont val="Calibri"/>
        <family val="2"/>
        <charset val="186"/>
        <scheme val="minor"/>
      </rPr>
      <t>(W/mK)</t>
    </r>
  </si>
  <si>
    <r>
      <t>λ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d
</t>
    </r>
    <r>
      <rPr>
        <i/>
        <sz val="9"/>
        <color theme="1"/>
        <rFont val="Calibri"/>
        <family val="2"/>
        <charset val="186"/>
        <scheme val="minor"/>
      </rPr>
      <t>(W/mK)</t>
    </r>
  </si>
  <si>
    <r>
      <t>R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fn
</t>
    </r>
    <r>
      <rPr>
        <i/>
        <sz val="9"/>
        <color theme="1"/>
        <rFont val="Calibri"/>
        <family val="2"/>
        <charset val="186"/>
        <scheme val="minor"/>
      </rPr>
      <t>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K/W)</t>
    </r>
  </si>
  <si>
    <r>
      <t>d</t>
    </r>
    <r>
      <rPr>
        <i/>
        <vertAlign val="subscript"/>
        <sz val="9"/>
        <color theme="1"/>
        <rFont val="Calibri"/>
        <family val="2"/>
        <charset val="186"/>
        <scheme val="minor"/>
      </rPr>
      <t xml:space="preserve">n
</t>
    </r>
    <r>
      <rPr>
        <i/>
        <sz val="9"/>
        <color theme="1"/>
        <rFont val="Calibri"/>
        <family val="2"/>
        <charset val="186"/>
        <scheme val="minor"/>
      </rPr>
      <t>(m)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</si>
  <si>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cl
 </t>
    </r>
    <r>
      <rPr>
        <i/>
        <sz val="8"/>
        <color theme="1"/>
        <rFont val="Calibri"/>
        <family val="2"/>
        <charset val="186"/>
        <scheme val="minor"/>
      </rPr>
      <t xml:space="preserve">(W/mK) 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   </t>
    </r>
  </si>
  <si>
    <r>
      <t>λ</t>
    </r>
    <r>
      <rPr>
        <i/>
        <vertAlign val="subscript"/>
        <sz val="8"/>
        <color theme="1"/>
        <rFont val="Calibri"/>
        <family val="2"/>
        <charset val="186"/>
        <scheme val="minor"/>
      </rPr>
      <t xml:space="preserve">cl
 </t>
    </r>
    <r>
      <rPr>
        <i/>
        <sz val="8"/>
        <color theme="1"/>
        <rFont val="Calibri"/>
        <family val="2"/>
        <charset val="186"/>
        <scheme val="minor"/>
      </rPr>
      <t>(W/mK)</t>
    </r>
  </si>
  <si>
    <r>
      <t>Virsmu siltumpretestība, 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K/W:</t>
    </r>
  </si>
  <si>
    <r>
      <t>Grīdas konstrukcijas siltumpretestība, 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K/W:</t>
    </r>
  </si>
  <si>
    <r>
      <t>Siltumpretestība, 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K/W:</t>
    </r>
  </si>
  <si>
    <r>
      <t>Papildus siltumpretestība, 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K/W:</t>
    </r>
  </si>
  <si>
    <t>Vēja ierobežojuma koeficients:</t>
  </si>
  <si>
    <r>
      <t>Virsmu siltumpretestība 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K/W):</t>
    </r>
  </si>
  <si>
    <r>
      <t>W/(m</t>
    </r>
    <r>
      <rPr>
        <i/>
        <vertAlign val="superscript"/>
        <sz val="9"/>
        <color theme="1"/>
        <rFont val="Calibri"/>
        <family val="2"/>
        <charset val="186"/>
        <scheme val="minor"/>
      </rPr>
      <t>2</t>
    </r>
    <r>
      <rPr>
        <i/>
        <sz val="9"/>
        <color theme="1"/>
        <rFont val="Calibri"/>
        <family val="2"/>
        <charset val="186"/>
        <scheme val="minor"/>
      </rPr>
      <t>K)</t>
    </r>
  </si>
  <si>
    <r>
      <t>W/(m</t>
    </r>
    <r>
      <rPr>
        <i/>
        <vertAlign val="superscript"/>
        <sz val="9"/>
        <rFont val="Calibri"/>
        <family val="2"/>
        <charset val="186"/>
        <scheme val="minor"/>
      </rPr>
      <t>2</t>
    </r>
    <r>
      <rPr>
        <i/>
        <sz val="9"/>
        <rFont val="Calibri"/>
        <family val="2"/>
        <charset val="186"/>
        <scheme val="minor"/>
      </rPr>
      <t>K)</t>
    </r>
  </si>
  <si>
    <r>
      <t>Gaismu caurlaidīgo virsmu platība,  m</t>
    </r>
    <r>
      <rPr>
        <i/>
        <vertAlign val="superscript"/>
        <sz val="11"/>
        <rFont val="Calibri"/>
        <family val="2"/>
        <charset val="186"/>
        <scheme val="minor"/>
      </rPr>
      <t>2</t>
    </r>
  </si>
  <si>
    <r>
      <t>Aprēķina platība, m</t>
    </r>
    <r>
      <rPr>
        <i/>
        <vertAlign val="superscript"/>
        <sz val="11"/>
        <rFont val="Calibri"/>
        <family val="2"/>
        <charset val="186"/>
        <scheme val="minor"/>
      </rPr>
      <t>2</t>
    </r>
  </si>
  <si>
    <t>Būvelementa laukums</t>
  </si>
  <si>
    <t>Konstrukcijas būvelementts</t>
  </si>
  <si>
    <t>Maksimālā normatīvā siltumcaurlaidība</t>
  </si>
  <si>
    <t>Aprēķinu siltumcaurlaidība</t>
  </si>
  <si>
    <r>
      <t>R</t>
    </r>
    <r>
      <rPr>
        <i/>
        <vertAlign val="subscript"/>
        <sz val="12"/>
        <color theme="1"/>
        <rFont val="Calibri"/>
        <family val="2"/>
        <charset val="186"/>
        <scheme val="minor"/>
      </rPr>
      <t>tot</t>
    </r>
    <r>
      <rPr>
        <i/>
        <sz val="12"/>
        <color theme="1"/>
        <rFont val="Calibri"/>
        <family val="2"/>
        <charset val="186"/>
        <scheme val="minor"/>
      </rPr>
      <t xml:space="preserve"> = </t>
    </r>
  </si>
  <si>
    <t>Aprēķinu siltuma pārneses koeficients ar pārvadi</t>
  </si>
  <si>
    <t>Gaismu caurlaidīgo virsmu īpatsvars pret aprēķina platību</t>
  </si>
  <si>
    <t>AEROBLOCK</t>
  </si>
  <si>
    <t>TERIVA Light 24/60</t>
  </si>
  <si>
    <t>smilšakmens</t>
  </si>
  <si>
    <t>Ytong Energo+</t>
  </si>
  <si>
    <t>SUPER KING BLOCK</t>
  </si>
  <si>
    <t>Beramā vate</t>
  </si>
  <si>
    <t>Paroc Cortex</t>
  </si>
  <si>
    <t>FIBO 5</t>
  </si>
  <si>
    <t>Paroc ROS 50</t>
  </si>
  <si>
    <t>Paroc GRS 20</t>
  </si>
  <si>
    <t>kermazītbetona panelis</t>
  </si>
  <si>
    <t>Keraterm 38</t>
  </si>
  <si>
    <t>Maksimālais siltuma pārneses koeficients ar pārvadi</t>
  </si>
  <si>
    <t>YTONG Energo Ultra +</t>
  </si>
  <si>
    <t>Paroc WAS 35t</t>
  </si>
  <si>
    <t>Paroc BLT</t>
  </si>
  <si>
    <t>beramā vate</t>
  </si>
  <si>
    <t>t (*C)</t>
  </si>
  <si>
    <t>aprēķina t (*C)</t>
  </si>
  <si>
    <t>Porotherm 44 Dryfix</t>
  </si>
  <si>
    <t>Tehniskās telpas, u.c.</t>
  </si>
  <si>
    <t>7. Ēkas norobežojošo konstrukciju siltuma pārnese ar pārvadi</t>
  </si>
  <si>
    <t>8. Ēkas norobežojošo konstrukciju platības</t>
  </si>
  <si>
    <t>Grīda 3</t>
  </si>
  <si>
    <t>koksķiedru plāksne</t>
  </si>
  <si>
    <t>Jumts 1"</t>
  </si>
  <si>
    <t>Jumts 1""</t>
  </si>
  <si>
    <t>uz grunts</t>
  </si>
  <si>
    <t>Telpas ar komforta t</t>
  </si>
  <si>
    <t>L-4</t>
  </si>
  <si>
    <t>ĀD-1</t>
  </si>
  <si>
    <t>L-2</t>
  </si>
  <si>
    <t>L-3</t>
  </si>
  <si>
    <t>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</si>
</sst>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9" x14ac:knownFonts="1">
    <font>
      <sz val="11"/>
      <color theme="1"/>
      <name val="Calibri"/>
      <family val="2"/>
      <charset val="186"/>
      <scheme val="minor"/>
    </font>
    <font>
      <i/>
      <sz val="16"/>
      <color theme="1"/>
      <name val="Calibri"/>
      <family val="2"/>
      <charset val="186"/>
      <scheme val="minor"/>
    </font>
    <font>
      <i/>
      <sz val="9"/>
      <color theme="1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i/>
      <sz val="10"/>
      <color theme="1"/>
      <name val="Calibri"/>
      <family val="2"/>
      <charset val="186"/>
      <scheme val="minor"/>
    </font>
    <font>
      <i/>
      <vertAlign val="superscript"/>
      <sz val="10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</font>
    <font>
      <b/>
      <i/>
      <sz val="12"/>
      <color theme="1"/>
      <name val="Calibri"/>
      <family val="2"/>
      <charset val="186"/>
    </font>
    <font>
      <b/>
      <i/>
      <sz val="9"/>
      <color theme="1"/>
      <name val="Calibri"/>
      <family val="2"/>
      <charset val="186"/>
    </font>
    <font>
      <b/>
      <i/>
      <vertAlign val="superscript"/>
      <sz val="9"/>
      <color theme="1"/>
      <name val="Calibri"/>
      <family val="2"/>
      <charset val="186"/>
    </font>
    <font>
      <b/>
      <i/>
      <sz val="16"/>
      <color theme="1"/>
      <name val="Calibri"/>
      <family val="2"/>
      <charset val="186"/>
      <scheme val="minor"/>
    </font>
    <font>
      <b/>
      <i/>
      <sz val="12"/>
      <color theme="1"/>
      <name val="Calibri"/>
      <family val="2"/>
      <charset val="186"/>
      <scheme val="minor"/>
    </font>
    <font>
      <b/>
      <i/>
      <vertAlign val="subscript"/>
      <sz val="12"/>
      <color theme="1"/>
      <name val="Calibri"/>
      <family val="2"/>
      <charset val="186"/>
      <scheme val="minor"/>
    </font>
    <font>
      <b/>
      <i/>
      <sz val="9"/>
      <color rgb="FFFF0000"/>
      <name val="Calibri"/>
      <family val="2"/>
      <charset val="186"/>
      <scheme val="minor"/>
    </font>
    <font>
      <b/>
      <i/>
      <sz val="9"/>
      <color rgb="FFFF0000"/>
      <name val="Calibri"/>
      <family val="2"/>
      <charset val="186"/>
    </font>
    <font>
      <b/>
      <i/>
      <vertAlign val="subscript"/>
      <sz val="12"/>
      <color theme="1"/>
      <name val="Calibri"/>
      <family val="2"/>
      <charset val="186"/>
    </font>
    <font>
      <i/>
      <sz val="12"/>
      <color theme="1"/>
      <name val="Calibri"/>
      <family val="2"/>
      <charset val="186"/>
      <scheme val="minor"/>
    </font>
    <font>
      <i/>
      <vertAlign val="superscript"/>
      <sz val="12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</font>
    <font>
      <sz val="12"/>
      <color theme="1"/>
      <name val="Calibri"/>
      <family val="2"/>
      <charset val="186"/>
      <scheme val="minor"/>
    </font>
    <font>
      <b/>
      <i/>
      <sz val="12"/>
      <color rgb="FF00B0F0"/>
      <name val="Calibri"/>
      <family val="2"/>
      <charset val="186"/>
      <scheme val="minor"/>
    </font>
    <font>
      <b/>
      <i/>
      <sz val="12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b/>
      <i/>
      <sz val="12"/>
      <color rgb="FFFF0000"/>
      <name val="Calibri"/>
      <family val="2"/>
      <charset val="186"/>
      <scheme val="minor"/>
    </font>
    <font>
      <i/>
      <sz val="10"/>
      <color rgb="FFFF0000"/>
      <name val="Calibri"/>
      <family val="2"/>
      <charset val="186"/>
      <scheme val="minor"/>
    </font>
    <font>
      <sz val="12"/>
      <name val="Calibri"/>
      <family val="2"/>
      <charset val="186"/>
      <scheme val="minor"/>
    </font>
    <font>
      <b/>
      <sz val="12"/>
      <name val="Calibri"/>
      <family val="2"/>
      <charset val="186"/>
      <scheme val="minor"/>
    </font>
    <font>
      <sz val="12"/>
      <color rgb="FFFF0000"/>
      <name val="Calibri"/>
      <family val="2"/>
      <charset val="186"/>
      <scheme val="minor"/>
    </font>
    <font>
      <sz val="10"/>
      <color theme="1"/>
      <name val="Arial Narrow"/>
      <family val="2"/>
      <charset val="186"/>
    </font>
    <font>
      <sz val="10"/>
      <color theme="1"/>
      <name val="Arial"/>
      <family val="2"/>
      <charset val="186"/>
    </font>
    <font>
      <vertAlign val="subscript"/>
      <sz val="10"/>
      <color theme="1"/>
      <name val="Arial"/>
      <family val="2"/>
      <charset val="186"/>
    </font>
    <font>
      <vertAlign val="superscript"/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u/>
      <sz val="10"/>
      <color theme="10"/>
      <name val="Arial"/>
      <family val="2"/>
      <charset val="186"/>
    </font>
    <font>
      <b/>
      <sz val="10"/>
      <color theme="1"/>
      <name val="Arial"/>
      <family val="2"/>
      <charset val="186"/>
    </font>
    <font>
      <b/>
      <sz val="16"/>
      <color theme="1"/>
      <name val="Arial"/>
      <family val="2"/>
      <charset val="186"/>
    </font>
    <font>
      <sz val="8"/>
      <color theme="1"/>
      <name val="Arial"/>
      <family val="2"/>
      <charset val="186"/>
    </font>
    <font>
      <vertAlign val="subscript"/>
      <sz val="8"/>
      <color theme="1"/>
      <name val="Arial"/>
      <family val="2"/>
      <charset val="186"/>
    </font>
    <font>
      <vertAlign val="superscript"/>
      <sz val="8"/>
      <color theme="1"/>
      <name val="Arial"/>
      <family val="2"/>
      <charset val="186"/>
    </font>
    <font>
      <vertAlign val="superscript"/>
      <sz val="10"/>
      <name val="Arial"/>
      <family val="2"/>
      <charset val="186"/>
    </font>
    <font>
      <sz val="9"/>
      <color theme="1"/>
      <name val="Arial"/>
      <family val="2"/>
      <charset val="186"/>
    </font>
    <font>
      <sz val="9"/>
      <name val="Arial"/>
      <family val="2"/>
      <charset val="186"/>
    </font>
    <font>
      <vertAlign val="subscript"/>
      <sz val="9"/>
      <color theme="1"/>
      <name val="Arial"/>
      <family val="2"/>
      <charset val="186"/>
    </font>
    <font>
      <sz val="8"/>
      <name val="Arial"/>
      <family val="2"/>
      <charset val="186"/>
    </font>
    <font>
      <vertAlign val="subscript"/>
      <sz val="8"/>
      <name val="Arial"/>
      <family val="2"/>
      <charset val="186"/>
    </font>
    <font>
      <b/>
      <sz val="11"/>
      <color theme="1"/>
      <name val="Arial"/>
      <family val="2"/>
      <charset val="186"/>
    </font>
    <font>
      <vertAlign val="superscript"/>
      <sz val="9"/>
      <color theme="1"/>
      <name val="Arial"/>
      <family val="2"/>
      <charset val="186"/>
    </font>
    <font>
      <sz val="9"/>
      <color theme="1"/>
      <name val="Calibri"/>
      <family val="2"/>
      <charset val="186"/>
      <scheme val="minor"/>
    </font>
    <font>
      <sz val="18"/>
      <color theme="1"/>
      <name val="Arial"/>
      <family val="2"/>
      <charset val="186"/>
    </font>
    <font>
      <vertAlign val="subscript"/>
      <sz val="10"/>
      <color theme="1"/>
      <name val="Calibri"/>
      <family val="2"/>
      <charset val="186"/>
    </font>
    <font>
      <sz val="12"/>
      <color theme="1"/>
      <name val="Calibri"/>
      <family val="2"/>
      <charset val="186"/>
    </font>
    <font>
      <sz val="9"/>
      <color rgb="FF0070C0"/>
      <name val="Arial"/>
      <family val="2"/>
      <charset val="186"/>
    </font>
    <font>
      <sz val="8"/>
      <color theme="1"/>
      <name val="Calibri"/>
      <family val="2"/>
      <charset val="186"/>
    </font>
    <font>
      <sz val="16"/>
      <color theme="1"/>
      <name val="Arial"/>
      <family val="2"/>
      <charset val="186"/>
    </font>
    <font>
      <i/>
      <sz val="12"/>
      <name val="Calibri"/>
      <family val="2"/>
      <charset val="186"/>
      <scheme val="minor"/>
    </font>
    <font>
      <vertAlign val="subscript"/>
      <sz val="12"/>
      <color theme="1"/>
      <name val="Arial"/>
      <family val="2"/>
      <charset val="186"/>
    </font>
    <font>
      <i/>
      <sz val="12"/>
      <color rgb="FFFF0000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vertAlign val="superscript"/>
      <sz val="9"/>
      <color theme="1"/>
      <name val="Calibri"/>
      <family val="2"/>
      <charset val="186"/>
      <scheme val="minor"/>
    </font>
    <font>
      <vertAlign val="subscript"/>
      <sz val="9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u/>
      <sz val="10"/>
      <color theme="10"/>
      <name val="Calibri"/>
      <family val="2"/>
      <charset val="186"/>
      <scheme val="minor"/>
    </font>
    <font>
      <vertAlign val="superscript"/>
      <sz val="10"/>
      <color theme="1"/>
      <name val="Calibri"/>
      <family val="2"/>
      <charset val="186"/>
      <scheme val="minor"/>
    </font>
    <font>
      <vertAlign val="subscript"/>
      <sz val="10"/>
      <color theme="1"/>
      <name val="Calibri"/>
      <family val="2"/>
      <charset val="186"/>
      <scheme val="minor"/>
    </font>
    <font>
      <i/>
      <sz val="18"/>
      <color theme="1"/>
      <name val="Calibri"/>
      <family val="2"/>
      <charset val="186"/>
      <scheme val="minor"/>
    </font>
    <font>
      <b/>
      <i/>
      <sz val="20"/>
      <color theme="1"/>
      <name val="Calibri"/>
      <family val="2"/>
      <charset val="186"/>
      <scheme val="minor"/>
    </font>
    <font>
      <i/>
      <vertAlign val="subscript"/>
      <sz val="10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i/>
      <sz val="8"/>
      <color theme="1"/>
      <name val="Calibri"/>
      <family val="2"/>
      <charset val="186"/>
      <scheme val="minor"/>
    </font>
    <font>
      <i/>
      <vertAlign val="subscript"/>
      <sz val="8"/>
      <color theme="1"/>
      <name val="Calibri"/>
      <family val="2"/>
      <charset val="186"/>
      <scheme val="minor"/>
    </font>
    <font>
      <i/>
      <vertAlign val="superscript"/>
      <sz val="8"/>
      <color theme="1"/>
      <name val="Calibri"/>
      <family val="2"/>
      <charset val="186"/>
      <scheme val="minor"/>
    </font>
    <font>
      <i/>
      <sz val="10"/>
      <name val="Calibri"/>
      <family val="2"/>
      <charset val="186"/>
      <scheme val="minor"/>
    </font>
    <font>
      <b/>
      <i/>
      <sz val="10"/>
      <color rgb="FF0070C0"/>
      <name val="Calibri"/>
      <family val="2"/>
      <charset val="186"/>
      <scheme val="minor"/>
    </font>
    <font>
      <i/>
      <u/>
      <sz val="10"/>
      <color theme="10"/>
      <name val="Calibri"/>
      <family val="2"/>
      <charset val="186"/>
      <scheme val="minor"/>
    </font>
    <font>
      <b/>
      <i/>
      <sz val="10"/>
      <color theme="1"/>
      <name val="Calibri"/>
      <family val="2"/>
      <charset val="186"/>
      <scheme val="minor"/>
    </font>
    <font>
      <i/>
      <vertAlign val="superscript"/>
      <sz val="10"/>
      <name val="Calibri"/>
      <family val="2"/>
      <charset val="186"/>
      <scheme val="minor"/>
    </font>
    <font>
      <b/>
      <i/>
      <sz val="11"/>
      <color theme="1"/>
      <name val="Calibri"/>
      <family val="2"/>
      <charset val="186"/>
      <scheme val="minor"/>
    </font>
    <font>
      <i/>
      <vertAlign val="superscript"/>
      <sz val="9"/>
      <color theme="1"/>
      <name val="Calibri"/>
      <family val="2"/>
      <charset val="186"/>
      <scheme val="minor"/>
    </font>
    <font>
      <i/>
      <vertAlign val="subscript"/>
      <sz val="9"/>
      <color theme="1"/>
      <name val="Calibri"/>
      <family val="2"/>
      <charset val="186"/>
      <scheme val="minor"/>
    </font>
    <font>
      <i/>
      <sz val="8"/>
      <name val="Calibri"/>
      <family val="2"/>
      <charset val="186"/>
      <scheme val="minor"/>
    </font>
    <font>
      <i/>
      <vertAlign val="subscript"/>
      <sz val="8"/>
      <name val="Calibri"/>
      <family val="2"/>
      <charset val="186"/>
      <scheme val="minor"/>
    </font>
    <font>
      <i/>
      <sz val="9"/>
      <name val="Calibri"/>
      <family val="2"/>
      <charset val="186"/>
      <scheme val="minor"/>
    </font>
    <font>
      <i/>
      <vertAlign val="subscript"/>
      <sz val="9"/>
      <name val="Calibri"/>
      <family val="2"/>
      <charset val="186"/>
      <scheme val="minor"/>
    </font>
    <font>
      <b/>
      <i/>
      <sz val="9"/>
      <color theme="1"/>
      <name val="Calibri"/>
      <family val="2"/>
      <charset val="186"/>
      <scheme val="minor"/>
    </font>
    <font>
      <b/>
      <i/>
      <vertAlign val="subscript"/>
      <sz val="9"/>
      <color theme="1"/>
      <name val="Calibri"/>
      <family val="2"/>
      <charset val="186"/>
      <scheme val="minor"/>
    </font>
    <font>
      <i/>
      <vertAlign val="superscript"/>
      <sz val="9"/>
      <name val="Calibri"/>
      <family val="2"/>
      <charset val="186"/>
      <scheme val="minor"/>
    </font>
    <font>
      <i/>
      <sz val="11"/>
      <name val="Calibri"/>
      <family val="2"/>
      <charset val="186"/>
      <scheme val="minor"/>
    </font>
    <font>
      <i/>
      <sz val="11"/>
      <color theme="3" tint="0.39997558519241921"/>
      <name val="Calibri"/>
      <family val="2"/>
      <charset val="186"/>
      <scheme val="minor"/>
    </font>
    <font>
      <b/>
      <i/>
      <sz val="10"/>
      <color rgb="FFFF0000"/>
      <name val="Calibri"/>
      <family val="2"/>
      <charset val="186"/>
      <scheme val="minor"/>
    </font>
    <font>
      <b/>
      <sz val="16"/>
      <color theme="1"/>
      <name val="Calibri"/>
      <family val="2"/>
      <charset val="186"/>
      <scheme val="minor"/>
    </font>
    <font>
      <b/>
      <i/>
      <sz val="12"/>
      <color theme="0"/>
      <name val="Calibri"/>
      <family val="2"/>
      <charset val="186"/>
      <scheme val="minor"/>
    </font>
    <font>
      <b/>
      <sz val="12"/>
      <color theme="0"/>
      <name val="Calibri"/>
      <family val="2"/>
      <charset val="186"/>
      <scheme val="minor"/>
    </font>
    <font>
      <i/>
      <sz val="12"/>
      <color theme="1" tint="0.499984740745262"/>
      <name val="Calibri"/>
      <family val="2"/>
      <charset val="186"/>
      <scheme val="minor"/>
    </font>
    <font>
      <i/>
      <sz val="11"/>
      <color theme="1" tint="0.499984740745262"/>
      <name val="Calibri"/>
      <family val="2"/>
      <charset val="186"/>
      <scheme val="minor"/>
    </font>
    <font>
      <i/>
      <sz val="10"/>
      <color theme="1" tint="0.499984740745262"/>
      <name val="Calibri"/>
      <family val="2"/>
      <charset val="186"/>
      <scheme val="minor"/>
    </font>
    <font>
      <sz val="11"/>
      <color theme="1" tint="0.499984740745262"/>
      <name val="Arial"/>
      <family val="2"/>
      <charset val="186"/>
    </font>
    <font>
      <b/>
      <sz val="16"/>
      <color theme="1" tint="0.499984740745262"/>
      <name val="Arial"/>
      <family val="2"/>
      <charset val="186"/>
    </font>
    <font>
      <i/>
      <sz val="12"/>
      <color theme="0" tint="-0.499984740745262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i/>
      <sz val="20"/>
      <color theme="0"/>
      <name val="Calibri"/>
      <family val="2"/>
      <charset val="186"/>
      <scheme val="minor"/>
    </font>
    <font>
      <b/>
      <i/>
      <sz val="11"/>
      <color theme="0"/>
      <name val="Calibri"/>
      <family val="2"/>
      <charset val="186"/>
      <scheme val="minor"/>
    </font>
    <font>
      <i/>
      <sz val="12"/>
      <color theme="0"/>
      <name val="Calibri"/>
      <family val="2"/>
      <charset val="186"/>
      <scheme val="minor"/>
    </font>
    <font>
      <i/>
      <sz val="11"/>
      <color theme="0"/>
      <name val="Calibri"/>
      <family val="2"/>
      <charset val="186"/>
      <scheme val="minor"/>
    </font>
    <font>
      <b/>
      <i/>
      <sz val="22"/>
      <color theme="0"/>
      <name val="Calibri"/>
      <family val="2"/>
      <charset val="186"/>
      <scheme val="minor"/>
    </font>
    <font>
      <i/>
      <sz val="10"/>
      <color theme="0"/>
      <name val="Calibri"/>
      <family val="2"/>
      <charset val="186"/>
      <scheme val="minor"/>
    </font>
    <font>
      <b/>
      <i/>
      <sz val="10"/>
      <color theme="0"/>
      <name val="Calibri"/>
      <family val="2"/>
      <charset val="186"/>
      <scheme val="minor"/>
    </font>
    <font>
      <b/>
      <i/>
      <sz val="20"/>
      <color theme="0"/>
      <name val="Calibri"/>
      <family val="2"/>
      <scheme val="minor"/>
    </font>
    <font>
      <b/>
      <i/>
      <sz val="28"/>
      <color theme="0"/>
      <name val="Calibri"/>
      <family val="2"/>
      <charset val="186"/>
      <scheme val="minor"/>
    </font>
    <font>
      <b/>
      <i/>
      <sz val="48"/>
      <color theme="0"/>
      <name val="Calibri"/>
      <family val="2"/>
      <charset val="186"/>
      <scheme val="minor"/>
    </font>
    <font>
      <i/>
      <sz val="36"/>
      <color theme="0"/>
      <name val="Calibri"/>
      <family val="2"/>
      <charset val="186"/>
      <scheme val="minor"/>
    </font>
    <font>
      <i/>
      <sz val="20"/>
      <color theme="0"/>
      <name val="Calibri"/>
      <family val="2"/>
      <charset val="186"/>
      <scheme val="minor"/>
    </font>
    <font>
      <i/>
      <sz val="24"/>
      <color theme="0"/>
      <name val="Calibri"/>
      <family val="2"/>
      <charset val="186"/>
      <scheme val="minor"/>
    </font>
    <font>
      <b/>
      <i/>
      <sz val="18"/>
      <color theme="0"/>
      <name val="Calibri"/>
      <family val="2"/>
      <charset val="186"/>
      <scheme val="minor"/>
    </font>
    <font>
      <i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vertAlign val="superscript"/>
      <sz val="10"/>
      <name val="Calibri"/>
      <family val="2"/>
      <scheme val="minor"/>
    </font>
    <font>
      <i/>
      <u/>
      <sz val="10"/>
      <color theme="10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8"/>
      <name val="Calibri"/>
      <family val="2"/>
      <charset val="186"/>
      <scheme val="minor"/>
    </font>
    <font>
      <i/>
      <sz val="14"/>
      <color theme="1"/>
      <name val="Calibri"/>
      <family val="2"/>
      <charset val="186"/>
      <scheme val="minor"/>
    </font>
    <font>
      <b/>
      <i/>
      <sz val="1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0"/>
      <name val="Calibri"/>
      <family val="2"/>
      <scheme val="minor"/>
    </font>
    <font>
      <i/>
      <vertAlign val="subscript"/>
      <sz val="12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2.5"/>
      <color theme="1"/>
      <name val="Arial"/>
      <family val="2"/>
      <charset val="186"/>
    </font>
    <font>
      <sz val="10"/>
      <name val="Helv"/>
    </font>
    <font>
      <i/>
      <vertAlign val="superscript"/>
      <sz val="8"/>
      <name val="Calibri"/>
      <family val="2"/>
      <charset val="186"/>
      <scheme val="minor"/>
    </font>
    <font>
      <i/>
      <sz val="12"/>
      <color theme="0" tint="-0.249977111117893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charset val="186"/>
    </font>
    <font>
      <b/>
      <i/>
      <sz val="14"/>
      <color theme="1"/>
      <name val="Calibri"/>
      <family val="2"/>
      <charset val="186"/>
      <scheme val="minor"/>
    </font>
    <font>
      <b/>
      <i/>
      <vertAlign val="subscript"/>
      <sz val="14"/>
      <color theme="1"/>
      <name val="Calibri"/>
      <family val="2"/>
      <charset val="186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vertAlign val="subscript"/>
      <sz val="14"/>
      <color theme="1"/>
      <name val="Calibri"/>
      <family val="2"/>
      <scheme val="minor"/>
    </font>
    <font>
      <i/>
      <vertAlign val="superscript"/>
      <sz val="11"/>
      <name val="Calibri"/>
      <family val="2"/>
      <charset val="186"/>
      <scheme val="minor"/>
    </font>
    <font>
      <b/>
      <i/>
      <sz val="11"/>
      <name val="Calibri"/>
      <family val="2"/>
      <charset val="186"/>
      <scheme val="minor"/>
    </font>
    <font>
      <b/>
      <i/>
      <sz val="24"/>
      <name val="Calibri"/>
      <family val="2"/>
      <charset val="186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0D1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8EEC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CC5"/>
        <bgColor indexed="64"/>
      </patternFill>
    </fill>
    <fill>
      <patternFill patternType="solid">
        <fgColor rgb="FFD2F6D8"/>
        <bgColor indexed="64"/>
      </patternFill>
    </fill>
    <fill>
      <patternFill patternType="solid">
        <fgColor rgb="FFFFE9BD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DEFCDC"/>
        <bgColor indexed="64"/>
      </patternFill>
    </fill>
    <fill>
      <patternFill patternType="solid">
        <fgColor rgb="FFDFF9E3"/>
        <bgColor indexed="64"/>
      </patternFill>
    </fill>
    <fill>
      <patternFill patternType="solid">
        <fgColor rgb="FFFFF2D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04041"/>
      </left>
      <right style="medium">
        <color rgb="FF404041"/>
      </right>
      <top style="thick">
        <color rgb="FF000000"/>
      </top>
      <bottom style="medium">
        <color rgb="FF404041"/>
      </bottom>
      <diagonal/>
    </border>
    <border>
      <left/>
      <right style="medium">
        <color rgb="FF404041"/>
      </right>
      <top style="thick">
        <color rgb="FF000000"/>
      </top>
      <bottom style="medium">
        <color rgb="FF404041"/>
      </bottom>
      <diagonal/>
    </border>
    <border>
      <left style="medium">
        <color rgb="FF404041"/>
      </left>
      <right style="medium">
        <color rgb="FF404041"/>
      </right>
      <top/>
      <bottom style="medium">
        <color rgb="FF404041"/>
      </bottom>
      <diagonal/>
    </border>
    <border>
      <left/>
      <right style="medium">
        <color rgb="FF404041"/>
      </right>
      <top/>
      <bottom style="medium">
        <color rgb="FF404041"/>
      </bottom>
      <diagonal/>
    </border>
  </borders>
  <cellStyleXfs count="4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33" fillId="0" borderId="0" applyFont="0" applyFill="0" applyBorder="0" applyAlignment="0" applyProtection="0"/>
    <xf numFmtId="0" fontId="135" fillId="0" borderId="0"/>
  </cellStyleXfs>
  <cellXfs count="1353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2" fillId="0" borderId="16" xfId="0" applyFont="1" applyBorder="1"/>
    <xf numFmtId="0" fontId="2" fillId="0" borderId="19" xfId="0" applyFont="1" applyBorder="1"/>
    <xf numFmtId="0" fontId="2" fillId="0" borderId="13" xfId="0" applyFont="1" applyBorder="1"/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7" fillId="0" borderId="0" xfId="0" applyFont="1"/>
    <xf numFmtId="0" fontId="14" fillId="0" borderId="3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0" borderId="25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21" fillId="0" borderId="0" xfId="0" applyFont="1"/>
    <xf numFmtId="0" fontId="12" fillId="0" borderId="1" xfId="0" applyFont="1" applyBorder="1" applyAlignment="1">
      <alignment horizontal="center"/>
    </xf>
    <xf numFmtId="0" fontId="21" fillId="0" borderId="2" xfId="0" applyFont="1" applyBorder="1"/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1" xfId="0" applyFont="1" applyBorder="1" applyAlignment="1">
      <alignment horizontal="center"/>
    </xf>
    <xf numFmtId="0" fontId="17" fillId="0" borderId="24" xfId="0" applyFont="1" applyBorder="1" applyAlignment="1">
      <alignment horizontal="left"/>
    </xf>
    <xf numFmtId="0" fontId="17" fillId="0" borderId="38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46" xfId="0" applyFont="1" applyBorder="1"/>
    <xf numFmtId="0" fontId="12" fillId="2" borderId="54" xfId="0" applyFont="1" applyFill="1" applyBorder="1" applyAlignment="1">
      <alignment horizontal="center"/>
    </xf>
    <xf numFmtId="0" fontId="24" fillId="0" borderId="0" xfId="0" applyFont="1"/>
    <xf numFmtId="2" fontId="12" fillId="2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2" fontId="23" fillId="2" borderId="50" xfId="0" applyNumberFormat="1" applyFont="1" applyFill="1" applyBorder="1" applyAlignment="1">
      <alignment horizontal="center"/>
    </xf>
    <xf numFmtId="0" fontId="17" fillId="0" borderId="1" xfId="0" applyFont="1" applyBorder="1"/>
    <xf numFmtId="2" fontId="17" fillId="0" borderId="1" xfId="0" applyNumberFormat="1" applyFont="1" applyBorder="1"/>
    <xf numFmtId="2" fontId="12" fillId="0" borderId="0" xfId="0" applyNumberFormat="1" applyFont="1"/>
    <xf numFmtId="2" fontId="12" fillId="0" borderId="0" xfId="0" applyNumberFormat="1" applyFont="1" applyAlignment="1">
      <alignment horizontal="center"/>
    </xf>
    <xf numFmtId="0" fontId="12" fillId="0" borderId="0" xfId="0" applyFont="1"/>
    <xf numFmtId="0" fontId="25" fillId="0" borderId="0" xfId="0" applyFont="1"/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1" xfId="0" applyFont="1" applyBorder="1"/>
    <xf numFmtId="0" fontId="17" fillId="0" borderId="5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3" fillId="0" borderId="58" xfId="0" applyFont="1" applyBorder="1" applyAlignment="1">
      <alignment horizontal="center"/>
    </xf>
    <xf numFmtId="0" fontId="23" fillId="0" borderId="0" xfId="0" applyFont="1" applyAlignment="1">
      <alignment horizontal="right"/>
    </xf>
    <xf numFmtId="2" fontId="12" fillId="2" borderId="0" xfId="0" applyNumberFormat="1" applyFont="1" applyFill="1" applyAlignment="1">
      <alignment horizontal="center"/>
    </xf>
    <xf numFmtId="2" fontId="17" fillId="0" borderId="0" xfId="0" applyNumberFormat="1" applyFont="1"/>
    <xf numFmtId="0" fontId="21" fillId="4" borderId="0" xfId="0" applyFont="1" applyFill="1"/>
    <xf numFmtId="0" fontId="21" fillId="7" borderId="0" xfId="0" applyFont="1" applyFill="1"/>
    <xf numFmtId="0" fontId="21" fillId="6" borderId="0" xfId="0" applyFont="1" applyFill="1"/>
    <xf numFmtId="0" fontId="21" fillId="8" borderId="0" xfId="0" applyFont="1" applyFill="1"/>
    <xf numFmtId="0" fontId="21" fillId="5" borderId="0" xfId="0" applyFont="1" applyFill="1"/>
    <xf numFmtId="0" fontId="21" fillId="9" borderId="0" xfId="0" applyFont="1" applyFill="1"/>
    <xf numFmtId="0" fontId="21" fillId="10" borderId="0" xfId="0" applyFont="1" applyFill="1"/>
    <xf numFmtId="0" fontId="21" fillId="11" borderId="0" xfId="0" applyFont="1" applyFill="1"/>
    <xf numFmtId="2" fontId="24" fillId="0" borderId="33" xfId="0" applyNumberFormat="1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 vertical="center" wrapText="1"/>
    </xf>
    <xf numFmtId="164" fontId="34" fillId="12" borderId="16" xfId="0" applyNumberFormat="1" applyFont="1" applyFill="1" applyBorder="1" applyAlignment="1">
      <alignment horizontal="center"/>
    </xf>
    <xf numFmtId="0" fontId="40" fillId="0" borderId="0" xfId="0" applyFont="1"/>
    <xf numFmtId="0" fontId="31" fillId="0" borderId="7" xfId="0" applyFont="1" applyBorder="1"/>
    <xf numFmtId="0" fontId="31" fillId="0" borderId="4" xfId="0" applyFont="1" applyBorder="1"/>
    <xf numFmtId="0" fontId="31" fillId="0" borderId="10" xfId="0" applyFont="1" applyBorder="1" applyAlignment="1">
      <alignment horizontal="center"/>
    </xf>
    <xf numFmtId="0" fontId="31" fillId="0" borderId="11" xfId="0" applyFont="1" applyBorder="1"/>
    <xf numFmtId="0" fontId="31" fillId="0" borderId="2" xfId="0" applyFont="1" applyBorder="1"/>
    <xf numFmtId="0" fontId="31" fillId="0" borderId="6" xfId="0" applyFont="1" applyBorder="1"/>
    <xf numFmtId="0" fontId="39" fillId="0" borderId="0" xfId="0" applyFont="1" applyAlignment="1">
      <alignment horizontal="center" vertical="center" wrapText="1"/>
    </xf>
    <xf numFmtId="0" fontId="31" fillId="0" borderId="16" xfId="0" applyFont="1" applyBorder="1" applyAlignment="1">
      <alignment horizontal="center"/>
    </xf>
    <xf numFmtId="0" fontId="34" fillId="12" borderId="16" xfId="0" applyFont="1" applyFill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34" fillId="0" borderId="16" xfId="0" applyFont="1" applyBorder="1" applyAlignment="1">
      <alignment horizontal="center"/>
    </xf>
    <xf numFmtId="0" fontId="31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5" fillId="0" borderId="4" xfId="0" applyFont="1" applyBorder="1"/>
    <xf numFmtId="0" fontId="31" fillId="0" borderId="10" xfId="0" applyFont="1" applyBorder="1" applyAlignment="1">
      <alignment horizontal="center" vertical="center" wrapText="1"/>
    </xf>
    <xf numFmtId="0" fontId="5" fillId="0" borderId="11" xfId="0" applyFont="1" applyBorder="1"/>
    <xf numFmtId="0" fontId="40" fillId="0" borderId="10" xfId="0" applyFont="1" applyBorder="1"/>
    <xf numFmtId="0" fontId="31" fillId="0" borderId="10" xfId="0" applyFont="1" applyBorder="1"/>
    <xf numFmtId="0" fontId="5" fillId="0" borderId="10" xfId="0" applyFont="1" applyBorder="1"/>
    <xf numFmtId="0" fontId="5" fillId="0" borderId="5" xfId="0" applyFont="1" applyBorder="1"/>
    <xf numFmtId="0" fontId="5" fillId="0" borderId="2" xfId="0" applyFont="1" applyBorder="1"/>
    <xf numFmtId="0" fontId="5" fillId="0" borderId="6" xfId="0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 applyAlignment="1">
      <alignment horizontal="center" wrapText="1"/>
    </xf>
    <xf numFmtId="164" fontId="34" fillId="0" borderId="16" xfId="0" applyNumberFormat="1" applyFont="1" applyBorder="1" applyAlignment="1">
      <alignment horizontal="center"/>
    </xf>
    <xf numFmtId="164" fontId="31" fillId="0" borderId="16" xfId="0" applyNumberFormat="1" applyFont="1" applyBorder="1" applyAlignment="1">
      <alignment horizontal="center"/>
    </xf>
    <xf numFmtId="164" fontId="44" fillId="0" borderId="16" xfId="0" applyNumberFormat="1" applyFont="1" applyBorder="1" applyAlignment="1">
      <alignment horizontal="center" vertical="center"/>
    </xf>
    <xf numFmtId="0" fontId="38" fillId="0" borderId="0" xfId="0" applyFont="1"/>
    <xf numFmtId="164" fontId="31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left" vertical="center" wrapText="1"/>
    </xf>
    <xf numFmtId="0" fontId="40" fillId="0" borderId="16" xfId="0" applyFont="1" applyBorder="1" applyAlignment="1">
      <alignment horizontal="center" vertical="center"/>
    </xf>
    <xf numFmtId="0" fontId="5" fillId="0" borderId="7" xfId="0" applyFont="1" applyBorder="1"/>
    <xf numFmtId="0" fontId="44" fillId="0" borderId="0" xfId="0" applyFont="1" applyAlignment="1">
      <alignment horizontal="center" vertical="center" wrapText="1"/>
    </xf>
    <xf numFmtId="0" fontId="40" fillId="0" borderId="0" xfId="0" applyFont="1" applyAlignment="1">
      <alignment horizontal="right" vertical="center"/>
    </xf>
    <xf numFmtId="0" fontId="40" fillId="0" borderId="35" xfId="0" applyFont="1" applyBorder="1" applyAlignment="1">
      <alignment horizontal="center" wrapText="1"/>
    </xf>
    <xf numFmtId="0" fontId="40" fillId="0" borderId="0" xfId="0" applyFont="1" applyAlignment="1">
      <alignment vertical="center" wrapText="1"/>
    </xf>
    <xf numFmtId="0" fontId="40" fillId="0" borderId="0" xfId="0" applyFont="1" applyAlignment="1">
      <alignment wrapText="1"/>
    </xf>
    <xf numFmtId="0" fontId="45" fillId="0" borderId="0" xfId="0" applyFont="1" applyAlignment="1">
      <alignment vertical="center"/>
    </xf>
    <xf numFmtId="0" fontId="45" fillId="0" borderId="59" xfId="0" applyFont="1" applyBorder="1" applyAlignment="1">
      <alignment vertical="center"/>
    </xf>
    <xf numFmtId="0" fontId="40" fillId="0" borderId="45" xfId="0" applyFont="1" applyBorder="1" applyAlignment="1">
      <alignment horizontal="center"/>
    </xf>
    <xf numFmtId="164" fontId="44" fillId="0" borderId="45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right" vertical="center"/>
    </xf>
    <xf numFmtId="0" fontId="31" fillId="0" borderId="11" xfId="0" applyFont="1" applyBorder="1" applyAlignment="1">
      <alignment vertical="center"/>
    </xf>
    <xf numFmtId="0" fontId="40" fillId="0" borderId="47" xfId="0" applyFont="1" applyBorder="1" applyAlignment="1">
      <alignment vertical="center"/>
    </xf>
    <xf numFmtId="0" fontId="40" fillId="0" borderId="47" xfId="0" applyFont="1" applyBorder="1" applyAlignment="1">
      <alignment horizontal="right" vertical="center"/>
    </xf>
    <xf numFmtId="164" fontId="31" fillId="0" borderId="16" xfId="0" applyNumberFormat="1" applyFont="1" applyBorder="1" applyAlignment="1">
      <alignment horizontal="center" vertical="center"/>
    </xf>
    <xf numFmtId="164" fontId="34" fillId="14" borderId="16" xfId="0" applyNumberFormat="1" applyFont="1" applyFill="1" applyBorder="1" applyAlignment="1">
      <alignment horizontal="center"/>
    </xf>
    <xf numFmtId="2" fontId="31" fillId="14" borderId="16" xfId="0" applyNumberFormat="1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31" fillId="14" borderId="16" xfId="0" applyFont="1" applyFill="1" applyBorder="1"/>
    <xf numFmtId="0" fontId="44" fillId="0" borderId="11" xfId="0" applyFont="1" applyBorder="1" applyAlignment="1">
      <alignment vertical="center"/>
    </xf>
    <xf numFmtId="0" fontId="44" fillId="13" borderId="21" xfId="0" applyFont="1" applyFill="1" applyBorder="1" applyAlignment="1">
      <alignment horizontal="center" vertical="center" wrapText="1"/>
    </xf>
    <xf numFmtId="2" fontId="31" fillId="0" borderId="16" xfId="0" applyNumberFormat="1" applyFont="1" applyBorder="1" applyAlignment="1">
      <alignment horizontal="center"/>
    </xf>
    <xf numFmtId="0" fontId="31" fillId="14" borderId="16" xfId="0" applyFont="1" applyFill="1" applyBorder="1" applyAlignment="1">
      <alignment horizontal="center"/>
    </xf>
    <xf numFmtId="2" fontId="31" fillId="14" borderId="16" xfId="0" applyNumberFormat="1" applyFont="1" applyFill="1" applyBorder="1" applyAlignment="1">
      <alignment horizontal="center" vertical="center"/>
    </xf>
    <xf numFmtId="0" fontId="44" fillId="0" borderId="59" xfId="0" applyFont="1" applyBorder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31" fillId="0" borderId="45" xfId="0" applyFont="1" applyBorder="1" applyAlignment="1">
      <alignment horizontal="center"/>
    </xf>
    <xf numFmtId="2" fontId="31" fillId="0" borderId="45" xfId="0" applyNumberFormat="1" applyFont="1" applyBorder="1" applyAlignment="1">
      <alignment horizontal="center"/>
    </xf>
    <xf numFmtId="2" fontId="31" fillId="0" borderId="45" xfId="0" applyNumberFormat="1" applyFont="1" applyBorder="1" applyAlignment="1">
      <alignment horizontal="center" vertical="center"/>
    </xf>
    <xf numFmtId="164" fontId="31" fillId="14" borderId="16" xfId="0" applyNumberFormat="1" applyFont="1" applyFill="1" applyBorder="1" applyAlignment="1">
      <alignment horizontal="center"/>
    </xf>
    <xf numFmtId="0" fontId="31" fillId="0" borderId="0" xfId="0" applyFont="1" applyAlignment="1">
      <alignment horizontal="center" wrapText="1"/>
    </xf>
    <xf numFmtId="2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2" fontId="31" fillId="0" borderId="0" xfId="0" applyNumberFormat="1" applyFont="1" applyAlignment="1">
      <alignment horizontal="center" vertical="center"/>
    </xf>
    <xf numFmtId="0" fontId="0" fillId="0" borderId="45" xfId="0" applyBorder="1"/>
    <xf numFmtId="0" fontId="31" fillId="14" borderId="35" xfId="0" applyFont="1" applyFill="1" applyBorder="1" applyAlignment="1">
      <alignment horizontal="left"/>
    </xf>
    <xf numFmtId="0" fontId="31" fillId="14" borderId="22" xfId="0" applyFont="1" applyFill="1" applyBorder="1" applyAlignment="1">
      <alignment horizontal="left"/>
    </xf>
    <xf numFmtId="0" fontId="31" fillId="14" borderId="35" xfId="0" applyFont="1" applyFill="1" applyBorder="1" applyAlignment="1">
      <alignment horizontal="center"/>
    </xf>
    <xf numFmtId="0" fontId="31" fillId="14" borderId="22" xfId="0" applyFont="1" applyFill="1" applyBorder="1" applyAlignment="1">
      <alignment horizontal="center"/>
    </xf>
    <xf numFmtId="0" fontId="44" fillId="0" borderId="0" xfId="0" applyFont="1" applyAlignment="1">
      <alignment horizontal="right" vertical="center" wrapText="1"/>
    </xf>
    <xf numFmtId="0" fontId="31" fillId="0" borderId="0" xfId="0" applyFont="1" applyAlignment="1">
      <alignment horizontal="center" vertical="center"/>
    </xf>
    <xf numFmtId="165" fontId="31" fillId="14" borderId="16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left"/>
    </xf>
    <xf numFmtId="0" fontId="31" fillId="0" borderId="48" xfId="0" applyFont="1" applyBorder="1" applyAlignment="1">
      <alignment horizontal="center"/>
    </xf>
    <xf numFmtId="0" fontId="44" fillId="0" borderId="0" xfId="0" applyFont="1" applyAlignment="1">
      <alignment horizontal="center" wrapText="1"/>
    </xf>
    <xf numFmtId="0" fontId="31" fillId="0" borderId="0" xfId="0" applyFont="1" applyAlignment="1">
      <alignment wrapText="1"/>
    </xf>
    <xf numFmtId="165" fontId="31" fillId="0" borderId="0" xfId="0" applyNumberFormat="1" applyFont="1" applyAlignment="1">
      <alignment horizontal="center" vertical="center"/>
    </xf>
    <xf numFmtId="164" fontId="31" fillId="14" borderId="16" xfId="0" applyNumberFormat="1" applyFont="1" applyFill="1" applyBorder="1"/>
    <xf numFmtId="164" fontId="31" fillId="0" borderId="16" xfId="0" applyNumberFormat="1" applyFont="1" applyBorder="1"/>
    <xf numFmtId="0" fontId="44" fillId="0" borderId="0" xfId="0" applyFont="1" applyAlignment="1">
      <alignment horizontal="center"/>
    </xf>
    <xf numFmtId="2" fontId="44" fillId="0" borderId="0" xfId="0" applyNumberFormat="1" applyFont="1"/>
    <xf numFmtId="2" fontId="44" fillId="0" borderId="0" xfId="0" applyNumberFormat="1" applyFont="1" applyAlignment="1">
      <alignment horizontal="center"/>
    </xf>
    <xf numFmtId="0" fontId="44" fillId="0" borderId="0" xfId="0" applyFont="1"/>
    <xf numFmtId="0" fontId="44" fillId="0" borderId="0" xfId="0" applyFont="1" applyAlignment="1">
      <alignment horizontal="right"/>
    </xf>
    <xf numFmtId="0" fontId="31" fillId="0" borderId="16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1" fillId="13" borderId="8" xfId="0" applyFont="1" applyFill="1" applyBorder="1" applyAlignment="1">
      <alignment horizontal="center" vertical="center" wrapText="1"/>
    </xf>
    <xf numFmtId="0" fontId="31" fillId="0" borderId="3" xfId="0" applyFont="1" applyBorder="1"/>
    <xf numFmtId="0" fontId="44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wrapText="1"/>
    </xf>
    <xf numFmtId="0" fontId="31" fillId="0" borderId="11" xfId="0" applyFont="1" applyBorder="1" applyAlignment="1">
      <alignment horizontal="center" wrapText="1"/>
    </xf>
    <xf numFmtId="2" fontId="31" fillId="0" borderId="10" xfId="0" applyNumberFormat="1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7" fillId="0" borderId="11" xfId="1" applyFont="1" applyBorder="1" applyAlignment="1" applyProtection="1">
      <alignment horizontal="center" vertical="center"/>
    </xf>
    <xf numFmtId="0" fontId="31" fillId="0" borderId="5" xfId="0" applyFont="1" applyBorder="1"/>
    <xf numFmtId="0" fontId="44" fillId="0" borderId="59" xfId="0" applyFont="1" applyBorder="1" applyAlignment="1">
      <alignment horizontal="center" vertical="center" wrapText="1"/>
    </xf>
    <xf numFmtId="0" fontId="44" fillId="0" borderId="0" xfId="0" applyFont="1" applyAlignment="1">
      <alignment vertical="center" wrapText="1"/>
    </xf>
    <xf numFmtId="0" fontId="31" fillId="13" borderId="21" xfId="0" applyFont="1" applyFill="1" applyBorder="1" applyAlignment="1">
      <alignment horizontal="center" vertical="center" wrapText="1"/>
    </xf>
    <xf numFmtId="2" fontId="31" fillId="14" borderId="16" xfId="0" applyNumberFormat="1" applyFont="1" applyFill="1" applyBorder="1" applyAlignment="1">
      <alignment horizontal="center" wrapText="1"/>
    </xf>
    <xf numFmtId="165" fontId="31" fillId="14" borderId="16" xfId="0" applyNumberFormat="1" applyFont="1" applyFill="1" applyBorder="1" applyAlignment="1">
      <alignment horizontal="center"/>
    </xf>
    <xf numFmtId="0" fontId="21" fillId="14" borderId="12" xfId="0" applyFont="1" applyFill="1" applyBorder="1" applyAlignment="1">
      <alignment horizontal="center"/>
    </xf>
    <xf numFmtId="0" fontId="21" fillId="14" borderId="13" xfId="0" applyFont="1" applyFill="1" applyBorder="1" applyAlignment="1">
      <alignment horizontal="center"/>
    </xf>
    <xf numFmtId="0" fontId="21" fillId="14" borderId="14" xfId="0" applyFont="1" applyFill="1" applyBorder="1" applyAlignment="1">
      <alignment horizontal="center"/>
    </xf>
    <xf numFmtId="0" fontId="21" fillId="14" borderId="18" xfId="0" applyFont="1" applyFill="1" applyBorder="1" applyAlignment="1">
      <alignment horizontal="center"/>
    </xf>
    <xf numFmtId="0" fontId="21" fillId="14" borderId="19" xfId="0" applyFont="1" applyFill="1" applyBorder="1" applyAlignment="1">
      <alignment horizontal="center"/>
    </xf>
    <xf numFmtId="0" fontId="21" fillId="14" borderId="20" xfId="0" applyFont="1" applyFill="1" applyBorder="1" applyAlignment="1">
      <alignment horizontal="center"/>
    </xf>
    <xf numFmtId="2" fontId="21" fillId="14" borderId="12" xfId="0" applyNumberFormat="1" applyFont="1" applyFill="1" applyBorder="1" applyAlignment="1">
      <alignment horizontal="center"/>
    </xf>
    <xf numFmtId="2" fontId="21" fillId="14" borderId="13" xfId="0" applyNumberFormat="1" applyFont="1" applyFill="1" applyBorder="1" applyAlignment="1">
      <alignment horizontal="center"/>
    </xf>
    <xf numFmtId="2" fontId="21" fillId="14" borderId="14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21" fillId="14" borderId="15" xfId="0" applyFont="1" applyFill="1" applyBorder="1" applyAlignment="1">
      <alignment horizontal="center"/>
    </xf>
    <xf numFmtId="0" fontId="21" fillId="14" borderId="16" xfId="0" applyFont="1" applyFill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/>
    </xf>
    <xf numFmtId="0" fontId="21" fillId="14" borderId="62" xfId="0" applyFont="1" applyFill="1" applyBorder="1" applyAlignment="1">
      <alignment horizontal="center"/>
    </xf>
    <xf numFmtId="0" fontId="21" fillId="14" borderId="63" xfId="0" applyFont="1" applyFill="1" applyBorder="1" applyAlignment="1">
      <alignment horizontal="center"/>
    </xf>
    <xf numFmtId="0" fontId="17" fillId="14" borderId="15" xfId="0" applyFont="1" applyFill="1" applyBorder="1" applyAlignment="1">
      <alignment horizontal="center"/>
    </xf>
    <xf numFmtId="0" fontId="17" fillId="14" borderId="16" xfId="0" applyFont="1" applyFill="1" applyBorder="1" applyAlignment="1">
      <alignment horizontal="center"/>
    </xf>
    <xf numFmtId="0" fontId="23" fillId="14" borderId="15" xfId="0" applyFont="1" applyFill="1" applyBorder="1" applyAlignment="1">
      <alignment horizontal="center"/>
    </xf>
    <xf numFmtId="0" fontId="17" fillId="14" borderId="17" xfId="0" applyFont="1" applyFill="1" applyBorder="1" applyAlignment="1">
      <alignment horizontal="center"/>
    </xf>
    <xf numFmtId="0" fontId="17" fillId="14" borderId="64" xfId="0" applyFont="1" applyFill="1" applyBorder="1" applyAlignment="1">
      <alignment horizontal="center"/>
    </xf>
    <xf numFmtId="0" fontId="17" fillId="14" borderId="65" xfId="0" applyFont="1" applyFill="1" applyBorder="1" applyAlignment="1">
      <alignment horizontal="center"/>
    </xf>
    <xf numFmtId="2" fontId="12" fillId="14" borderId="65" xfId="0" applyNumberFormat="1" applyFont="1" applyFill="1" applyBorder="1" applyAlignment="1">
      <alignment horizontal="center"/>
    </xf>
    <xf numFmtId="2" fontId="12" fillId="14" borderId="66" xfId="0" applyNumberFormat="1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14" borderId="1" xfId="0" applyNumberFormat="1" applyFont="1" applyFill="1" applyBorder="1" applyAlignment="1">
      <alignment horizontal="center"/>
    </xf>
    <xf numFmtId="2" fontId="23" fillId="14" borderId="1" xfId="0" applyNumberFormat="1" applyFont="1" applyFill="1" applyBorder="1" applyAlignment="1">
      <alignment horizontal="center"/>
    </xf>
    <xf numFmtId="2" fontId="23" fillId="14" borderId="50" xfId="0" applyNumberFormat="1" applyFont="1" applyFill="1" applyBorder="1" applyAlignment="1">
      <alignment horizontal="center"/>
    </xf>
    <xf numFmtId="0" fontId="21" fillId="0" borderId="50" xfId="0" applyFont="1" applyBorder="1" applyAlignment="1">
      <alignment horizontal="center"/>
    </xf>
    <xf numFmtId="2" fontId="12" fillId="0" borderId="54" xfId="0" applyNumberFormat="1" applyFont="1" applyBorder="1" applyAlignment="1">
      <alignment horizontal="center"/>
    </xf>
    <xf numFmtId="0" fontId="35" fillId="13" borderId="1" xfId="0" applyFont="1" applyFill="1" applyBorder="1" applyAlignment="1">
      <alignment horizontal="center" vertical="center"/>
    </xf>
    <xf numFmtId="164" fontId="35" fillId="13" borderId="1" xfId="0" applyNumberFormat="1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1" fillId="0" borderId="3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1" fillId="15" borderId="16" xfId="0" applyNumberFormat="1" applyFont="1" applyFill="1" applyBorder="1" applyAlignment="1">
      <alignment horizontal="center" vertical="center"/>
    </xf>
    <xf numFmtId="2" fontId="31" fillId="15" borderId="16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2" xfId="0" applyFont="1" applyBorder="1" applyAlignment="1">
      <alignment horizontal="right" vertical="center"/>
    </xf>
    <xf numFmtId="0" fontId="31" fillId="0" borderId="2" xfId="0" applyFont="1" applyBorder="1" applyAlignment="1">
      <alignment horizontal="center" vertical="center"/>
    </xf>
    <xf numFmtId="164" fontId="31" fillId="0" borderId="2" xfId="0" applyNumberFormat="1" applyFont="1" applyBorder="1" applyAlignment="1">
      <alignment horizontal="center" vertical="center"/>
    </xf>
    <xf numFmtId="164" fontId="31" fillId="0" borderId="2" xfId="0" applyNumberFormat="1" applyFont="1" applyBorder="1" applyAlignment="1">
      <alignment horizontal="left" vertical="center"/>
    </xf>
    <xf numFmtId="0" fontId="37" fillId="0" borderId="6" xfId="1" applyFont="1" applyBorder="1" applyAlignment="1" applyProtection="1">
      <alignment horizontal="center" vertical="center"/>
    </xf>
    <xf numFmtId="0" fontId="40" fillId="0" borderId="0" xfId="0" applyFont="1" applyAlignment="1">
      <alignment horizontal="center" vertical="center"/>
    </xf>
    <xf numFmtId="2" fontId="44" fillId="0" borderId="0" xfId="0" applyNumberFormat="1" applyFont="1" applyAlignment="1">
      <alignment horizontal="right"/>
    </xf>
    <xf numFmtId="0" fontId="35" fillId="0" borderId="0" xfId="0" applyFont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2" fontId="40" fillId="0" borderId="0" xfId="0" applyNumberFormat="1" applyFont="1" applyAlignment="1">
      <alignment horizontal="center" vertical="center"/>
    </xf>
    <xf numFmtId="2" fontId="40" fillId="0" borderId="0" xfId="0" applyNumberFormat="1" applyFont="1" applyAlignment="1">
      <alignment horizontal="center"/>
    </xf>
    <xf numFmtId="2" fontId="44" fillId="14" borderId="16" xfId="0" applyNumberFormat="1" applyFont="1" applyFill="1" applyBorder="1" applyAlignment="1">
      <alignment horizontal="center" wrapText="1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/>
    </xf>
    <xf numFmtId="2" fontId="44" fillId="0" borderId="16" xfId="0" applyNumberFormat="1" applyFont="1" applyBorder="1" applyAlignment="1">
      <alignment horizontal="center"/>
    </xf>
    <xf numFmtId="165" fontId="44" fillId="14" borderId="16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/>
    </xf>
    <xf numFmtId="2" fontId="55" fillId="14" borderId="16" xfId="0" applyNumberFormat="1" applyFont="1" applyFill="1" applyBorder="1" applyAlignment="1">
      <alignment horizontal="center" wrapText="1"/>
    </xf>
    <xf numFmtId="0" fontId="44" fillId="0" borderId="16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44" fillId="0" borderId="39" xfId="0" applyFont="1" applyBorder="1" applyAlignment="1">
      <alignment horizontal="center" vertical="center"/>
    </xf>
    <xf numFmtId="165" fontId="44" fillId="0" borderId="31" xfId="0" applyNumberFormat="1" applyFont="1" applyBorder="1" applyAlignment="1">
      <alignment horizontal="center" vertical="center"/>
    </xf>
    <xf numFmtId="164" fontId="44" fillId="0" borderId="0" xfId="0" applyNumberFormat="1" applyFont="1" applyAlignment="1">
      <alignment horizontal="center" vertical="center"/>
    </xf>
    <xf numFmtId="2" fontId="44" fillId="15" borderId="16" xfId="0" applyNumberFormat="1" applyFont="1" applyFill="1" applyBorder="1" applyAlignment="1">
      <alignment horizontal="center" vertical="center"/>
    </xf>
    <xf numFmtId="164" fontId="44" fillId="15" borderId="16" xfId="0" applyNumberFormat="1" applyFont="1" applyFill="1" applyBorder="1" applyAlignment="1">
      <alignment horizontal="center" vertical="center"/>
    </xf>
    <xf numFmtId="165" fontId="44" fillId="15" borderId="16" xfId="0" applyNumberFormat="1" applyFont="1" applyFill="1" applyBorder="1" applyAlignment="1">
      <alignment horizontal="center" vertical="center"/>
    </xf>
    <xf numFmtId="0" fontId="35" fillId="13" borderId="8" xfId="0" applyFont="1" applyFill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49" fontId="44" fillId="13" borderId="21" xfId="0" applyNumberFormat="1" applyFont="1" applyFill="1" applyBorder="1" applyAlignment="1">
      <alignment horizontal="center" vertical="center" wrapText="1"/>
    </xf>
    <xf numFmtId="0" fontId="23" fillId="0" borderId="8" xfId="0" applyFont="1" applyBorder="1"/>
    <xf numFmtId="0" fontId="23" fillId="0" borderId="9" xfId="0" applyFont="1" applyBorder="1"/>
    <xf numFmtId="0" fontId="23" fillId="0" borderId="1" xfId="0" applyFont="1" applyBorder="1"/>
    <xf numFmtId="0" fontId="21" fillId="15" borderId="38" xfId="0" applyFont="1" applyFill="1" applyBorder="1" applyAlignment="1">
      <alignment horizontal="center"/>
    </xf>
    <xf numFmtId="0" fontId="21" fillId="15" borderId="39" xfId="0" applyFont="1" applyFill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7" fillId="15" borderId="1" xfId="0" applyFont="1" applyFill="1" applyBorder="1"/>
    <xf numFmtId="0" fontId="21" fillId="0" borderId="67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1" fillId="0" borderId="68" xfId="0" applyFont="1" applyBorder="1" applyAlignment="1">
      <alignment horizontal="center"/>
    </xf>
    <xf numFmtId="0" fontId="21" fillId="0" borderId="69" xfId="0" applyFont="1" applyBorder="1" applyAlignment="1">
      <alignment horizontal="center"/>
    </xf>
    <xf numFmtId="0" fontId="21" fillId="0" borderId="70" xfId="0" applyFont="1" applyBorder="1" applyAlignment="1">
      <alignment horizontal="center"/>
    </xf>
    <xf numFmtId="0" fontId="24" fillId="0" borderId="71" xfId="0" applyFont="1" applyBorder="1" applyAlignment="1">
      <alignment horizontal="center"/>
    </xf>
    <xf numFmtId="0" fontId="12" fillId="0" borderId="72" xfId="0" applyFont="1" applyBorder="1" applyAlignment="1">
      <alignment horizontal="center"/>
    </xf>
    <xf numFmtId="0" fontId="23" fillId="0" borderId="72" xfId="0" applyFont="1" applyBorder="1" applyAlignment="1">
      <alignment horizontal="center"/>
    </xf>
    <xf numFmtId="0" fontId="12" fillId="0" borderId="73" xfId="0" applyFont="1" applyBorder="1" applyAlignment="1">
      <alignment horizontal="center"/>
    </xf>
    <xf numFmtId="0" fontId="58" fillId="14" borderId="16" xfId="0" applyFont="1" applyFill="1" applyBorder="1" applyAlignment="1">
      <alignment horizontal="center"/>
    </xf>
    <xf numFmtId="2" fontId="12" fillId="15" borderId="1" xfId="0" applyNumberFormat="1" applyFont="1" applyFill="1" applyBorder="1" applyAlignment="1">
      <alignment horizontal="center" vertical="center"/>
    </xf>
    <xf numFmtId="164" fontId="35" fillId="13" borderId="8" xfId="0" applyNumberFormat="1" applyFont="1" applyFill="1" applyBorder="1" applyAlignment="1">
      <alignment vertical="center"/>
    </xf>
    <xf numFmtId="0" fontId="60" fillId="0" borderId="0" xfId="0" applyFont="1"/>
    <xf numFmtId="0" fontId="61" fillId="0" borderId="0" xfId="0" applyFont="1" applyAlignment="1">
      <alignment horizontal="right"/>
    </xf>
    <xf numFmtId="0" fontId="34" fillId="12" borderId="16" xfId="0" quotePrefix="1" applyFont="1" applyFill="1" applyBorder="1" applyAlignment="1">
      <alignment horizontal="center"/>
    </xf>
    <xf numFmtId="49" fontId="31" fillId="17" borderId="8" xfId="0" applyNumberFormat="1" applyFont="1" applyFill="1" applyBorder="1" applyAlignment="1">
      <alignment horizontal="center" vertical="center" wrapText="1"/>
    </xf>
    <xf numFmtId="0" fontId="35" fillId="17" borderId="1" xfId="0" applyFont="1" applyFill="1" applyBorder="1" applyAlignment="1">
      <alignment horizontal="center" vertical="center"/>
    </xf>
    <xf numFmtId="164" fontId="35" fillId="17" borderId="1" xfId="0" applyNumberFormat="1" applyFont="1" applyFill="1" applyBorder="1" applyAlignment="1">
      <alignment horizontal="center" vertical="center"/>
    </xf>
    <xf numFmtId="2" fontId="31" fillId="18" borderId="16" xfId="0" applyNumberFormat="1" applyFont="1" applyFill="1" applyBorder="1" applyAlignment="1">
      <alignment horizontal="center" wrapText="1"/>
    </xf>
    <xf numFmtId="2" fontId="31" fillId="18" borderId="16" xfId="0" applyNumberFormat="1" applyFont="1" applyFill="1" applyBorder="1" applyAlignment="1">
      <alignment horizontal="center" vertical="center"/>
    </xf>
    <xf numFmtId="2" fontId="31" fillId="18" borderId="16" xfId="0" applyNumberFormat="1" applyFont="1" applyFill="1" applyBorder="1" applyAlignment="1">
      <alignment horizontal="center"/>
    </xf>
    <xf numFmtId="165" fontId="31" fillId="18" borderId="16" xfId="0" applyNumberFormat="1" applyFont="1" applyFill="1" applyBorder="1" applyAlignment="1">
      <alignment horizontal="center" vertical="center"/>
    </xf>
    <xf numFmtId="164" fontId="31" fillId="18" borderId="16" xfId="0" applyNumberFormat="1" applyFont="1" applyFill="1" applyBorder="1" applyAlignment="1">
      <alignment horizontal="center"/>
    </xf>
    <xf numFmtId="0" fontId="31" fillId="18" borderId="16" xfId="0" applyFont="1" applyFill="1" applyBorder="1" applyAlignment="1">
      <alignment horizontal="center"/>
    </xf>
    <xf numFmtId="165" fontId="31" fillId="18" borderId="16" xfId="0" applyNumberFormat="1" applyFont="1" applyFill="1" applyBorder="1" applyAlignment="1">
      <alignment horizontal="center"/>
    </xf>
    <xf numFmtId="0" fontId="61" fillId="0" borderId="0" xfId="0" applyFont="1"/>
    <xf numFmtId="0" fontId="61" fillId="0" borderId="7" xfId="0" applyFont="1" applyBorder="1"/>
    <xf numFmtId="0" fontId="61" fillId="0" borderId="4" xfId="0" applyFont="1" applyBorder="1"/>
    <xf numFmtId="0" fontId="61" fillId="0" borderId="11" xfId="0" applyFont="1" applyBorder="1"/>
    <xf numFmtId="0" fontId="61" fillId="0" borderId="0" xfId="0" applyFont="1" applyAlignment="1">
      <alignment horizontal="center" vertical="center" wrapText="1"/>
    </xf>
    <xf numFmtId="164" fontId="61" fillId="0" borderId="16" xfId="0" applyNumberFormat="1" applyFont="1" applyBorder="1" applyAlignment="1">
      <alignment horizontal="center"/>
    </xf>
    <xf numFmtId="0" fontId="65" fillId="0" borderId="0" xfId="0" applyFont="1"/>
    <xf numFmtId="0" fontId="61" fillId="0" borderId="10" xfId="0" applyFont="1" applyBorder="1"/>
    <xf numFmtId="0" fontId="21" fillId="17" borderId="1" xfId="0" applyFont="1" applyFill="1" applyBorder="1" applyAlignment="1">
      <alignment horizontal="center" vertical="center"/>
    </xf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center"/>
    </xf>
    <xf numFmtId="164" fontId="61" fillId="18" borderId="16" xfId="0" applyNumberFormat="1" applyFont="1" applyFill="1" applyBorder="1" applyAlignment="1">
      <alignment horizontal="center"/>
    </xf>
    <xf numFmtId="2" fontId="61" fillId="18" borderId="16" xfId="0" applyNumberFormat="1" applyFont="1" applyFill="1" applyBorder="1" applyAlignment="1">
      <alignment horizontal="center"/>
    </xf>
    <xf numFmtId="0" fontId="61" fillId="0" borderId="0" xfId="0" applyFont="1" applyAlignment="1">
      <alignment horizontal="center" vertical="center"/>
    </xf>
    <xf numFmtId="164" fontId="61" fillId="14" borderId="16" xfId="0" applyNumberFormat="1" applyFont="1" applyFill="1" applyBorder="1" applyAlignment="1">
      <alignment horizontal="center"/>
    </xf>
    <xf numFmtId="0" fontId="61" fillId="0" borderId="3" xfId="0" applyFont="1" applyBorder="1"/>
    <xf numFmtId="0" fontId="51" fillId="0" borderId="10" xfId="0" applyFont="1" applyBorder="1" applyAlignment="1">
      <alignment horizontal="center" vertical="center" wrapText="1"/>
    </xf>
    <xf numFmtId="49" fontId="61" fillId="17" borderId="8" xfId="0" applyNumberFormat="1" applyFont="1" applyFill="1" applyBorder="1" applyAlignment="1">
      <alignment horizontal="center" vertical="center" wrapText="1"/>
    </xf>
    <xf numFmtId="0" fontId="61" fillId="0" borderId="10" xfId="0" applyFont="1" applyBorder="1" applyAlignment="1">
      <alignment horizontal="center" vertical="center" wrapText="1"/>
    </xf>
    <xf numFmtId="0" fontId="61" fillId="0" borderId="10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0" xfId="0" applyFont="1" applyAlignment="1">
      <alignment horizontal="center" wrapText="1"/>
    </xf>
    <xf numFmtId="0" fontId="61" fillId="0" borderId="11" xfId="0" applyFont="1" applyBorder="1" applyAlignment="1">
      <alignment horizontal="center" wrapText="1"/>
    </xf>
    <xf numFmtId="164" fontId="61" fillId="18" borderId="16" xfId="0" applyNumberFormat="1" applyFont="1" applyFill="1" applyBorder="1" applyAlignment="1">
      <alignment horizontal="center" wrapText="1"/>
    </xf>
    <xf numFmtId="2" fontId="61" fillId="0" borderId="10" xfId="0" applyNumberFormat="1" applyFont="1" applyBorder="1" applyAlignment="1">
      <alignment horizontal="center"/>
    </xf>
    <xf numFmtId="2" fontId="51" fillId="0" borderId="0" xfId="0" applyNumberFormat="1" applyFont="1"/>
    <xf numFmtId="2" fontId="61" fillId="0" borderId="0" xfId="0" applyNumberFormat="1" applyFont="1" applyAlignment="1">
      <alignment horizontal="center" vertical="center"/>
    </xf>
    <xf numFmtId="2" fontId="61" fillId="18" borderId="16" xfId="0" applyNumberFormat="1" applyFont="1" applyFill="1" applyBorder="1" applyAlignment="1">
      <alignment horizontal="center" vertical="center"/>
    </xf>
    <xf numFmtId="2" fontId="51" fillId="0" borderId="0" xfId="0" applyNumberFormat="1" applyFont="1" applyAlignment="1">
      <alignment horizontal="center"/>
    </xf>
    <xf numFmtId="2" fontId="61" fillId="0" borderId="0" xfId="0" applyNumberFormat="1" applyFont="1" applyAlignment="1">
      <alignment horizontal="center"/>
    </xf>
    <xf numFmtId="0" fontId="51" fillId="0" borderId="0" xfId="0" applyFont="1"/>
    <xf numFmtId="2" fontId="61" fillId="0" borderId="16" xfId="0" applyNumberFormat="1" applyFont="1" applyBorder="1" applyAlignment="1">
      <alignment horizontal="center"/>
    </xf>
    <xf numFmtId="0" fontId="51" fillId="0" borderId="0" xfId="0" applyFont="1" applyAlignment="1">
      <alignment horizontal="center"/>
    </xf>
    <xf numFmtId="165" fontId="61" fillId="18" borderId="16" xfId="0" applyNumberFormat="1" applyFont="1" applyFill="1" applyBorder="1" applyAlignment="1">
      <alignment horizontal="center" vertical="center"/>
    </xf>
    <xf numFmtId="165" fontId="61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center" wrapText="1"/>
    </xf>
    <xf numFmtId="0" fontId="65" fillId="0" borderId="10" xfId="0" applyFont="1" applyBorder="1" applyAlignment="1">
      <alignment horizontal="right" vertical="center"/>
    </xf>
    <xf numFmtId="0" fontId="61" fillId="0" borderId="16" xfId="0" applyFont="1" applyBorder="1" applyAlignment="1">
      <alignment horizontal="center"/>
    </xf>
    <xf numFmtId="0" fontId="61" fillId="0" borderId="48" xfId="0" applyFont="1" applyBorder="1" applyAlignment="1">
      <alignment horizontal="center"/>
    </xf>
    <xf numFmtId="0" fontId="61" fillId="0" borderId="11" xfId="0" applyFont="1" applyBorder="1" applyAlignment="1">
      <alignment horizontal="center"/>
    </xf>
    <xf numFmtId="0" fontId="61" fillId="14" borderId="16" xfId="0" applyFont="1" applyFill="1" applyBorder="1"/>
    <xf numFmtId="164" fontId="61" fillId="14" borderId="16" xfId="0" applyNumberFormat="1" applyFont="1" applyFill="1" applyBorder="1"/>
    <xf numFmtId="164" fontId="61" fillId="0" borderId="16" xfId="0" applyNumberFormat="1" applyFont="1" applyBorder="1"/>
    <xf numFmtId="0" fontId="61" fillId="0" borderId="0" xfId="0" applyFont="1" applyAlignment="1">
      <alignment horizontal="left"/>
    </xf>
    <xf numFmtId="0" fontId="51" fillId="0" borderId="0" xfId="0" applyFont="1" applyAlignment="1">
      <alignment horizontal="center" vertical="center"/>
    </xf>
    <xf numFmtId="0" fontId="61" fillId="0" borderId="16" xfId="0" applyFont="1" applyBorder="1" applyAlignment="1">
      <alignment horizontal="center" vertical="center"/>
    </xf>
    <xf numFmtId="0" fontId="61" fillId="0" borderId="39" xfId="0" applyFont="1" applyBorder="1" applyAlignment="1">
      <alignment horizontal="center" vertical="center"/>
    </xf>
    <xf numFmtId="164" fontId="61" fillId="0" borderId="16" xfId="0" applyNumberFormat="1" applyFont="1" applyBorder="1" applyAlignment="1">
      <alignment horizontal="center" vertical="center"/>
    </xf>
    <xf numFmtId="0" fontId="66" fillId="0" borderId="11" xfId="1" applyFont="1" applyBorder="1" applyAlignment="1" applyProtection="1">
      <alignment horizontal="center" vertical="center"/>
    </xf>
    <xf numFmtId="0" fontId="61" fillId="0" borderId="0" xfId="0" applyFont="1" applyAlignment="1">
      <alignment horizontal="right" vertical="center"/>
    </xf>
    <xf numFmtId="164" fontId="61" fillId="0" borderId="0" xfId="0" applyNumberFormat="1" applyFont="1" applyAlignment="1">
      <alignment horizontal="center" vertical="center"/>
    </xf>
    <xf numFmtId="164" fontId="61" fillId="0" borderId="0" xfId="0" applyNumberFormat="1" applyFont="1" applyAlignment="1">
      <alignment horizontal="left" vertical="center"/>
    </xf>
    <xf numFmtId="164" fontId="61" fillId="15" borderId="16" xfId="0" applyNumberFormat="1" applyFont="1" applyFill="1" applyBorder="1" applyAlignment="1">
      <alignment horizontal="center" vertical="center"/>
    </xf>
    <xf numFmtId="2" fontId="61" fillId="15" borderId="16" xfId="0" applyNumberFormat="1" applyFont="1" applyFill="1" applyBorder="1" applyAlignment="1">
      <alignment horizontal="center" vertical="center"/>
    </xf>
    <xf numFmtId="164" fontId="61" fillId="18" borderId="16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/>
    </xf>
    <xf numFmtId="164" fontId="21" fillId="17" borderId="1" xfId="0" applyNumberFormat="1" applyFont="1" applyFill="1" applyBorder="1" applyAlignment="1">
      <alignment horizontal="center" vertical="center"/>
    </xf>
    <xf numFmtId="0" fontId="61" fillId="0" borderId="5" xfId="0" applyFont="1" applyBorder="1" applyAlignment="1">
      <alignment horizontal="center"/>
    </xf>
    <xf numFmtId="0" fontId="61" fillId="0" borderId="2" xfId="0" applyFont="1" applyBorder="1" applyAlignment="1">
      <alignment horizontal="right" vertical="center"/>
    </xf>
    <xf numFmtId="0" fontId="61" fillId="0" borderId="2" xfId="0" applyFont="1" applyBorder="1" applyAlignment="1">
      <alignment horizontal="center" vertical="center"/>
    </xf>
    <xf numFmtId="164" fontId="61" fillId="0" borderId="2" xfId="0" applyNumberFormat="1" applyFont="1" applyBorder="1" applyAlignment="1">
      <alignment horizontal="center" vertical="center"/>
    </xf>
    <xf numFmtId="164" fontId="61" fillId="0" borderId="2" xfId="0" applyNumberFormat="1" applyFont="1" applyBorder="1" applyAlignment="1">
      <alignment horizontal="left" vertical="center"/>
    </xf>
    <xf numFmtId="0" fontId="66" fillId="0" borderId="6" xfId="1" applyFont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70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49" fontId="2" fillId="17" borderId="2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3" fillId="0" borderId="16" xfId="0" applyFont="1" applyBorder="1" applyAlignment="1">
      <alignment horizontal="center"/>
    </xf>
    <xf numFmtId="0" fontId="73" fillId="0" borderId="0" xfId="0" applyFont="1"/>
    <xf numFmtId="0" fontId="73" fillId="0" borderId="10" xfId="0" applyFont="1" applyBorder="1" applyAlignment="1">
      <alignment horizontal="right"/>
    </xf>
    <xf numFmtId="164" fontId="76" fillId="18" borderId="16" xfId="0" applyNumberFormat="1" applyFont="1" applyFill="1" applyBorder="1" applyAlignment="1">
      <alignment horizontal="center"/>
    </xf>
    <xf numFmtId="164" fontId="5" fillId="18" borderId="16" xfId="0" applyNumberFormat="1" applyFont="1" applyFill="1" applyBorder="1" applyAlignment="1">
      <alignment horizontal="center"/>
    </xf>
    <xf numFmtId="2" fontId="5" fillId="18" borderId="16" xfId="0" applyNumberFormat="1" applyFont="1" applyFill="1" applyBorder="1" applyAlignment="1">
      <alignment horizontal="center"/>
    </xf>
    <xf numFmtId="164" fontId="7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/>
    </xf>
    <xf numFmtId="1" fontId="17" fillId="17" borderId="1" xfId="0" applyNumberFormat="1" applyFont="1" applyFill="1" applyBorder="1" applyAlignment="1">
      <alignment horizontal="center" vertical="center"/>
    </xf>
    <xf numFmtId="0" fontId="78" fillId="0" borderId="0" xfId="1" applyFont="1" applyBorder="1" applyAlignment="1" applyProtection="1"/>
    <xf numFmtId="0" fontId="5" fillId="0" borderId="5" xfId="0" applyFont="1" applyBorder="1" applyAlignment="1">
      <alignment horizontal="center"/>
    </xf>
    <xf numFmtId="164" fontId="5" fillId="14" borderId="16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vertical="center" wrapText="1"/>
    </xf>
    <xf numFmtId="0" fontId="8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2" fontId="5" fillId="0" borderId="45" xfId="0" applyNumberFormat="1" applyFont="1" applyBorder="1" applyAlignment="1">
      <alignment horizontal="center" vertical="center"/>
    </xf>
    <xf numFmtId="0" fontId="72" fillId="0" borderId="0" xfId="0" applyFont="1"/>
    <xf numFmtId="0" fontId="73" fillId="0" borderId="0" xfId="0" applyFont="1" applyAlignment="1">
      <alignment vertical="center" wrapText="1"/>
    </xf>
    <xf numFmtId="0" fontId="86" fillId="0" borderId="0" xfId="0" applyFont="1" applyAlignment="1">
      <alignment vertical="center"/>
    </xf>
    <xf numFmtId="0" fontId="86" fillId="0" borderId="59" xfId="0" applyFont="1" applyBorder="1" applyAlignment="1">
      <alignment vertical="center"/>
    </xf>
    <xf numFmtId="0" fontId="73" fillId="0" borderId="45" xfId="0" applyFont="1" applyBorder="1" applyAlignment="1">
      <alignment horizontal="center"/>
    </xf>
    <xf numFmtId="0" fontId="73" fillId="0" borderId="0" xfId="0" applyFont="1" applyAlignment="1">
      <alignment wrapText="1"/>
    </xf>
    <xf numFmtId="164" fontId="2" fillId="0" borderId="16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3" fillId="0" borderId="0" xfId="0" applyFont="1" applyAlignment="1">
      <alignment horizontal="right" vertical="center"/>
    </xf>
    <xf numFmtId="0" fontId="73" fillId="0" borderId="10" xfId="0" applyFont="1" applyBorder="1"/>
    <xf numFmtId="0" fontId="73" fillId="0" borderId="16" xfId="0" applyFont="1" applyBorder="1" applyAlignment="1">
      <alignment horizontal="center" wrapText="1"/>
    </xf>
    <xf numFmtId="0" fontId="73" fillId="0" borderId="35" xfId="0" applyFont="1" applyBorder="1" applyAlignment="1">
      <alignment horizontal="center" wrapText="1"/>
    </xf>
    <xf numFmtId="0" fontId="76" fillId="18" borderId="16" xfId="0" applyFont="1" applyFill="1" applyBorder="1" applyAlignment="1">
      <alignment horizontal="center"/>
    </xf>
    <xf numFmtId="164" fontId="76" fillId="0" borderId="16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76" fillId="0" borderId="16" xfId="0" applyFont="1" applyBorder="1" applyAlignment="1">
      <alignment horizontal="center"/>
    </xf>
    <xf numFmtId="0" fontId="79" fillId="0" borderId="0" xfId="0" applyFont="1"/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1" xfId="0" applyFont="1" applyBorder="1" applyAlignment="1">
      <alignment vertical="center"/>
    </xf>
    <xf numFmtId="0" fontId="5" fillId="0" borderId="3" xfId="0" applyFont="1" applyBorder="1"/>
    <xf numFmtId="0" fontId="2" fillId="0" borderId="10" xfId="0" applyFont="1" applyBorder="1" applyAlignment="1">
      <alignment horizontal="center" vertical="center" wrapText="1"/>
    </xf>
    <xf numFmtId="49" fontId="5" fillId="17" borderId="8" xfId="0" applyNumberFormat="1" applyFont="1" applyFill="1" applyBorder="1" applyAlignment="1">
      <alignment horizontal="center" vertical="center" wrapText="1"/>
    </xf>
    <xf numFmtId="0" fontId="72" fillId="0" borderId="45" xfId="0" applyFont="1" applyBorder="1"/>
    <xf numFmtId="0" fontId="5" fillId="0" borderId="10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164" fontId="5" fillId="18" borderId="16" xfId="0" applyNumberFormat="1" applyFont="1" applyFill="1" applyBorder="1" applyAlignment="1">
      <alignment horizontal="center" wrapText="1"/>
    </xf>
    <xf numFmtId="2" fontId="5" fillId="0" borderId="10" xfId="0" applyNumberFormat="1" applyFont="1" applyBorder="1" applyAlignment="1">
      <alignment horizontal="center"/>
    </xf>
    <xf numFmtId="2" fontId="2" fillId="0" borderId="0" xfId="0" applyNumberFormat="1" applyFont="1"/>
    <xf numFmtId="2" fontId="5" fillId="0" borderId="0" xfId="0" applyNumberFormat="1" applyFont="1" applyAlignment="1">
      <alignment horizontal="center" vertical="center"/>
    </xf>
    <xf numFmtId="2" fontId="5" fillId="18" borderId="1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/>
    <xf numFmtId="2" fontId="5" fillId="0" borderId="16" xfId="0" applyNumberFormat="1" applyFont="1" applyBorder="1" applyAlignment="1">
      <alignment horizontal="center"/>
    </xf>
    <xf numFmtId="165" fontId="5" fillId="18" borderId="16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4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14" borderId="16" xfId="0" applyFont="1" applyFill="1" applyBorder="1"/>
    <xf numFmtId="164" fontId="5" fillId="14" borderId="16" xfId="0" applyNumberFormat="1" applyFont="1" applyFill="1" applyBorder="1"/>
    <xf numFmtId="164" fontId="5" fillId="0" borderId="16" xfId="0" applyNumberFormat="1" applyFont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78" fillId="0" borderId="11" xfId="1" applyFont="1" applyBorder="1" applyAlignment="1" applyProtection="1">
      <alignment horizontal="center" vertical="center"/>
    </xf>
    <xf numFmtId="0" fontId="5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15" borderId="16" xfId="0" applyNumberFormat="1" applyFont="1" applyFill="1" applyBorder="1" applyAlignment="1">
      <alignment horizontal="center" vertical="center"/>
    </xf>
    <xf numFmtId="2" fontId="5" fillId="15" borderId="16" xfId="0" applyNumberFormat="1" applyFont="1" applyFill="1" applyBorder="1" applyAlignment="1">
      <alignment horizontal="center" vertical="center"/>
    </xf>
    <xf numFmtId="164" fontId="5" fillId="18" borderId="16" xfId="0" applyNumberFormat="1" applyFont="1" applyFill="1" applyBorder="1" applyAlignment="1">
      <alignment horizontal="center" vertical="center"/>
    </xf>
    <xf numFmtId="0" fontId="79" fillId="0" borderId="0" xfId="0" applyFont="1" applyAlignment="1">
      <alignment horizontal="center"/>
    </xf>
    <xf numFmtId="164" fontId="17" fillId="17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left" vertical="center"/>
    </xf>
    <xf numFmtId="0" fontId="78" fillId="0" borderId="6" xfId="1" applyFont="1" applyBorder="1" applyAlignment="1" applyProtection="1">
      <alignment horizontal="center" vertical="center"/>
    </xf>
    <xf numFmtId="2" fontId="72" fillId="0" borderId="0" xfId="0" applyNumberFormat="1" applyFont="1"/>
    <xf numFmtId="0" fontId="72" fillId="0" borderId="7" xfId="0" applyFont="1" applyBorder="1"/>
    <xf numFmtId="0" fontId="2" fillId="0" borderId="1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2" fontId="5" fillId="0" borderId="0" xfId="0" applyNumberFormat="1" applyFont="1"/>
    <xf numFmtId="1" fontId="5" fillId="0" borderId="0" xfId="0" applyNumberFormat="1" applyFont="1" applyAlignment="1">
      <alignment horizontal="center"/>
    </xf>
    <xf numFmtId="0" fontId="76" fillId="18" borderId="16" xfId="0" quotePrefix="1" applyFont="1" applyFill="1" applyBorder="1" applyAlignment="1">
      <alignment horizontal="center"/>
    </xf>
    <xf numFmtId="0" fontId="12" fillId="19" borderId="4" xfId="0" applyFont="1" applyFill="1" applyBorder="1" applyAlignment="1">
      <alignment horizontal="center" vertical="center"/>
    </xf>
    <xf numFmtId="2" fontId="76" fillId="18" borderId="16" xfId="0" applyNumberFormat="1" applyFont="1" applyFill="1" applyBorder="1" applyAlignment="1">
      <alignment horizontal="center"/>
    </xf>
    <xf numFmtId="0" fontId="69" fillId="0" borderId="0" xfId="0" applyFont="1" applyAlignment="1">
      <alignment vertical="center" wrapText="1"/>
    </xf>
    <xf numFmtId="2" fontId="2" fillId="0" borderId="0" xfId="0" applyNumberFormat="1" applyFont="1" applyAlignment="1">
      <alignment horizontal="right"/>
    </xf>
    <xf numFmtId="0" fontId="73" fillId="0" borderId="0" xfId="0" applyFont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0" fontId="7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wrapText="1"/>
    </xf>
    <xf numFmtId="0" fontId="2" fillId="0" borderId="0" xfId="0" applyFont="1" applyAlignment="1">
      <alignment wrapText="1"/>
    </xf>
    <xf numFmtId="2" fontId="2" fillId="0" borderId="10" xfId="0" applyNumberFormat="1" applyFont="1" applyBorder="1" applyAlignment="1">
      <alignment horizontal="center"/>
    </xf>
    <xf numFmtId="0" fontId="84" fillId="0" borderId="0" xfId="0" applyFont="1" applyAlignment="1">
      <alignment vertical="center" wrapText="1"/>
    </xf>
    <xf numFmtId="0" fontId="93" fillId="0" borderId="0" xfId="0" applyFont="1"/>
    <xf numFmtId="0" fontId="5" fillId="4" borderId="0" xfId="0" applyFont="1" applyFill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3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0" fontId="72" fillId="0" borderId="0" xfId="0" applyFont="1" applyAlignment="1">
      <alignment horizontal="center"/>
    </xf>
    <xf numFmtId="0" fontId="72" fillId="0" borderId="1" xfId="0" applyFont="1" applyBorder="1" applyAlignment="1">
      <alignment horizontal="center" vertical="center"/>
    </xf>
    <xf numFmtId="2" fontId="72" fillId="0" borderId="1" xfId="0" applyNumberFormat="1" applyFont="1" applyBorder="1" applyAlignment="1">
      <alignment horizontal="center"/>
    </xf>
    <xf numFmtId="165" fontId="72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73" fillId="0" borderId="0" xfId="0" applyFont="1" applyAlignment="1">
      <alignment horizontal="center"/>
    </xf>
    <xf numFmtId="0" fontId="7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73" fillId="0" borderId="10" xfId="0" applyFont="1" applyBorder="1" applyAlignment="1">
      <alignment vertical="center"/>
    </xf>
    <xf numFmtId="0" fontId="73" fillId="0" borderId="50" xfId="0" applyFont="1" applyBorder="1" applyAlignment="1">
      <alignment horizontal="center" wrapText="1"/>
    </xf>
    <xf numFmtId="0" fontId="73" fillId="0" borderId="50" xfId="0" applyFont="1" applyBorder="1" applyAlignment="1">
      <alignment horizontal="center" vertical="center"/>
    </xf>
    <xf numFmtId="0" fontId="76" fillId="18" borderId="1" xfId="0" applyFont="1" applyFill="1" applyBorder="1" applyAlignment="1">
      <alignment horizontal="center"/>
    </xf>
    <xf numFmtId="164" fontId="76" fillId="18" borderId="1" xfId="0" applyNumberFormat="1" applyFont="1" applyFill="1" applyBorder="1" applyAlignment="1">
      <alignment horizontal="center"/>
    </xf>
    <xf numFmtId="164" fontId="76" fillId="0" borderId="1" xfId="0" applyNumberFormat="1" applyFont="1" applyBorder="1" applyAlignment="1">
      <alignment horizontal="center"/>
    </xf>
    <xf numFmtId="2" fontId="76" fillId="18" borderId="1" xfId="0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6" fillId="0" borderId="1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2" fontId="7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86" fillId="0" borderId="1" xfId="0" applyFont="1" applyBorder="1" applyAlignment="1">
      <alignment horizontal="center"/>
    </xf>
    <xf numFmtId="0" fontId="76" fillId="0" borderId="1" xfId="0" applyFont="1" applyBorder="1"/>
    <xf numFmtId="164" fontId="5" fillId="18" borderId="1" xfId="0" applyNumberFormat="1" applyFont="1" applyFill="1" applyBorder="1" applyAlignment="1">
      <alignment horizontal="center"/>
    </xf>
    <xf numFmtId="2" fontId="5" fillId="18" borderId="1" xfId="0" applyNumberFormat="1" applyFont="1" applyFill="1" applyBorder="1" applyAlignment="1">
      <alignment horizontal="center"/>
    </xf>
    <xf numFmtId="2" fontId="5" fillId="18" borderId="1" xfId="0" applyNumberFormat="1" applyFont="1" applyFill="1" applyBorder="1" applyAlignment="1">
      <alignment horizontal="center" vertical="center"/>
    </xf>
    <xf numFmtId="164" fontId="5" fillId="0" borderId="7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5" fillId="18" borderId="1" xfId="0" applyNumberFormat="1" applyFont="1" applyFill="1" applyBorder="1" applyAlignment="1">
      <alignment horizontal="center" vertical="center"/>
    </xf>
    <xf numFmtId="165" fontId="7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72" fillId="0" borderId="1" xfId="0" applyNumberFormat="1" applyFont="1" applyBorder="1" applyAlignment="1">
      <alignment horizontal="center" vertical="center"/>
    </xf>
    <xf numFmtId="49" fontId="5" fillId="17" borderId="1" xfId="0" applyNumberFormat="1" applyFont="1" applyFill="1" applyBorder="1" applyAlignment="1">
      <alignment horizontal="center" vertical="center" wrapText="1"/>
    </xf>
    <xf numFmtId="0" fontId="5" fillId="0" borderId="50" xfId="0" applyFont="1" applyBorder="1"/>
    <xf numFmtId="0" fontId="5" fillId="0" borderId="51" xfId="0" applyFont="1" applyBorder="1"/>
    <xf numFmtId="0" fontId="5" fillId="0" borderId="74" xfId="0" applyFont="1" applyBorder="1"/>
    <xf numFmtId="2" fontId="76" fillId="13" borderId="74" xfId="0" applyNumberFormat="1" applyFont="1" applyFill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61" fillId="0" borderId="50" xfId="0" applyFont="1" applyBorder="1"/>
    <xf numFmtId="0" fontId="61" fillId="0" borderId="51" xfId="0" applyFont="1" applyBorder="1"/>
    <xf numFmtId="0" fontId="0" fillId="0" borderId="0" xfId="0" applyAlignment="1">
      <alignment horizontal="center" vertical="center"/>
    </xf>
    <xf numFmtId="0" fontId="96" fillId="0" borderId="1" xfId="0" applyFont="1" applyBorder="1" applyAlignment="1">
      <alignment horizontal="center"/>
    </xf>
    <xf numFmtId="0" fontId="17" fillId="17" borderId="0" xfId="0" applyFont="1" applyFill="1"/>
    <xf numFmtId="0" fontId="98" fillId="20" borderId="0" xfId="0" applyFont="1" applyFill="1"/>
    <xf numFmtId="0" fontId="100" fillId="20" borderId="0" xfId="0" applyFont="1" applyFill="1"/>
    <xf numFmtId="49" fontId="2" fillId="17" borderId="1" xfId="0" applyNumberFormat="1" applyFont="1" applyFill="1" applyBorder="1" applyAlignment="1">
      <alignment horizontal="center" vertical="center" wrapText="1"/>
    </xf>
    <xf numFmtId="0" fontId="97" fillId="21" borderId="0" xfId="0" applyFont="1" applyFill="1"/>
    <xf numFmtId="0" fontId="17" fillId="21" borderId="0" xfId="0" applyFont="1" applyFill="1"/>
    <xf numFmtId="0" fontId="98" fillId="21" borderId="0" xfId="0" applyFont="1" applyFill="1" applyAlignment="1">
      <alignment horizontal="right"/>
    </xf>
    <xf numFmtId="0" fontId="72" fillId="21" borderId="0" xfId="0" applyFont="1" applyFill="1"/>
    <xf numFmtId="2" fontId="17" fillId="21" borderId="0" xfId="0" applyNumberFormat="1" applyFont="1" applyFill="1" applyAlignment="1">
      <alignment horizontal="center" vertical="center"/>
    </xf>
    <xf numFmtId="0" fontId="98" fillId="21" borderId="0" xfId="0" applyFont="1" applyFill="1"/>
    <xf numFmtId="0" fontId="99" fillId="21" borderId="0" xfId="0" applyFont="1" applyFill="1"/>
    <xf numFmtId="0" fontId="5" fillId="21" borderId="0" xfId="0" applyFont="1" applyFill="1"/>
    <xf numFmtId="2" fontId="98" fillId="21" borderId="0" xfId="0" applyNumberFormat="1" applyFont="1" applyFill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02" fillId="21" borderId="0" xfId="0" applyFont="1" applyFill="1"/>
    <xf numFmtId="0" fontId="0" fillId="0" borderId="57" xfId="0" applyBorder="1" applyAlignment="1">
      <alignment horizontal="center"/>
    </xf>
    <xf numFmtId="0" fontId="0" fillId="0" borderId="78" xfId="0" applyBorder="1" applyAlignment="1">
      <alignment horizontal="center"/>
    </xf>
    <xf numFmtId="0" fontId="2" fillId="0" borderId="79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 wrapText="1"/>
    </xf>
    <xf numFmtId="0" fontId="2" fillId="0" borderId="87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95" fillId="11" borderId="1" xfId="0" applyFont="1" applyFill="1" applyBorder="1"/>
    <xf numFmtId="0" fontId="95" fillId="11" borderId="50" xfId="0" applyFont="1" applyFill="1" applyBorder="1"/>
    <xf numFmtId="2" fontId="95" fillId="11" borderId="50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76" fillId="18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 vertical="center"/>
    </xf>
    <xf numFmtId="164" fontId="5" fillId="18" borderId="38" xfId="0" applyNumberFormat="1" applyFont="1" applyFill="1" applyBorder="1" applyAlignment="1">
      <alignment horizontal="center"/>
    </xf>
    <xf numFmtId="164" fontId="5" fillId="0" borderId="38" xfId="0" applyNumberFormat="1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18" borderId="1" xfId="0" applyFont="1" applyFill="1" applyBorder="1" applyAlignment="1">
      <alignment horizontal="left"/>
    </xf>
    <xf numFmtId="0" fontId="96" fillId="23" borderId="1" xfId="0" applyFont="1" applyFill="1" applyBorder="1" applyAlignment="1">
      <alignment horizontal="center"/>
    </xf>
    <xf numFmtId="2" fontId="95" fillId="11" borderId="1" xfId="0" applyNumberFormat="1" applyFont="1" applyFill="1" applyBorder="1" applyAlignment="1">
      <alignment horizontal="center"/>
    </xf>
    <xf numFmtId="1" fontId="5" fillId="0" borderId="74" xfId="0" applyNumberFormat="1" applyFont="1" applyBorder="1"/>
    <xf numFmtId="164" fontId="5" fillId="0" borderId="51" xfId="0" applyNumberFormat="1" applyFont="1" applyBorder="1"/>
    <xf numFmtId="2" fontId="95" fillId="11" borderId="1" xfId="0" applyNumberFormat="1" applyFont="1" applyFill="1" applyBorder="1" applyAlignment="1">
      <alignment horizontal="center" vertical="center"/>
    </xf>
    <xf numFmtId="0" fontId="93" fillId="0" borderId="0" xfId="0" applyFont="1" applyAlignment="1">
      <alignment horizontal="center"/>
    </xf>
    <xf numFmtId="2" fontId="76" fillId="13" borderId="1" xfId="0" applyNumberFormat="1" applyFont="1" applyFill="1" applyBorder="1" applyAlignment="1">
      <alignment horizontal="center" vertical="center"/>
    </xf>
    <xf numFmtId="2" fontId="105" fillId="0" borderId="1" xfId="0" applyNumberFormat="1" applyFont="1" applyBorder="1" applyAlignment="1">
      <alignment horizontal="center" vertical="center"/>
    </xf>
    <xf numFmtId="0" fontId="106" fillId="0" borderId="1" xfId="0" applyFont="1" applyBorder="1"/>
    <xf numFmtId="0" fontId="17" fillId="0" borderId="74" xfId="0" applyFont="1" applyBorder="1"/>
    <xf numFmtId="0" fontId="106" fillId="0" borderId="74" xfId="0" applyFont="1" applyBorder="1"/>
    <xf numFmtId="0" fontId="17" fillId="0" borderId="70" xfId="0" applyFont="1" applyBorder="1"/>
    <xf numFmtId="0" fontId="17" fillId="0" borderId="71" xfId="0" applyFont="1" applyBorder="1"/>
    <xf numFmtId="0" fontId="17" fillId="0" borderId="94" xfId="0" applyFont="1" applyBorder="1"/>
    <xf numFmtId="0" fontId="106" fillId="0" borderId="95" xfId="0" applyFont="1" applyBorder="1"/>
    <xf numFmtId="0" fontId="17" fillId="0" borderId="72" xfId="0" applyFont="1" applyBorder="1"/>
    <xf numFmtId="0" fontId="106" fillId="0" borderId="78" xfId="0" applyFont="1" applyBorder="1"/>
    <xf numFmtId="0" fontId="17" fillId="0" borderId="91" xfId="0" applyFont="1" applyBorder="1"/>
    <xf numFmtId="0" fontId="106" fillId="0" borderId="85" xfId="0" applyFont="1" applyBorder="1"/>
    <xf numFmtId="2" fontId="93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76" fillId="0" borderId="1" xfId="0" applyNumberFormat="1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98" fillId="21" borderId="0" xfId="0" applyFont="1" applyFill="1" applyAlignment="1">
      <alignment vertical="center"/>
    </xf>
    <xf numFmtId="0" fontId="72" fillId="21" borderId="0" xfId="0" applyFont="1" applyFill="1" applyAlignment="1">
      <alignment vertical="center"/>
    </xf>
    <xf numFmtId="0" fontId="107" fillId="21" borderId="0" xfId="0" applyFont="1" applyFill="1" applyAlignment="1">
      <alignment horizontal="center" vertical="center"/>
    </xf>
    <xf numFmtId="0" fontId="108" fillId="21" borderId="1" xfId="0" applyFont="1" applyFill="1" applyBorder="1" applyAlignment="1">
      <alignment horizontal="center" vertical="center"/>
    </xf>
    <xf numFmtId="0" fontId="109" fillId="0" borderId="0" xfId="0" applyFont="1"/>
    <xf numFmtId="2" fontId="5" fillId="0" borderId="1" xfId="0" applyNumberFormat="1" applyFont="1" applyBorder="1" applyAlignment="1">
      <alignment horizontal="center" vertical="center"/>
    </xf>
    <xf numFmtId="49" fontId="5" fillId="13" borderId="8" xfId="0" applyNumberFormat="1" applyFont="1" applyFill="1" applyBorder="1" applyAlignment="1">
      <alignment horizontal="center" vertical="center" wrapText="1"/>
    </xf>
    <xf numFmtId="0" fontId="79" fillId="17" borderId="8" xfId="0" applyFont="1" applyFill="1" applyBorder="1" applyAlignment="1">
      <alignment vertical="center" wrapText="1"/>
    </xf>
    <xf numFmtId="0" fontId="73" fillId="0" borderId="50" xfId="0" applyFont="1" applyBorder="1" applyAlignment="1">
      <alignment horizontal="center"/>
    </xf>
    <xf numFmtId="0" fontId="17" fillId="17" borderId="9" xfId="0" applyFont="1" applyFill="1" applyBorder="1" applyAlignment="1">
      <alignment vertical="center" wrapText="1"/>
    </xf>
    <xf numFmtId="0" fontId="17" fillId="17" borderId="33" xfId="0" applyFont="1" applyFill="1" applyBorder="1" applyAlignment="1">
      <alignment vertical="center" wrapText="1"/>
    </xf>
    <xf numFmtId="0" fontId="17" fillId="17" borderId="8" xfId="0" applyFont="1" applyFill="1" applyBorder="1" applyAlignment="1">
      <alignment vertical="center" wrapText="1"/>
    </xf>
    <xf numFmtId="0" fontId="5" fillId="14" borderId="38" xfId="0" applyFont="1" applyFill="1" applyBorder="1"/>
    <xf numFmtId="164" fontId="5" fillId="14" borderId="38" xfId="0" applyNumberFormat="1" applyFont="1" applyFill="1" applyBorder="1"/>
    <xf numFmtId="164" fontId="5" fillId="0" borderId="38" xfId="0" applyNumberFormat="1" applyFont="1" applyBorder="1"/>
    <xf numFmtId="164" fontId="5" fillId="14" borderId="38" xfId="0" applyNumberFormat="1" applyFont="1" applyFill="1" applyBorder="1" applyAlignment="1">
      <alignment horizontal="center"/>
    </xf>
    <xf numFmtId="2" fontId="72" fillId="21" borderId="0" xfId="0" applyNumberFormat="1" applyFont="1" applyFill="1"/>
    <xf numFmtId="165" fontId="17" fillId="0" borderId="91" xfId="0" applyNumberFormat="1" applyFont="1" applyBorder="1"/>
    <xf numFmtId="0" fontId="114" fillId="0" borderId="5" xfId="0" applyFont="1" applyBorder="1" applyAlignment="1">
      <alignment vertical="center"/>
    </xf>
    <xf numFmtId="0" fontId="114" fillId="0" borderId="6" xfId="0" applyFont="1" applyBorder="1" applyAlignment="1">
      <alignment vertical="center"/>
    </xf>
    <xf numFmtId="0" fontId="110" fillId="0" borderId="0" xfId="0" applyFont="1" applyAlignment="1">
      <alignment horizontal="center"/>
    </xf>
    <xf numFmtId="1" fontId="5" fillId="0" borderId="51" xfId="0" applyNumberFormat="1" applyFont="1" applyBorder="1"/>
    <xf numFmtId="2" fontId="1" fillId="17" borderId="1" xfId="0" applyNumberFormat="1" applyFont="1" applyFill="1" applyBorder="1" applyAlignment="1">
      <alignment horizontal="center" vertical="center"/>
    </xf>
    <xf numFmtId="0" fontId="117" fillId="23" borderId="1" xfId="0" applyFont="1" applyFill="1" applyBorder="1" applyAlignment="1">
      <alignment horizontal="center" vertical="center"/>
    </xf>
    <xf numFmtId="0" fontId="5" fillId="4" borderId="10" xfId="0" applyFont="1" applyFill="1" applyBorder="1"/>
    <xf numFmtId="164" fontId="76" fillId="21" borderId="1" xfId="0" applyNumberFormat="1" applyFont="1" applyFill="1" applyBorder="1" applyAlignment="1">
      <alignment horizontal="center" wrapText="1"/>
    </xf>
    <xf numFmtId="164" fontId="5" fillId="21" borderId="1" xfId="0" applyNumberFormat="1" applyFont="1" applyFill="1" applyBorder="1" applyAlignment="1">
      <alignment horizontal="center"/>
    </xf>
    <xf numFmtId="0" fontId="2" fillId="0" borderId="74" xfId="0" applyFont="1" applyBorder="1" applyAlignment="1">
      <alignment horizontal="center" vertical="center"/>
    </xf>
    <xf numFmtId="2" fontId="119" fillId="21" borderId="1" xfId="0" applyNumberFormat="1" applyFont="1" applyFill="1" applyBorder="1" applyAlignment="1">
      <alignment horizontal="center"/>
    </xf>
    <xf numFmtId="0" fontId="86" fillId="0" borderId="1" xfId="0" applyFont="1" applyBorder="1" applyAlignment="1">
      <alignment horizontal="center" vertical="center"/>
    </xf>
    <xf numFmtId="2" fontId="125" fillId="0" borderId="1" xfId="0" applyNumberFormat="1" applyFont="1" applyBorder="1" applyAlignment="1">
      <alignment horizontal="center" vertical="center"/>
    </xf>
    <xf numFmtId="0" fontId="106" fillId="0" borderId="0" xfId="0" applyFont="1"/>
    <xf numFmtId="2" fontId="110" fillId="11" borderId="1" xfId="0" applyNumberFormat="1" applyFont="1" applyFill="1" applyBorder="1" applyAlignment="1">
      <alignment horizontal="center" vertical="center"/>
    </xf>
    <xf numFmtId="0" fontId="12" fillId="21" borderId="0" xfId="0" applyFont="1" applyFill="1"/>
    <xf numFmtId="0" fontId="72" fillId="21" borderId="1" xfId="0" applyFont="1" applyFill="1" applyBorder="1"/>
    <xf numFmtId="0" fontId="72" fillId="0" borderId="1" xfId="0" applyFont="1" applyBorder="1"/>
    <xf numFmtId="0" fontId="131" fillId="23" borderId="0" xfId="0" applyFont="1" applyFill="1" applyAlignment="1">
      <alignment horizontal="center" vertical="center"/>
    </xf>
    <xf numFmtId="0" fontId="101" fillId="20" borderId="0" xfId="0" applyFont="1" applyFill="1" applyAlignment="1">
      <alignment horizontal="center" vertical="center"/>
    </xf>
    <xf numFmtId="165" fontId="17" fillId="0" borderId="0" xfId="0" applyNumberFormat="1" applyFont="1"/>
    <xf numFmtId="2" fontId="17" fillId="0" borderId="94" xfId="0" applyNumberFormat="1" applyFont="1" applyBorder="1"/>
    <xf numFmtId="2" fontId="17" fillId="17" borderId="0" xfId="0" applyNumberFormat="1" applyFont="1" applyFill="1"/>
    <xf numFmtId="0" fontId="7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 wrapText="1"/>
    </xf>
    <xf numFmtId="0" fontId="97" fillId="21" borderId="0" xfId="0" applyFont="1" applyFill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72" fillId="0" borderId="1" xfId="0" applyFont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92" fillId="0" borderId="0" xfId="0" applyFont="1" applyAlignment="1">
      <alignment horizontal="center"/>
    </xf>
    <xf numFmtId="0" fontId="91" fillId="0" borderId="0" xfId="0" applyFont="1" applyAlignment="1">
      <alignment horizontal="right" vertical="center"/>
    </xf>
    <xf numFmtId="0" fontId="17" fillId="4" borderId="0" xfId="0" applyFont="1" applyFill="1"/>
    <xf numFmtId="0" fontId="12" fillId="4" borderId="0" xfId="0" applyFont="1" applyFill="1"/>
    <xf numFmtId="2" fontId="17" fillId="0" borderId="1" xfId="0" applyNumberFormat="1" applyFont="1" applyBorder="1" applyAlignment="1">
      <alignment horizontal="center" vertical="center"/>
    </xf>
    <xf numFmtId="166" fontId="17" fillId="0" borderId="0" xfId="0" applyNumberFormat="1" applyFont="1"/>
    <xf numFmtId="0" fontId="60" fillId="0" borderId="1" xfId="0" applyFont="1" applyBorder="1"/>
    <xf numFmtId="0" fontId="84" fillId="0" borderId="1" xfId="0" applyFont="1" applyBorder="1" applyAlignment="1">
      <alignment horizontal="center"/>
    </xf>
    <xf numFmtId="0" fontId="26" fillId="0" borderId="0" xfId="0" applyFont="1" applyAlignment="1">
      <alignment vertical="top" wrapText="1"/>
    </xf>
    <xf numFmtId="0" fontId="84" fillId="0" borderId="33" xfId="0" applyFont="1" applyBorder="1" applyAlignment="1">
      <alignment horizontal="center"/>
    </xf>
    <xf numFmtId="0" fontId="84" fillId="0" borderId="4" xfId="0" applyFont="1" applyBorder="1" applyAlignment="1">
      <alignment horizontal="center"/>
    </xf>
    <xf numFmtId="2" fontId="58" fillId="0" borderId="1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vertical="top"/>
    </xf>
    <xf numFmtId="0" fontId="134" fillId="0" borderId="98" xfId="0" applyFont="1" applyBorder="1" applyAlignment="1">
      <alignment horizontal="center" vertical="center" wrapText="1"/>
    </xf>
    <xf numFmtId="0" fontId="134" fillId="0" borderId="99" xfId="0" applyFont="1" applyBorder="1" applyAlignment="1">
      <alignment horizontal="center" vertical="center" wrapText="1"/>
    </xf>
    <xf numFmtId="0" fontId="134" fillId="0" borderId="99" xfId="0" applyFont="1" applyBorder="1" applyAlignment="1">
      <alignment horizontal="right" vertical="center" wrapText="1"/>
    </xf>
    <xf numFmtId="0" fontId="134" fillId="0" borderId="100" xfId="0" applyFont="1" applyBorder="1" applyAlignment="1">
      <alignment horizontal="center" vertical="center" wrapText="1"/>
    </xf>
    <xf numFmtId="0" fontId="134" fillId="0" borderId="101" xfId="0" applyFont="1" applyBorder="1" applyAlignment="1">
      <alignment horizontal="center" vertical="center" wrapText="1"/>
    </xf>
    <xf numFmtId="0" fontId="134" fillId="0" borderId="101" xfId="0" applyFont="1" applyBorder="1" applyAlignment="1">
      <alignment horizontal="right" vertical="center" wrapText="1"/>
    </xf>
    <xf numFmtId="1" fontId="17" fillId="0" borderId="1" xfId="0" applyNumberFormat="1" applyFont="1" applyBorder="1" applyAlignment="1">
      <alignment horizontal="center" vertical="center"/>
    </xf>
    <xf numFmtId="2" fontId="100" fillId="20" borderId="0" xfId="0" applyNumberFormat="1" applyFont="1" applyFill="1"/>
    <xf numFmtId="2" fontId="72" fillId="0" borderId="1" xfId="0" applyNumberFormat="1" applyFont="1" applyBorder="1" applyAlignment="1">
      <alignment horizontal="center" wrapText="1"/>
    </xf>
    <xf numFmtId="2" fontId="91" fillId="0" borderId="1" xfId="0" applyNumberFormat="1" applyFont="1" applyBorder="1" applyAlignment="1">
      <alignment horizontal="center" wrapText="1"/>
    </xf>
    <xf numFmtId="2" fontId="72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0" borderId="17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17" borderId="57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27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79" xfId="0" applyFont="1" applyBorder="1" applyAlignment="1">
      <alignment horizontal="center" vertical="center"/>
    </xf>
    <xf numFmtId="0" fontId="2" fillId="0" borderId="44" xfId="0" applyFont="1" applyBorder="1" applyAlignment="1">
      <alignment wrapText="1"/>
    </xf>
    <xf numFmtId="0" fontId="2" fillId="0" borderId="42" xfId="0" applyFont="1" applyBorder="1" applyAlignment="1">
      <alignment wrapText="1"/>
    </xf>
    <xf numFmtId="0" fontId="2" fillId="0" borderId="8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5" borderId="9" xfId="0" applyFont="1" applyFill="1" applyBorder="1" applyAlignment="1">
      <alignment horizontal="center" vertical="center" wrapText="1"/>
    </xf>
    <xf numFmtId="0" fontId="2" fillId="25" borderId="17" xfId="0" applyFont="1" applyFill="1" applyBorder="1" applyAlignment="1">
      <alignment horizontal="center" vertical="center"/>
    </xf>
    <xf numFmtId="0" fontId="137" fillId="23" borderId="0" xfId="0" applyFont="1" applyFill="1" applyAlignment="1">
      <alignment horizontal="center"/>
    </xf>
    <xf numFmtId="0" fontId="94" fillId="0" borderId="0" xfId="0" applyFont="1" applyAlignment="1">
      <alignment horizontal="center" vertical="center"/>
    </xf>
    <xf numFmtId="0" fontId="72" fillId="0" borderId="1" xfId="0" applyFont="1" applyBorder="1" applyAlignment="1">
      <alignment horizontal="center" vertical="center" textRotation="90" wrapText="1"/>
    </xf>
    <xf numFmtId="2" fontId="5" fillId="1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/>
    </xf>
    <xf numFmtId="0" fontId="5" fillId="0" borderId="51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1" fontId="106" fillId="23" borderId="0" xfId="0" applyNumberFormat="1" applyFont="1" applyFill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164" fontId="17" fillId="0" borderId="1" xfId="0" applyNumberFormat="1" applyFont="1" applyBorder="1" applyAlignment="1">
      <alignment horizontal="center"/>
    </xf>
    <xf numFmtId="2" fontId="76" fillId="0" borderId="1" xfId="0" applyNumberFormat="1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2" fontId="101" fillId="20" borderId="0" xfId="0" applyNumberFormat="1" applyFont="1" applyFill="1" applyAlignment="1">
      <alignment vertical="center"/>
    </xf>
    <xf numFmtId="165" fontId="72" fillId="0" borderId="0" xfId="0" applyNumberFormat="1" applyFont="1"/>
    <xf numFmtId="164" fontId="5" fillId="0" borderId="51" xfId="0" applyNumberFormat="1" applyFont="1" applyBorder="1" applyAlignment="1">
      <alignment horizontal="center"/>
    </xf>
    <xf numFmtId="1" fontId="5" fillId="0" borderId="0" xfId="0" applyNumberFormat="1" applyFont="1"/>
    <xf numFmtId="0" fontId="139" fillId="0" borderId="0" xfId="0" applyFont="1"/>
    <xf numFmtId="0" fontId="17" fillId="0" borderId="0" xfId="0" quotePrefix="1" applyFont="1"/>
    <xf numFmtId="0" fontId="127" fillId="17" borderId="9" xfId="0" applyFont="1" applyFill="1" applyBorder="1" applyAlignment="1">
      <alignment horizontal="left" vertical="center" wrapText="1"/>
    </xf>
    <xf numFmtId="0" fontId="127" fillId="13" borderId="9" xfId="0" applyFont="1" applyFill="1" applyBorder="1" applyAlignment="1">
      <alignment horizontal="left" vertical="center" wrapText="1"/>
    </xf>
    <xf numFmtId="2" fontId="120" fillId="17" borderId="1" xfId="0" applyNumberFormat="1" applyFont="1" applyFill="1" applyBorder="1" applyAlignment="1">
      <alignment horizontal="center" vertical="center"/>
    </xf>
    <xf numFmtId="2" fontId="1" fillId="13" borderId="1" xfId="0" applyNumberFormat="1" applyFont="1" applyFill="1" applyBorder="1" applyAlignment="1">
      <alignment horizontal="center" vertical="center"/>
    </xf>
    <xf numFmtId="0" fontId="127" fillId="17" borderId="9" xfId="0" applyFont="1" applyFill="1" applyBorder="1" applyAlignment="1">
      <alignment horizontal="right" vertical="center" wrapText="1"/>
    </xf>
    <xf numFmtId="0" fontId="127" fillId="13" borderId="9" xfId="0" applyFont="1" applyFill="1" applyBorder="1" applyAlignment="1">
      <alignment horizontal="right" vertical="center" wrapText="1"/>
    </xf>
    <xf numFmtId="164" fontId="17" fillId="0" borderId="0" xfId="0" applyNumberFormat="1" applyFont="1" applyAlignment="1">
      <alignment horizontal="center" vertical="center"/>
    </xf>
    <xf numFmtId="0" fontId="17" fillId="0" borderId="2" xfId="0" applyFont="1" applyBorder="1"/>
    <xf numFmtId="0" fontId="5" fillId="14" borderId="39" xfId="0" applyFont="1" applyFill="1" applyBorder="1"/>
    <xf numFmtId="164" fontId="5" fillId="14" borderId="39" xfId="0" applyNumberFormat="1" applyFont="1" applyFill="1" applyBorder="1"/>
    <xf numFmtId="164" fontId="5" fillId="0" borderId="39" xfId="0" applyNumberFormat="1" applyFont="1" applyBorder="1"/>
    <xf numFmtId="0" fontId="5" fillId="0" borderId="39" xfId="0" applyFont="1" applyBorder="1" applyAlignment="1">
      <alignment horizontal="center"/>
    </xf>
    <xf numFmtId="164" fontId="5" fillId="14" borderId="39" xfId="0" applyNumberFormat="1" applyFont="1" applyFill="1" applyBorder="1" applyAlignment="1">
      <alignment horizontal="center"/>
    </xf>
    <xf numFmtId="0" fontId="79" fillId="0" borderId="0" xfId="0" applyFont="1" applyAlignment="1">
      <alignment horizontal="center" wrapText="1"/>
    </xf>
    <xf numFmtId="0" fontId="141" fillId="0" borderId="0" xfId="0" applyFont="1" applyAlignment="1">
      <alignment horizontal="center" vertical="center"/>
    </xf>
    <xf numFmtId="0" fontId="143" fillId="0" borderId="0" xfId="0" applyFont="1" applyAlignment="1">
      <alignment horizontal="center" vertical="center"/>
    </xf>
    <xf numFmtId="0" fontId="2" fillId="0" borderId="11" xfId="0" applyFont="1" applyBorder="1"/>
    <xf numFmtId="0" fontId="86" fillId="0" borderId="8" xfId="0" applyFont="1" applyBorder="1" applyAlignment="1">
      <alignment vertical="center" textRotation="90" wrapText="1"/>
    </xf>
    <xf numFmtId="0" fontId="86" fillId="0" borderId="9" xfId="0" applyFont="1" applyBorder="1" applyAlignment="1">
      <alignment vertical="center" textRotation="90" wrapText="1"/>
    </xf>
    <xf numFmtId="0" fontId="86" fillId="0" borderId="33" xfId="0" applyFont="1" applyBorder="1" applyAlignment="1">
      <alignment vertical="center" textRotation="90" wrapText="1"/>
    </xf>
    <xf numFmtId="2" fontId="17" fillId="13" borderId="1" xfId="0" applyNumberFormat="1" applyFont="1" applyFill="1" applyBorder="1" applyAlignment="1">
      <alignment horizontal="center" vertical="center"/>
    </xf>
    <xf numFmtId="2" fontId="58" fillId="13" borderId="1" xfId="0" applyNumberFormat="1" applyFont="1" applyFill="1" applyBorder="1" applyAlignment="1">
      <alignment horizontal="center" vertical="center"/>
    </xf>
    <xf numFmtId="164" fontId="72" fillId="0" borderId="0" xfId="0" applyNumberFormat="1" applyFont="1"/>
    <xf numFmtId="2" fontId="128" fillId="11" borderId="1" xfId="0" applyNumberFormat="1" applyFont="1" applyFill="1" applyBorder="1" applyAlignment="1">
      <alignment horizontal="center" vertical="center"/>
    </xf>
    <xf numFmtId="0" fontId="17" fillId="0" borderId="33" xfId="0" applyFont="1" applyBorder="1"/>
    <xf numFmtId="0" fontId="17" fillId="0" borderId="0" xfId="0" applyFont="1" applyAlignment="1">
      <alignment vertical="center"/>
    </xf>
    <xf numFmtId="0" fontId="72" fillId="0" borderId="8" xfId="0" applyFont="1" applyBorder="1"/>
    <xf numFmtId="0" fontId="17" fillId="0" borderId="6" xfId="0" applyFont="1" applyBorder="1"/>
    <xf numFmtId="0" fontId="95" fillId="11" borderId="1" xfId="0" applyFont="1" applyFill="1" applyBorder="1" applyAlignment="1">
      <alignment horizontal="center" vertical="center" wrapText="1"/>
    </xf>
    <xf numFmtId="0" fontId="73" fillId="0" borderId="50" xfId="0" applyFont="1" applyBorder="1" applyAlignment="1">
      <alignment horizontal="center" vertical="center" wrapText="1"/>
    </xf>
    <xf numFmtId="0" fontId="0" fillId="0" borderId="1" xfId="0" applyBorder="1"/>
    <xf numFmtId="0" fontId="105" fillId="0" borderId="1" xfId="0" applyFont="1" applyBorder="1" applyAlignment="1">
      <alignment horizontal="center"/>
    </xf>
    <xf numFmtId="164" fontId="76" fillId="0" borderId="1" xfId="0" applyNumberFormat="1" applyFont="1" applyBorder="1" applyAlignment="1">
      <alignment horizontal="center" wrapText="1"/>
    </xf>
    <xf numFmtId="0" fontId="98" fillId="21" borderId="0" xfId="0" applyFont="1" applyFill="1" applyAlignment="1">
      <alignment horizontal="center"/>
    </xf>
    <xf numFmtId="0" fontId="60" fillId="0" borderId="1" xfId="0" applyFont="1" applyBorder="1" applyAlignment="1">
      <alignment horizontal="center"/>
    </xf>
    <xf numFmtId="165" fontId="72" fillId="0" borderId="8" xfId="0" applyNumberFormat="1" applyFont="1" applyBorder="1" applyAlignment="1">
      <alignment horizontal="center"/>
    </xf>
    <xf numFmtId="165" fontId="72" fillId="0" borderId="33" xfId="0" applyNumberFormat="1" applyFont="1" applyBorder="1" applyAlignment="1">
      <alignment horizontal="center"/>
    </xf>
    <xf numFmtId="0" fontId="91" fillId="0" borderId="7" xfId="0" applyFont="1" applyBorder="1" applyAlignment="1">
      <alignment horizontal="right" vertical="center"/>
    </xf>
    <xf numFmtId="0" fontId="91" fillId="0" borderId="0" xfId="0" applyFont="1" applyAlignment="1">
      <alignment horizontal="right" vertical="center"/>
    </xf>
    <xf numFmtId="0" fontId="84" fillId="0" borderId="7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11" xfId="0" applyFont="1" applyBorder="1" applyAlignment="1">
      <alignment horizontal="center" vertical="center"/>
    </xf>
    <xf numFmtId="0" fontId="91" fillId="0" borderId="11" xfId="0" applyFont="1" applyBorder="1" applyAlignment="1">
      <alignment horizontal="right" vertical="center"/>
    </xf>
    <xf numFmtId="0" fontId="1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0" fontId="91" fillId="0" borderId="0" xfId="0" applyFont="1" applyAlignment="1">
      <alignment horizontal="right" wrapText="1"/>
    </xf>
    <xf numFmtId="2" fontId="91" fillId="0" borderId="8" xfId="0" applyNumberFormat="1" applyFont="1" applyBorder="1" applyAlignment="1">
      <alignment horizontal="center" vertical="center" wrapText="1"/>
    </xf>
    <xf numFmtId="2" fontId="91" fillId="0" borderId="33" xfId="0" applyNumberFormat="1" applyFont="1" applyBorder="1" applyAlignment="1">
      <alignment horizontal="center" vertical="center" wrapText="1"/>
    </xf>
    <xf numFmtId="0" fontId="76" fillId="0" borderId="8" xfId="0" applyFont="1" applyBorder="1" applyAlignment="1">
      <alignment horizontal="center"/>
    </xf>
    <xf numFmtId="0" fontId="76" fillId="0" borderId="3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33" xfId="0" applyNumberFormat="1" applyFont="1" applyBorder="1" applyAlignment="1">
      <alignment horizontal="center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 wrapText="1"/>
    </xf>
    <xf numFmtId="2" fontId="5" fillId="0" borderId="8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0" fontId="84" fillId="0" borderId="1" xfId="0" applyFont="1" applyBorder="1" applyAlignment="1">
      <alignment horizontal="center"/>
    </xf>
    <xf numFmtId="2" fontId="72" fillId="21" borderId="7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72" fillId="21" borderId="7" xfId="0" applyFont="1" applyFill="1" applyBorder="1" applyAlignment="1">
      <alignment horizontal="center"/>
    </xf>
    <xf numFmtId="2" fontId="91" fillId="0" borderId="1" xfId="0" applyNumberFormat="1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 vertical="center" wrapText="1"/>
    </xf>
    <xf numFmtId="9" fontId="147" fillId="0" borderId="1" xfId="2" applyFont="1" applyFill="1" applyBorder="1" applyAlignment="1">
      <alignment horizontal="center" vertical="center"/>
    </xf>
    <xf numFmtId="0" fontId="72" fillId="0" borderId="1" xfId="0" applyFont="1" applyBorder="1" applyAlignment="1">
      <alignment horizontal="center"/>
    </xf>
    <xf numFmtId="2" fontId="17" fillId="0" borderId="33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2" fillId="21" borderId="0" xfId="0" applyFont="1" applyFill="1" applyAlignment="1">
      <alignment horizontal="center"/>
    </xf>
    <xf numFmtId="2" fontId="72" fillId="21" borderId="8" xfId="0" applyNumberFormat="1" applyFont="1" applyFill="1" applyBorder="1" applyAlignment="1">
      <alignment horizontal="center"/>
    </xf>
    <xf numFmtId="2" fontId="72" fillId="21" borderId="33" xfId="0" applyNumberFormat="1" applyFont="1" applyFill="1" applyBorder="1" applyAlignment="1">
      <alignment horizontal="center"/>
    </xf>
    <xf numFmtId="0" fontId="107" fillId="21" borderId="0" xfId="0" applyFont="1" applyFill="1" applyAlignment="1">
      <alignment horizontal="center"/>
    </xf>
    <xf numFmtId="0" fontId="119" fillId="23" borderId="8" xfId="0" applyFont="1" applyFill="1" applyBorder="1" applyAlignment="1">
      <alignment horizontal="center"/>
    </xf>
    <xf numFmtId="0" fontId="119" fillId="23" borderId="33" xfId="0" applyFont="1" applyFill="1" applyBorder="1" applyAlignment="1">
      <alignment horizontal="center"/>
    </xf>
    <xf numFmtId="0" fontId="91" fillId="3" borderId="0" xfId="0" applyFont="1" applyFill="1" applyAlignment="1">
      <alignment horizontal="center"/>
    </xf>
    <xf numFmtId="0" fontId="91" fillId="3" borderId="11" xfId="0" applyFont="1" applyFill="1" applyBorder="1" applyAlignment="1">
      <alignment horizontal="center"/>
    </xf>
    <xf numFmtId="0" fontId="104" fillId="11" borderId="8" xfId="0" applyFont="1" applyFill="1" applyBorder="1" applyAlignment="1">
      <alignment horizontal="center" vertical="center"/>
    </xf>
    <xf numFmtId="0" fontId="104" fillId="11" borderId="33" xfId="0" applyFont="1" applyFill="1" applyBorder="1" applyAlignment="1">
      <alignment horizontal="center" vertical="center"/>
    </xf>
    <xf numFmtId="165" fontId="126" fillId="11" borderId="8" xfId="0" applyNumberFormat="1" applyFont="1" applyFill="1" applyBorder="1" applyAlignment="1">
      <alignment horizontal="center" vertical="center"/>
    </xf>
    <xf numFmtId="165" fontId="126" fillId="11" borderId="33" xfId="0" applyNumberFormat="1" applyFont="1" applyFill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2" fontId="76" fillId="0" borderId="8" xfId="0" applyNumberFormat="1" applyFont="1" applyBorder="1" applyAlignment="1">
      <alignment horizontal="center"/>
    </xf>
    <xf numFmtId="2" fontId="76" fillId="0" borderId="9" xfId="0" applyNumberFormat="1" applyFont="1" applyBorder="1" applyAlignment="1">
      <alignment horizontal="center"/>
    </xf>
    <xf numFmtId="2" fontId="76" fillId="0" borderId="33" xfId="0" applyNumberFormat="1" applyFont="1" applyBorder="1" applyAlignment="1">
      <alignment horizontal="center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3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textRotation="90" wrapText="1"/>
    </xf>
    <xf numFmtId="0" fontId="2" fillId="0" borderId="51" xfId="0" applyFont="1" applyBorder="1" applyAlignment="1">
      <alignment horizontal="center" vertical="center" textRotation="90" wrapText="1"/>
    </xf>
    <xf numFmtId="0" fontId="2" fillId="0" borderId="74" xfId="0" applyFont="1" applyBorder="1" applyAlignment="1">
      <alignment horizontal="center" vertical="center" textRotation="90" wrapText="1"/>
    </xf>
    <xf numFmtId="164" fontId="76" fillId="0" borderId="8" xfId="0" applyNumberFormat="1" applyFont="1" applyBorder="1" applyAlignment="1">
      <alignment horizontal="center"/>
    </xf>
    <xf numFmtId="164" fontId="76" fillId="0" borderId="33" xfId="0" applyNumberFormat="1" applyFont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76" fillId="0" borderId="8" xfId="0" applyFont="1" applyBorder="1" applyAlignment="1">
      <alignment horizontal="right"/>
    </xf>
    <xf numFmtId="0" fontId="76" fillId="0" borderId="33" xfId="0" applyFont="1" applyBorder="1" applyAlignment="1">
      <alignment horizontal="right"/>
    </xf>
    <xf numFmtId="2" fontId="105" fillId="11" borderId="8" xfId="0" applyNumberFormat="1" applyFont="1" applyFill="1" applyBorder="1" applyAlignment="1">
      <alignment horizontal="center" vertical="center" wrapText="1"/>
    </xf>
    <xf numFmtId="2" fontId="105" fillId="11" borderId="9" xfId="0" applyNumberFormat="1" applyFont="1" applyFill="1" applyBorder="1" applyAlignment="1">
      <alignment horizontal="center" vertical="center" wrapText="1"/>
    </xf>
    <xf numFmtId="2" fontId="105" fillId="11" borderId="33" xfId="0" applyNumberFormat="1" applyFont="1" applyFill="1" applyBorder="1" applyAlignment="1">
      <alignment horizontal="center" vertical="center" wrapText="1"/>
    </xf>
    <xf numFmtId="0" fontId="110" fillId="11" borderId="8" xfId="0" applyFont="1" applyFill="1" applyBorder="1" applyAlignment="1">
      <alignment horizontal="center" vertical="center"/>
    </xf>
    <xf numFmtId="0" fontId="110" fillId="11" borderId="9" xfId="0" applyFont="1" applyFill="1" applyBorder="1" applyAlignment="1">
      <alignment horizontal="center" vertical="center"/>
    </xf>
    <xf numFmtId="0" fontId="110" fillId="11" borderId="33" xfId="0" applyFont="1" applyFill="1" applyBorder="1" applyAlignment="1">
      <alignment horizontal="center" vertical="center"/>
    </xf>
    <xf numFmtId="0" fontId="97" fillId="21" borderId="0" xfId="0" applyFont="1" applyFill="1" applyAlignment="1">
      <alignment horizontal="center" vertical="center"/>
    </xf>
    <xf numFmtId="0" fontId="148" fillId="11" borderId="8" xfId="0" applyFont="1" applyFill="1" applyBorder="1" applyAlignment="1">
      <alignment horizontal="center" vertical="center"/>
    </xf>
    <xf numFmtId="0" fontId="148" fillId="11" borderId="3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wrapText="1"/>
    </xf>
    <xf numFmtId="0" fontId="1" fillId="17" borderId="7" xfId="0" applyFont="1" applyFill="1" applyBorder="1" applyAlignment="1">
      <alignment horizontal="center" wrapText="1"/>
    </xf>
    <xf numFmtId="0" fontId="1" fillId="17" borderId="4" xfId="0" applyFont="1" applyFill="1" applyBorder="1" applyAlignment="1">
      <alignment horizontal="center" wrapText="1"/>
    </xf>
    <xf numFmtId="0" fontId="17" fillId="17" borderId="5" xfId="0" applyFont="1" applyFill="1" applyBorder="1" applyAlignment="1">
      <alignment horizontal="center" vertical="top"/>
    </xf>
    <xf numFmtId="0" fontId="17" fillId="17" borderId="2" xfId="0" applyFont="1" applyFill="1" applyBorder="1" applyAlignment="1">
      <alignment horizontal="center" vertical="top"/>
    </xf>
    <xf numFmtId="0" fontId="17" fillId="17" borderId="6" xfId="0" applyFont="1" applyFill="1" applyBorder="1" applyAlignment="1">
      <alignment horizontal="center" vertical="top"/>
    </xf>
    <xf numFmtId="2" fontId="76" fillId="0" borderId="51" xfId="0" applyNumberFormat="1" applyFont="1" applyBorder="1" applyAlignment="1">
      <alignment horizontal="center"/>
    </xf>
    <xf numFmtId="2" fontId="76" fillId="0" borderId="74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2" fontId="5" fillId="17" borderId="50" xfId="0" applyNumberFormat="1" applyFont="1" applyFill="1" applyBorder="1" applyAlignment="1">
      <alignment horizontal="center" vertical="center"/>
    </xf>
    <xf numFmtId="2" fontId="5" fillId="17" borderId="74" xfId="0" applyNumberFormat="1" applyFont="1" applyFill="1" applyBorder="1" applyAlignment="1">
      <alignment horizontal="center" vertical="center"/>
    </xf>
    <xf numFmtId="165" fontId="5" fillId="17" borderId="50" xfId="0" applyNumberFormat="1" applyFont="1" applyFill="1" applyBorder="1" applyAlignment="1">
      <alignment horizontal="center" vertical="center"/>
    </xf>
    <xf numFmtId="165" fontId="5" fillId="17" borderId="51" xfId="0" applyNumberFormat="1" applyFont="1" applyFill="1" applyBorder="1" applyAlignment="1">
      <alignment horizontal="center" vertical="center"/>
    </xf>
    <xf numFmtId="165" fontId="5" fillId="17" borderId="74" xfId="0" applyNumberFormat="1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5" fillId="17" borderId="1" xfId="0" applyNumberFormat="1" applyFont="1" applyFill="1" applyBorder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51" xfId="0" applyNumberFormat="1" applyFont="1" applyBorder="1" applyAlignment="1">
      <alignment horizontal="center" vertical="center"/>
    </xf>
    <xf numFmtId="2" fontId="5" fillId="0" borderId="74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74" xfId="0" applyFont="1" applyBorder="1" applyAlignment="1">
      <alignment horizontal="center"/>
    </xf>
    <xf numFmtId="0" fontId="72" fillId="0" borderId="1" xfId="0" applyFont="1" applyBorder="1" applyAlignment="1">
      <alignment horizontal="center" vertical="center" textRotation="90" wrapText="1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1" fontId="5" fillId="0" borderId="1" xfId="0" applyNumberFormat="1" applyFont="1" applyBorder="1" applyAlignment="1">
      <alignment horizontal="center" vertical="center"/>
    </xf>
    <xf numFmtId="0" fontId="69" fillId="17" borderId="8" xfId="0" applyFont="1" applyFill="1" applyBorder="1" applyAlignment="1">
      <alignment horizontal="center" vertical="center" wrapText="1"/>
    </xf>
    <xf numFmtId="0" fontId="69" fillId="17" borderId="9" xfId="0" applyFont="1" applyFill="1" applyBorder="1" applyAlignment="1">
      <alignment horizontal="center" vertical="center" wrapText="1"/>
    </xf>
    <xf numFmtId="0" fontId="69" fillId="17" borderId="33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right"/>
    </xf>
    <xf numFmtId="0" fontId="17" fillId="17" borderId="9" xfId="0" applyFont="1" applyFill="1" applyBorder="1" applyAlignment="1">
      <alignment horizontal="left" vertical="center" wrapText="1"/>
    </xf>
    <xf numFmtId="0" fontId="17" fillId="17" borderId="3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wrapText="1"/>
    </xf>
    <xf numFmtId="2" fontId="72" fillId="0" borderId="1" xfId="0" applyNumberFormat="1" applyFont="1" applyBorder="1"/>
    <xf numFmtId="0" fontId="5" fillId="0" borderId="1" xfId="0" applyFont="1" applyBorder="1" applyAlignment="1">
      <alignment horizontal="left"/>
    </xf>
    <xf numFmtId="2" fontId="120" fillId="17" borderId="8" xfId="0" applyNumberFormat="1" applyFont="1" applyFill="1" applyBorder="1" applyAlignment="1">
      <alignment horizontal="center" vertical="center"/>
    </xf>
    <xf numFmtId="2" fontId="120" fillId="17" borderId="33" xfId="0" applyNumberFormat="1" applyFont="1" applyFill="1" applyBorder="1" applyAlignment="1">
      <alignment horizontal="center" vertical="center"/>
    </xf>
    <xf numFmtId="0" fontId="121" fillId="0" borderId="10" xfId="1" applyFont="1" applyBorder="1" applyAlignment="1" applyProtection="1">
      <alignment horizontal="left" vertical="center"/>
    </xf>
    <xf numFmtId="0" fontId="123" fillId="0" borderId="0" xfId="1" applyFont="1" applyBorder="1" applyAlignment="1" applyProtection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76" fillId="0" borderId="1" xfId="0" applyNumberFormat="1" applyFont="1" applyBorder="1" applyAlignment="1">
      <alignment horizontal="center" vertical="center"/>
    </xf>
    <xf numFmtId="0" fontId="84" fillId="0" borderId="10" xfId="0" applyFont="1" applyBorder="1" applyAlignment="1">
      <alignment horizontal="right" wrapText="1"/>
    </xf>
    <xf numFmtId="0" fontId="84" fillId="0" borderId="0" xfId="0" applyFont="1" applyAlignment="1">
      <alignment horizontal="right" wrapText="1"/>
    </xf>
    <xf numFmtId="0" fontId="86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73" fillId="0" borderId="10" xfId="0" applyFont="1" applyBorder="1" applyAlignment="1">
      <alignment horizontal="right" vertical="center"/>
    </xf>
    <xf numFmtId="0" fontId="73" fillId="0" borderId="0" xfId="0" applyFont="1" applyAlignment="1">
      <alignment horizontal="right" vertical="center"/>
    </xf>
    <xf numFmtId="0" fontId="73" fillId="0" borderId="50" xfId="0" applyFont="1" applyBorder="1" applyAlignment="1">
      <alignment horizontal="center" vertical="center" wrapText="1"/>
    </xf>
    <xf numFmtId="0" fontId="84" fillId="0" borderId="10" xfId="0" applyFont="1" applyBorder="1" applyAlignment="1">
      <alignment horizontal="right" vertical="center" wrapText="1"/>
    </xf>
    <xf numFmtId="0" fontId="84" fillId="0" borderId="0" xfId="0" applyFont="1" applyAlignment="1">
      <alignment horizontal="right" vertical="center" wrapText="1"/>
    </xf>
    <xf numFmtId="0" fontId="73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164" fontId="5" fillId="0" borderId="3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118" fillId="0" borderId="0" xfId="0" applyFont="1" applyAlignment="1">
      <alignment horizontal="right" vertical="center"/>
    </xf>
    <xf numFmtId="0" fontId="79" fillId="0" borderId="0" xfId="0" applyFont="1" applyAlignment="1">
      <alignment horizontal="right" vertical="center"/>
    </xf>
    <xf numFmtId="2" fontId="1" fillId="17" borderId="8" xfId="0" applyNumberFormat="1" applyFont="1" applyFill="1" applyBorder="1" applyAlignment="1">
      <alignment horizontal="center" vertical="center"/>
    </xf>
    <xf numFmtId="2" fontId="1" fillId="17" borderId="33" xfId="0" applyNumberFormat="1" applyFont="1" applyFill="1" applyBorder="1" applyAlignment="1">
      <alignment horizontal="center" vertical="center"/>
    </xf>
    <xf numFmtId="0" fontId="76" fillId="0" borderId="10" xfId="1" applyFont="1" applyBorder="1" applyAlignment="1" applyProtection="1">
      <alignment horizontal="left" vertical="center"/>
    </xf>
    <xf numFmtId="0" fontId="78" fillId="0" borderId="0" xfId="1" applyFont="1" applyBorder="1" applyAlignment="1" applyProtection="1">
      <alignment horizontal="left" vertical="center"/>
    </xf>
    <xf numFmtId="0" fontId="73" fillId="0" borderId="0" xfId="0" applyFont="1" applyAlignment="1">
      <alignment horizontal="left"/>
    </xf>
    <xf numFmtId="164" fontId="76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164" fontId="5" fillId="0" borderId="8" xfId="0" applyNumberFormat="1" applyFont="1" applyBorder="1" applyAlignment="1">
      <alignment horizontal="center"/>
    </xf>
    <xf numFmtId="164" fontId="5" fillId="0" borderId="33" xfId="0" applyNumberFormat="1" applyFont="1" applyBorder="1" applyAlignment="1">
      <alignment horizontal="center"/>
    </xf>
    <xf numFmtId="0" fontId="118" fillId="0" borderId="11" xfId="0" applyFont="1" applyBorder="1" applyAlignment="1">
      <alignment horizontal="right" vertical="center"/>
    </xf>
    <xf numFmtId="0" fontId="121" fillId="0" borderId="0" xfId="1" applyFont="1" applyBorder="1" applyAlignment="1" applyProtection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73" fillId="0" borderId="2" xfId="0" applyFont="1" applyBorder="1" applyAlignment="1">
      <alignment horizontal="left"/>
    </xf>
    <xf numFmtId="0" fontId="73" fillId="0" borderId="6" xfId="0" applyFont="1" applyBorder="1" applyAlignment="1">
      <alignment horizontal="left"/>
    </xf>
    <xf numFmtId="0" fontId="73" fillId="0" borderId="8" xfId="0" applyFont="1" applyBorder="1" applyAlignment="1">
      <alignment horizontal="center"/>
    </xf>
    <xf numFmtId="0" fontId="73" fillId="0" borderId="3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7" fillId="17" borderId="9" xfId="0" applyFont="1" applyFill="1" applyBorder="1"/>
    <xf numFmtId="0" fontId="17" fillId="17" borderId="33" xfId="0" applyFont="1" applyFill="1" applyBorder="1"/>
    <xf numFmtId="0" fontId="5" fillId="0" borderId="0" xfId="0" applyFont="1" applyAlignment="1">
      <alignment horizontal="left" vertical="center" wrapText="1"/>
    </xf>
    <xf numFmtId="0" fontId="72" fillId="0" borderId="1" xfId="0" applyFont="1" applyBorder="1"/>
    <xf numFmtId="0" fontId="73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0" fontId="79" fillId="0" borderId="50" xfId="0" applyFont="1" applyBorder="1" applyAlignment="1">
      <alignment horizontal="center"/>
    </xf>
    <xf numFmtId="164" fontId="5" fillId="0" borderId="74" xfId="0" applyNumberFormat="1" applyFont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127" fillId="1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118" fillId="0" borderId="10" xfId="0" applyNumberFormat="1" applyFont="1" applyBorder="1" applyAlignment="1">
      <alignment horizontal="left" vertical="center"/>
    </xf>
    <xf numFmtId="164" fontId="11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10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10" xfId="0" applyFont="1" applyBorder="1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right" vertical="top"/>
    </xf>
    <xf numFmtId="2" fontId="126" fillId="0" borderId="50" xfId="0" applyNumberFormat="1" applyFont="1" applyBorder="1" applyAlignment="1">
      <alignment horizontal="center" vertical="center"/>
    </xf>
    <xf numFmtId="2" fontId="126" fillId="0" borderId="51" xfId="0" applyNumberFormat="1" applyFont="1" applyBorder="1" applyAlignment="1">
      <alignment horizontal="center" vertical="center"/>
    </xf>
    <xf numFmtId="2" fontId="112" fillId="0" borderId="50" xfId="0" applyNumberFormat="1" applyFont="1" applyBorder="1" applyAlignment="1">
      <alignment horizontal="center" vertical="center"/>
    </xf>
    <xf numFmtId="2" fontId="112" fillId="0" borderId="51" xfId="0" applyNumberFormat="1" applyFont="1" applyBorder="1" applyAlignment="1">
      <alignment horizontal="center" vertical="center"/>
    </xf>
    <xf numFmtId="2" fontId="112" fillId="0" borderId="74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79" fillId="17" borderId="8" xfId="0" applyFont="1" applyFill="1" applyBorder="1" applyAlignment="1">
      <alignment horizontal="center" vertical="center" wrapText="1"/>
    </xf>
    <xf numFmtId="0" fontId="79" fillId="17" borderId="9" xfId="0" applyFont="1" applyFill="1" applyBorder="1" applyAlignment="1">
      <alignment horizontal="center" vertical="center" wrapText="1"/>
    </xf>
    <xf numFmtId="0" fontId="127" fillId="17" borderId="33" xfId="0" applyFont="1" applyFill="1" applyBorder="1" applyAlignment="1">
      <alignment horizontal="left" vertical="center" wrapText="1"/>
    </xf>
    <xf numFmtId="164" fontId="76" fillId="0" borderId="8" xfId="0" applyNumberFormat="1" applyFont="1" applyBorder="1" applyAlignment="1">
      <alignment horizontal="center" vertical="center"/>
    </xf>
    <xf numFmtId="164" fontId="76" fillId="0" borderId="33" xfId="0" applyNumberFormat="1" applyFont="1" applyBorder="1" applyAlignment="1">
      <alignment horizontal="center" vertical="center"/>
    </xf>
    <xf numFmtId="0" fontId="73" fillId="0" borderId="50" xfId="0" applyFont="1" applyBorder="1" applyAlignment="1">
      <alignment horizontal="center" vertical="center"/>
    </xf>
    <xf numFmtId="0" fontId="111" fillId="24" borderId="71" xfId="0" applyFont="1" applyFill="1" applyBorder="1" applyAlignment="1">
      <alignment horizontal="center" vertical="center"/>
    </xf>
    <xf numFmtId="0" fontId="111" fillId="24" borderId="86" xfId="0" applyFont="1" applyFill="1" applyBorder="1" applyAlignment="1">
      <alignment horizontal="center" vertical="center"/>
    </xf>
    <xf numFmtId="0" fontId="111" fillId="24" borderId="72" xfId="0" applyFont="1" applyFill="1" applyBorder="1" applyAlignment="1">
      <alignment horizontal="center" vertical="center"/>
    </xf>
    <xf numFmtId="0" fontId="111" fillId="24" borderId="96" xfId="0" applyFont="1" applyFill="1" applyBorder="1" applyAlignment="1">
      <alignment horizontal="center" vertical="center"/>
    </xf>
    <xf numFmtId="0" fontId="111" fillId="24" borderId="73" xfId="0" applyFont="1" applyFill="1" applyBorder="1" applyAlignment="1">
      <alignment horizontal="center" vertical="center"/>
    </xf>
    <xf numFmtId="0" fontId="111" fillId="24" borderId="97" xfId="0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0" fontId="7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10" xfId="0" applyFont="1" applyBorder="1" applyAlignment="1">
      <alignment horizontal="right" wrapText="1"/>
    </xf>
    <xf numFmtId="0" fontId="17" fillId="13" borderId="9" xfId="0" applyFont="1" applyFill="1" applyBorder="1" applyAlignment="1">
      <alignment horizontal="left" vertical="center" wrapText="1"/>
    </xf>
    <xf numFmtId="0" fontId="17" fillId="13" borderId="33" xfId="0" applyFont="1" applyFill="1" applyBorder="1" applyAlignment="1">
      <alignment horizontal="left" vertical="center" wrapText="1"/>
    </xf>
    <xf numFmtId="0" fontId="72" fillId="0" borderId="1" xfId="0" applyFont="1" applyBorder="1" applyAlignment="1">
      <alignment horizontal="center" vertical="center" wrapText="1"/>
    </xf>
    <xf numFmtId="2" fontId="72" fillId="0" borderId="1" xfId="0" applyNumberFormat="1" applyFont="1" applyBorder="1" applyAlignment="1">
      <alignment horizontal="center" vertical="center" wrapText="1"/>
    </xf>
    <xf numFmtId="2" fontId="116" fillId="0" borderId="3" xfId="0" applyNumberFormat="1" applyFont="1" applyBorder="1" applyAlignment="1">
      <alignment horizontal="center" vertical="center"/>
    </xf>
    <xf numFmtId="2" fontId="116" fillId="0" borderId="4" xfId="0" applyNumberFormat="1" applyFont="1" applyBorder="1" applyAlignment="1">
      <alignment horizontal="center" vertical="center"/>
    </xf>
    <xf numFmtId="2" fontId="116" fillId="0" borderId="5" xfId="0" applyNumberFormat="1" applyFont="1" applyBorder="1" applyAlignment="1">
      <alignment horizontal="center" vertical="center"/>
    </xf>
    <xf numFmtId="2" fontId="116" fillId="0" borderId="6" xfId="0" applyNumberFormat="1" applyFont="1" applyBorder="1" applyAlignment="1">
      <alignment horizontal="center" vertical="center"/>
    </xf>
    <xf numFmtId="0" fontId="141" fillId="0" borderId="0" xfId="0" applyFont="1" applyAlignment="1">
      <alignment horizontal="right" vertical="center"/>
    </xf>
    <xf numFmtId="0" fontId="141" fillId="0" borderId="11" xfId="0" applyFont="1" applyBorder="1" applyAlignment="1">
      <alignment horizontal="right" vertical="center"/>
    </xf>
    <xf numFmtId="0" fontId="5" fillId="18" borderId="38" xfId="0" applyFont="1" applyFill="1" applyBorder="1" applyAlignment="1">
      <alignment horizontal="left"/>
    </xf>
    <xf numFmtId="0" fontId="5" fillId="18" borderId="16" xfId="0" applyFont="1" applyFill="1" applyBorder="1" applyAlignment="1">
      <alignment horizontal="left"/>
    </xf>
    <xf numFmtId="0" fontId="5" fillId="14" borderId="39" xfId="0" applyFont="1" applyFill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15" fillId="0" borderId="3" xfId="0" applyNumberFormat="1" applyFont="1" applyBorder="1" applyAlignment="1">
      <alignment horizontal="center" vertical="center"/>
    </xf>
    <xf numFmtId="2" fontId="115" fillId="0" borderId="4" xfId="0" applyNumberFormat="1" applyFont="1" applyBorder="1" applyAlignment="1">
      <alignment horizontal="center" vertical="center"/>
    </xf>
    <xf numFmtId="2" fontId="115" fillId="0" borderId="10" xfId="0" applyNumberFormat="1" applyFont="1" applyBorder="1" applyAlignment="1">
      <alignment horizontal="center" vertical="center"/>
    </xf>
    <xf numFmtId="2" fontId="115" fillId="0" borderId="11" xfId="0" applyNumberFormat="1" applyFont="1" applyBorder="1" applyAlignment="1">
      <alignment horizontal="center" vertical="center"/>
    </xf>
    <xf numFmtId="2" fontId="115" fillId="0" borderId="5" xfId="0" applyNumberFormat="1" applyFont="1" applyBorder="1" applyAlignment="1">
      <alignment horizontal="center" vertical="center"/>
    </xf>
    <xf numFmtId="2" fontId="115" fillId="0" borderId="6" xfId="0" applyNumberFormat="1" applyFont="1" applyBorder="1" applyAlignment="1">
      <alignment horizontal="center" vertical="center"/>
    </xf>
    <xf numFmtId="0" fontId="5" fillId="14" borderId="16" xfId="0" applyFont="1" applyFill="1" applyBorder="1" applyAlignment="1">
      <alignment horizontal="left"/>
    </xf>
    <xf numFmtId="0" fontId="5" fillId="14" borderId="38" xfId="0" applyFont="1" applyFill="1" applyBorder="1" applyAlignment="1">
      <alignment horizontal="left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22" borderId="71" xfId="0" applyFill="1" applyBorder="1" applyAlignment="1">
      <alignment horizontal="center"/>
    </xf>
    <xf numFmtId="0" fontId="0" fillId="22" borderId="86" xfId="0" applyFill="1" applyBorder="1" applyAlignment="1">
      <alignment horizontal="center"/>
    </xf>
    <xf numFmtId="0" fontId="103" fillId="0" borderId="92" xfId="0" applyFont="1" applyBorder="1" applyAlignment="1">
      <alignment horizontal="center"/>
    </xf>
    <xf numFmtId="0" fontId="103" fillId="0" borderId="93" xfId="0" applyFont="1" applyBorder="1" applyAlignment="1">
      <alignment horizontal="center"/>
    </xf>
    <xf numFmtId="0" fontId="2" fillId="17" borderId="78" xfId="0" applyFont="1" applyFill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" fillId="17" borderId="57" xfId="0" applyFont="1" applyFill="1" applyBorder="1" applyAlignment="1">
      <alignment horizontal="center" vertical="center"/>
    </xf>
    <xf numFmtId="0" fontId="2" fillId="17" borderId="91" xfId="0" applyFont="1" applyFill="1" applyBorder="1" applyAlignment="1">
      <alignment horizontal="center" vertical="center"/>
    </xf>
    <xf numFmtId="0" fontId="2" fillId="17" borderId="8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0" fillId="0" borderId="22" xfId="0" applyBorder="1"/>
    <xf numFmtId="0" fontId="2" fillId="0" borderId="24" xfId="0" applyFont="1" applyBorder="1" applyAlignment="1">
      <alignment horizontal="center"/>
    </xf>
    <xf numFmtId="0" fontId="0" fillId="0" borderId="25" xfId="0" applyBorder="1"/>
    <xf numFmtId="0" fontId="2" fillId="0" borderId="3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3" xfId="0" applyBorder="1"/>
    <xf numFmtId="0" fontId="2" fillId="0" borderId="15" xfId="0" applyFont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9" fillId="19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12" fillId="19" borderId="4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12" fillId="19" borderId="6" xfId="0" applyFont="1" applyFill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34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2" fillId="0" borderId="35" xfId="0" applyFont="1" applyBorder="1" applyAlignment="1">
      <alignment horizontal="left" wrapText="1"/>
    </xf>
    <xf numFmtId="0" fontId="2" fillId="25" borderId="14" xfId="0" applyFont="1" applyFill="1" applyBorder="1" applyAlignment="1">
      <alignment horizontal="center" vertical="center"/>
    </xf>
    <xf numFmtId="0" fontId="2" fillId="25" borderId="17" xfId="0" applyFont="1" applyFill="1" applyBorder="1" applyAlignment="1">
      <alignment horizontal="center" vertical="center"/>
    </xf>
    <xf numFmtId="0" fontId="2" fillId="25" borderId="20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4" fillId="4" borderId="3" xfId="0" applyFont="1" applyFill="1" applyBorder="1" applyAlignment="1">
      <alignment horizontal="center" vertical="center"/>
    </xf>
    <xf numFmtId="0" fontId="94" fillId="4" borderId="7" xfId="0" applyFont="1" applyFill="1" applyBorder="1" applyAlignment="1">
      <alignment horizontal="center" vertical="center"/>
    </xf>
    <xf numFmtId="0" fontId="94" fillId="4" borderId="4" xfId="0" applyFont="1" applyFill="1" applyBorder="1" applyAlignment="1">
      <alignment horizontal="center" vertical="center"/>
    </xf>
    <xf numFmtId="0" fontId="94" fillId="4" borderId="5" xfId="0" applyFont="1" applyFill="1" applyBorder="1" applyAlignment="1">
      <alignment horizontal="center" vertical="center"/>
    </xf>
    <xf numFmtId="0" fontId="94" fillId="4" borderId="2" xfId="0" applyFont="1" applyFill="1" applyBorder="1" applyAlignment="1">
      <alignment horizontal="center" vertical="center"/>
    </xf>
    <xf numFmtId="0" fontId="94" fillId="4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0" fillId="0" borderId="23" xfId="0" applyBorder="1"/>
    <xf numFmtId="0" fontId="2" fillId="0" borderId="3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" fillId="0" borderId="27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164" fontId="76" fillId="18" borderId="1" xfId="0" applyNumberFormat="1" applyFont="1" applyFill="1" applyBorder="1" applyAlignment="1">
      <alignment horizontal="center"/>
    </xf>
    <xf numFmtId="164" fontId="17" fillId="17" borderId="8" xfId="0" applyNumberFormat="1" applyFont="1" applyFill="1" applyBorder="1" applyAlignment="1">
      <alignment horizontal="center" vertical="center"/>
    </xf>
    <xf numFmtId="164" fontId="17" fillId="17" borderId="33" xfId="0" applyNumberFormat="1" applyFont="1" applyFill="1" applyBorder="1" applyAlignment="1">
      <alignment horizontal="center" vertical="center"/>
    </xf>
    <xf numFmtId="2" fontId="5" fillId="18" borderId="1" xfId="0" applyNumberFormat="1" applyFont="1" applyFill="1" applyBorder="1" applyAlignment="1">
      <alignment horizontal="center" wrapText="1"/>
    </xf>
    <xf numFmtId="2" fontId="72" fillId="18" borderId="1" xfId="0" applyNumberFormat="1" applyFont="1" applyFill="1" applyBorder="1"/>
    <xf numFmtId="0" fontId="17" fillId="0" borderId="2" xfId="0" applyFont="1" applyBorder="1" applyAlignment="1">
      <alignment horizontal="right" vertical="center"/>
    </xf>
    <xf numFmtId="0" fontId="17" fillId="17" borderId="75" xfId="0" applyFont="1" applyFill="1" applyBorder="1" applyAlignment="1">
      <alignment horizontal="left" vertical="center" wrapText="1"/>
    </xf>
    <xf numFmtId="0" fontId="17" fillId="17" borderId="29" xfId="0" applyFont="1" applyFill="1" applyBorder="1" applyAlignment="1">
      <alignment horizontal="left" vertical="center" wrapText="1"/>
    </xf>
    <xf numFmtId="0" fontId="17" fillId="17" borderId="30" xfId="0" applyFont="1" applyFill="1" applyBorder="1" applyAlignment="1">
      <alignment horizontal="left" vertical="center" wrapText="1"/>
    </xf>
    <xf numFmtId="2" fontId="5" fillId="18" borderId="1" xfId="0" applyNumberFormat="1" applyFont="1" applyFill="1" applyBorder="1" applyAlignment="1">
      <alignment horizontal="center" vertical="center" wrapText="1"/>
    </xf>
    <xf numFmtId="0" fontId="7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 vertical="center" wrapText="1"/>
    </xf>
    <xf numFmtId="0" fontId="72" fillId="18" borderId="1" xfId="0" applyFont="1" applyFill="1" applyBorder="1"/>
    <xf numFmtId="0" fontId="5" fillId="18" borderId="52" xfId="0" applyFont="1" applyFill="1" applyBorder="1" applyAlignment="1">
      <alignment horizontal="center" vertical="center" wrapText="1"/>
    </xf>
    <xf numFmtId="0" fontId="5" fillId="18" borderId="60" xfId="0" applyFont="1" applyFill="1" applyBorder="1" applyAlignment="1">
      <alignment horizontal="center" vertical="center" wrapText="1"/>
    </xf>
    <xf numFmtId="164" fontId="76" fillId="18" borderId="1" xfId="0" applyNumberFormat="1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21" borderId="1" xfId="0" applyFont="1" applyFill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13" fillId="0" borderId="71" xfId="0" applyFont="1" applyBorder="1" applyAlignment="1">
      <alignment horizontal="center" vertical="center"/>
    </xf>
    <xf numFmtId="0" fontId="113" fillId="0" borderId="86" xfId="0" applyFont="1" applyBorder="1" applyAlignment="1">
      <alignment horizontal="center" vertical="center"/>
    </xf>
    <xf numFmtId="0" fontId="113" fillId="0" borderId="72" xfId="0" applyFont="1" applyBorder="1" applyAlignment="1">
      <alignment horizontal="center" vertical="center"/>
    </xf>
    <xf numFmtId="0" fontId="113" fillId="0" borderId="96" xfId="0" applyFont="1" applyBorder="1" applyAlignment="1">
      <alignment horizontal="center" vertical="center"/>
    </xf>
    <xf numFmtId="0" fontId="113" fillId="0" borderId="73" xfId="0" applyFont="1" applyBorder="1" applyAlignment="1">
      <alignment horizontal="center" vertical="center"/>
    </xf>
    <xf numFmtId="0" fontId="113" fillId="0" borderId="97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2" fontId="5" fillId="0" borderId="0" xfId="0" applyNumberFormat="1" applyFont="1" applyAlignment="1">
      <alignment horizontal="right"/>
    </xf>
    <xf numFmtId="0" fontId="31" fillId="14" borderId="16" xfId="0" applyFont="1" applyFill="1" applyBorder="1" applyAlignment="1">
      <alignment horizontal="left"/>
    </xf>
    <xf numFmtId="0" fontId="31" fillId="0" borderId="0" xfId="0" applyFont="1" applyAlignment="1">
      <alignment horizontal="left"/>
    </xf>
    <xf numFmtId="0" fontId="40" fillId="0" borderId="10" xfId="0" applyFont="1" applyBorder="1" applyAlignment="1">
      <alignment horizontal="right" vertical="center"/>
    </xf>
    <xf numFmtId="0" fontId="40" fillId="0" borderId="0" xfId="0" applyFont="1" applyAlignment="1">
      <alignment horizontal="right" vertical="center"/>
    </xf>
    <xf numFmtId="164" fontId="31" fillId="0" borderId="10" xfId="0" applyNumberFormat="1" applyFont="1" applyBorder="1" applyAlignment="1">
      <alignment horizontal="left"/>
    </xf>
    <xf numFmtId="164" fontId="31" fillId="0" borderId="0" xfId="0" applyNumberFormat="1" applyFont="1" applyAlignment="1">
      <alignment horizontal="left"/>
    </xf>
    <xf numFmtId="164" fontId="31" fillId="0" borderId="0" xfId="0" applyNumberFormat="1" applyFont="1" applyAlignment="1">
      <alignment horizontal="left" vertical="center"/>
    </xf>
    <xf numFmtId="0" fontId="40" fillId="0" borderId="1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right" wrapText="1"/>
    </xf>
    <xf numFmtId="0" fontId="52" fillId="13" borderId="8" xfId="0" applyFont="1" applyFill="1" applyBorder="1" applyAlignment="1">
      <alignment horizontal="center" vertical="center" wrapText="1"/>
    </xf>
    <xf numFmtId="0" fontId="52" fillId="13" borderId="9" xfId="0" applyFont="1" applyFill="1" applyBorder="1" applyAlignment="1">
      <alignment horizontal="center" vertical="center" wrapText="1"/>
    </xf>
    <xf numFmtId="0" fontId="52" fillId="13" borderId="33" xfId="0" applyFont="1" applyFill="1" applyBorder="1" applyAlignment="1">
      <alignment horizontal="center" vertical="center" wrapText="1"/>
    </xf>
    <xf numFmtId="0" fontId="35" fillId="13" borderId="40" xfId="0" applyFont="1" applyFill="1" applyBorder="1" applyAlignment="1">
      <alignment horizontal="left" vertical="center" wrapText="1"/>
    </xf>
    <xf numFmtId="0" fontId="35" fillId="13" borderId="9" xfId="0" applyFont="1" applyFill="1" applyBorder="1" applyAlignment="1">
      <alignment horizontal="left" vertical="center" wrapText="1"/>
    </xf>
    <xf numFmtId="0" fontId="35" fillId="13" borderId="33" xfId="0" applyFont="1" applyFill="1" applyBorder="1" applyAlignment="1">
      <alignment horizontal="left" vertical="center" wrapText="1"/>
    </xf>
    <xf numFmtId="0" fontId="40" fillId="0" borderId="0" xfId="0" applyFont="1" applyAlignment="1">
      <alignment horizontal="center" vertical="center" wrapText="1"/>
    </xf>
    <xf numFmtId="0" fontId="44" fillId="14" borderId="35" xfId="0" applyFont="1" applyFill="1" applyBorder="1" applyAlignment="1">
      <alignment horizontal="center" vertical="center" wrapText="1"/>
    </xf>
    <xf numFmtId="0" fontId="44" fillId="14" borderId="41" xfId="0" applyFont="1" applyFill="1" applyBorder="1" applyAlignment="1">
      <alignment horizontal="center" vertical="center" wrapText="1"/>
    </xf>
    <xf numFmtId="0" fontId="44" fillId="14" borderId="22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right"/>
    </xf>
    <xf numFmtId="2" fontId="40" fillId="0" borderId="0" xfId="0" applyNumberFormat="1" applyFont="1" applyAlignment="1">
      <alignment horizontal="right"/>
    </xf>
    <xf numFmtId="2" fontId="17" fillId="17" borderId="8" xfId="0" applyNumberFormat="1" applyFont="1" applyFill="1" applyBorder="1" applyAlignment="1">
      <alignment horizontal="center" vertical="center"/>
    </xf>
    <xf numFmtId="2" fontId="17" fillId="17" borderId="33" xfId="0" applyNumberFormat="1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left"/>
    </xf>
    <xf numFmtId="0" fontId="5" fillId="18" borderId="33" xfId="0" applyFont="1" applyFill="1" applyBorder="1" applyAlignment="1">
      <alignment horizontal="left"/>
    </xf>
    <xf numFmtId="2" fontId="76" fillId="18" borderId="1" xfId="0" applyNumberFormat="1" applyFont="1" applyFill="1" applyBorder="1" applyAlignment="1">
      <alignment horizontal="center" vertical="center"/>
    </xf>
    <xf numFmtId="2" fontId="76" fillId="0" borderId="1" xfId="0" applyNumberFormat="1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76" fillId="18" borderId="1" xfId="0" applyFont="1" applyFill="1" applyBorder="1" applyAlignment="1">
      <alignment horizontal="center" vertical="center"/>
    </xf>
    <xf numFmtId="0" fontId="73" fillId="0" borderId="50" xfId="0" applyFont="1" applyBorder="1" applyAlignment="1">
      <alignment horizontal="center"/>
    </xf>
    <xf numFmtId="1" fontId="5" fillId="0" borderId="51" xfId="0" applyNumberFormat="1" applyFont="1" applyBorder="1" applyAlignment="1">
      <alignment horizontal="center"/>
    </xf>
    <xf numFmtId="1" fontId="5" fillId="0" borderId="74" xfId="0" applyNumberFormat="1" applyFont="1" applyBorder="1" applyAlignment="1">
      <alignment horizontal="center"/>
    </xf>
    <xf numFmtId="0" fontId="2" fillId="0" borderId="0" xfId="0" applyFont="1" applyAlignment="1">
      <alignment horizontal="right" vertical="top" wrapText="1"/>
    </xf>
    <xf numFmtId="0" fontId="76" fillId="0" borderId="9" xfId="0" applyFont="1" applyBorder="1" applyAlignment="1">
      <alignment horizontal="center"/>
    </xf>
    <xf numFmtId="0" fontId="17" fillId="17" borderId="40" xfId="0" applyFont="1" applyFill="1" applyBorder="1" applyAlignment="1">
      <alignment horizontal="left" vertical="center" wrapText="1"/>
    </xf>
    <xf numFmtId="0" fontId="79" fillId="0" borderId="1" xfId="0" applyFont="1" applyBorder="1" applyAlignment="1">
      <alignment horizontal="center"/>
    </xf>
    <xf numFmtId="2" fontId="5" fillId="18" borderId="52" xfId="0" applyNumberFormat="1" applyFont="1" applyFill="1" applyBorder="1" applyAlignment="1">
      <alignment horizontal="center" wrapText="1"/>
    </xf>
    <xf numFmtId="2" fontId="72" fillId="18" borderId="60" xfId="0" applyNumberFormat="1" applyFont="1" applyFill="1" applyBorder="1"/>
    <xf numFmtId="0" fontId="79" fillId="0" borderId="51" xfId="0" applyFont="1" applyBorder="1" applyAlignment="1">
      <alignment horizontal="center"/>
    </xf>
    <xf numFmtId="0" fontId="73" fillId="0" borderId="47" xfId="0" applyFont="1" applyBorder="1" applyAlignment="1">
      <alignment horizontal="right" vertical="center"/>
    </xf>
    <xf numFmtId="0" fontId="5" fillId="18" borderId="35" xfId="0" applyFont="1" applyFill="1" applyBorder="1" applyAlignment="1">
      <alignment horizontal="left"/>
    </xf>
    <xf numFmtId="0" fontId="5" fillId="18" borderId="22" xfId="0" applyFont="1" applyFill="1" applyBorder="1" applyAlignment="1">
      <alignment horizontal="left"/>
    </xf>
    <xf numFmtId="0" fontId="79" fillId="0" borderId="49" xfId="0" applyFont="1" applyBorder="1" applyAlignment="1">
      <alignment horizontal="center"/>
    </xf>
    <xf numFmtId="0" fontId="79" fillId="0" borderId="31" xfId="0" applyFont="1" applyBorder="1" applyAlignment="1">
      <alignment horizontal="center"/>
    </xf>
    <xf numFmtId="0" fontId="79" fillId="0" borderId="28" xfId="0" applyFont="1" applyBorder="1" applyAlignment="1">
      <alignment horizontal="center"/>
    </xf>
    <xf numFmtId="164" fontId="5" fillId="0" borderId="16" xfId="0" applyNumberFormat="1" applyFont="1" applyBorder="1" applyAlignment="1">
      <alignment horizontal="center" vertical="center"/>
    </xf>
    <xf numFmtId="164" fontId="76" fillId="18" borderId="39" xfId="0" applyNumberFormat="1" applyFont="1" applyFill="1" applyBorder="1" applyAlignment="1">
      <alignment horizontal="center" vertical="center"/>
    </xf>
    <xf numFmtId="164" fontId="76" fillId="18" borderId="38" xfId="0" applyNumberFormat="1" applyFont="1" applyFill="1" applyBorder="1" applyAlignment="1">
      <alignment horizontal="center" vertical="center"/>
    </xf>
    <xf numFmtId="0" fontId="73" fillId="0" borderId="59" xfId="0" applyFont="1" applyBorder="1" applyAlignment="1">
      <alignment horizontal="right" vertical="center"/>
    </xf>
    <xf numFmtId="0" fontId="73" fillId="0" borderId="48" xfId="0" applyFont="1" applyBorder="1" applyAlignment="1">
      <alignment horizontal="center" vertical="center"/>
    </xf>
    <xf numFmtId="0" fontId="73" fillId="0" borderId="16" xfId="0" applyFont="1" applyBorder="1" applyAlignment="1">
      <alignment horizontal="center" vertical="center"/>
    </xf>
    <xf numFmtId="0" fontId="73" fillId="0" borderId="43" xfId="0" applyFont="1" applyBorder="1" applyAlignment="1">
      <alignment horizontal="left"/>
    </xf>
    <xf numFmtId="0" fontId="73" fillId="0" borderId="60" xfId="0" applyFont="1" applyBorder="1" applyAlignment="1">
      <alignment horizontal="left"/>
    </xf>
    <xf numFmtId="0" fontId="84" fillId="0" borderId="59" xfId="0" applyFont="1" applyBorder="1" applyAlignment="1">
      <alignment horizontal="right" wrapText="1"/>
    </xf>
    <xf numFmtId="164" fontId="76" fillId="18" borderId="16" xfId="0" applyNumberFormat="1" applyFont="1" applyFill="1" applyBorder="1" applyAlignment="1">
      <alignment horizontal="center" vertical="center"/>
    </xf>
    <xf numFmtId="2" fontId="76" fillId="18" borderId="16" xfId="0" applyNumberFormat="1" applyFont="1" applyFill="1" applyBorder="1" applyAlignment="1">
      <alignment horizontal="center" vertical="center"/>
    </xf>
    <xf numFmtId="0" fontId="84" fillId="0" borderId="59" xfId="0" applyFont="1" applyBorder="1" applyAlignment="1">
      <alignment horizontal="right" vertical="center" wrapText="1"/>
    </xf>
    <xf numFmtId="0" fontId="73" fillId="0" borderId="43" xfId="0" applyFont="1" applyBorder="1" applyAlignment="1">
      <alignment horizontal="center" vertical="center" wrapText="1"/>
    </xf>
    <xf numFmtId="2" fontId="5" fillId="18" borderId="35" xfId="0" applyNumberFormat="1" applyFont="1" applyFill="1" applyBorder="1" applyAlignment="1">
      <alignment horizontal="center" vertical="center" wrapText="1"/>
    </xf>
    <xf numFmtId="2" fontId="72" fillId="18" borderId="22" xfId="0" applyNumberFormat="1" applyFont="1" applyFill="1" applyBorder="1"/>
    <xf numFmtId="0" fontId="5" fillId="18" borderId="35" xfId="0" applyFont="1" applyFill="1" applyBorder="1" applyAlignment="1">
      <alignment horizontal="center" vertical="center" wrapText="1"/>
    </xf>
    <xf numFmtId="0" fontId="72" fillId="18" borderId="22" xfId="0" applyFont="1" applyFill="1" applyBorder="1"/>
    <xf numFmtId="2" fontId="5" fillId="18" borderId="22" xfId="0" applyNumberFormat="1" applyFont="1" applyFill="1" applyBorder="1" applyAlignment="1">
      <alignment horizontal="center" vertical="center" wrapText="1"/>
    </xf>
    <xf numFmtId="164" fontId="5" fillId="0" borderId="39" xfId="0" applyNumberFormat="1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64" fontId="5" fillId="0" borderId="35" xfId="0" applyNumberFormat="1" applyFon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52" xfId="0" applyNumberFormat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0" borderId="60" xfId="0" applyNumberFormat="1" applyFont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17" borderId="40" xfId="0" applyFont="1" applyFill="1" applyBorder="1" applyAlignment="1">
      <alignment horizontal="left" vertical="center" wrapText="1"/>
    </xf>
    <xf numFmtId="0" fontId="21" fillId="17" borderId="9" xfId="0" applyFont="1" applyFill="1" applyBorder="1" applyAlignment="1">
      <alignment horizontal="left" vertical="center" wrapText="1"/>
    </xf>
    <xf numFmtId="0" fontId="21" fillId="17" borderId="33" xfId="0" applyFont="1" applyFill="1" applyBorder="1" applyAlignment="1">
      <alignment horizontal="left" vertical="center" wrapText="1"/>
    </xf>
    <xf numFmtId="0" fontId="61" fillId="0" borderId="0" xfId="0" applyFont="1" applyAlignment="1">
      <alignment horizontal="center" vertical="center" wrapText="1"/>
    </xf>
    <xf numFmtId="2" fontId="61" fillId="18" borderId="35" xfId="0" applyNumberFormat="1" applyFont="1" applyFill="1" applyBorder="1" applyAlignment="1">
      <alignment horizontal="center" vertical="center" wrapText="1"/>
    </xf>
    <xf numFmtId="2" fontId="61" fillId="18" borderId="41" xfId="0" applyNumberFormat="1" applyFont="1" applyFill="1" applyBorder="1" applyAlignment="1">
      <alignment horizontal="center" vertical="center" wrapText="1"/>
    </xf>
    <xf numFmtId="2" fontId="61" fillId="18" borderId="22" xfId="0" applyNumberFormat="1" applyFont="1" applyFill="1" applyBorder="1" applyAlignment="1">
      <alignment horizontal="center" vertical="center" wrapText="1"/>
    </xf>
    <xf numFmtId="0" fontId="61" fillId="18" borderId="35" xfId="0" applyFont="1" applyFill="1" applyBorder="1" applyAlignment="1">
      <alignment horizontal="center" vertical="center" wrapText="1"/>
    </xf>
    <xf numFmtId="0" fontId="61" fillId="18" borderId="41" xfId="0" applyFont="1" applyFill="1" applyBorder="1" applyAlignment="1">
      <alignment horizontal="center" vertical="center" wrapText="1"/>
    </xf>
    <xf numFmtId="0" fontId="61" fillId="18" borderId="22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right" wrapText="1"/>
    </xf>
    <xf numFmtId="2" fontId="51" fillId="0" borderId="0" xfId="0" applyNumberFormat="1" applyFont="1" applyAlignment="1">
      <alignment horizontal="right"/>
    </xf>
    <xf numFmtId="0" fontId="51" fillId="0" borderId="0" xfId="0" applyFont="1" applyAlignment="1">
      <alignment horizontal="right"/>
    </xf>
    <xf numFmtId="0" fontId="61" fillId="0" borderId="0" xfId="0" applyFont="1" applyAlignment="1">
      <alignment horizontal="center"/>
    </xf>
    <xf numFmtId="164" fontId="61" fillId="0" borderId="0" xfId="0" applyNumberFormat="1" applyFont="1" applyAlignment="1">
      <alignment horizontal="left" vertical="center"/>
    </xf>
    <xf numFmtId="0" fontId="61" fillId="18" borderId="16" xfId="0" applyFont="1" applyFill="1" applyBorder="1" applyAlignment="1">
      <alignment horizontal="left"/>
    </xf>
    <xf numFmtId="0" fontId="61" fillId="14" borderId="16" xfId="0" applyFont="1" applyFill="1" applyBorder="1" applyAlignment="1">
      <alignment horizontal="left"/>
    </xf>
    <xf numFmtId="0" fontId="61" fillId="0" borderId="0" xfId="0" applyFont="1" applyAlignment="1">
      <alignment horizontal="right" vertical="center"/>
    </xf>
    <xf numFmtId="0" fontId="61" fillId="0" borderId="0" xfId="0" applyFont="1" applyAlignment="1">
      <alignment horizontal="left"/>
    </xf>
    <xf numFmtId="0" fontId="51" fillId="0" borderId="10" xfId="0" applyFont="1" applyBorder="1" applyAlignment="1">
      <alignment horizontal="right"/>
    </xf>
    <xf numFmtId="0" fontId="61" fillId="0" borderId="0" xfId="0" applyFont="1" applyAlignment="1">
      <alignment horizontal="center" vertical="center"/>
    </xf>
    <xf numFmtId="164" fontId="61" fillId="0" borderId="10" xfId="0" applyNumberFormat="1" applyFont="1" applyBorder="1" applyAlignment="1">
      <alignment horizontal="left"/>
    </xf>
    <xf numFmtId="164" fontId="61" fillId="0" borderId="0" xfId="0" applyNumberFormat="1" applyFont="1" applyAlignment="1">
      <alignment horizontal="left"/>
    </xf>
    <xf numFmtId="0" fontId="5" fillId="18" borderId="22" xfId="0" applyFont="1" applyFill="1" applyBorder="1" applyAlignment="1">
      <alignment horizontal="center" vertical="center" wrapText="1"/>
    </xf>
    <xf numFmtId="0" fontId="76" fillId="18" borderId="16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center" vertical="center"/>
    </xf>
    <xf numFmtId="0" fontId="17" fillId="17" borderId="33" xfId="0" applyFont="1" applyFill="1" applyBorder="1" applyAlignment="1">
      <alignment horizontal="center" vertical="center"/>
    </xf>
    <xf numFmtId="2" fontId="5" fillId="18" borderId="41" xfId="0" applyNumberFormat="1" applyFont="1" applyFill="1" applyBorder="1" applyAlignment="1">
      <alignment horizontal="center" vertical="center" wrapText="1"/>
    </xf>
    <xf numFmtId="0" fontId="5" fillId="18" borderId="41" xfId="0" applyFont="1" applyFill="1" applyBorder="1" applyAlignment="1">
      <alignment horizontal="center" vertical="center" wrapText="1"/>
    </xf>
    <xf numFmtId="0" fontId="31" fillId="18" borderId="16" xfId="0" applyFont="1" applyFill="1" applyBorder="1" applyAlignment="1">
      <alignment horizontal="left"/>
    </xf>
    <xf numFmtId="0" fontId="31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1" fillId="0" borderId="0" xfId="0" applyFont="1" applyAlignment="1">
      <alignment horizontal="right" wrapText="1"/>
    </xf>
    <xf numFmtId="2" fontId="44" fillId="0" borderId="0" xfId="0" applyNumberFormat="1" applyFont="1" applyAlignment="1">
      <alignment horizontal="right"/>
    </xf>
    <xf numFmtId="0" fontId="44" fillId="0" borderId="0" xfId="0" applyFont="1" applyAlignment="1">
      <alignment horizontal="right"/>
    </xf>
    <xf numFmtId="0" fontId="21" fillId="0" borderId="2" xfId="0" applyFont="1" applyBorder="1" applyAlignment="1">
      <alignment horizontal="right"/>
    </xf>
    <xf numFmtId="164" fontId="31" fillId="0" borderId="10" xfId="0" applyNumberFormat="1" applyFont="1" applyBorder="1" applyAlignment="1">
      <alignment horizontal="left" vertical="center"/>
    </xf>
    <xf numFmtId="0" fontId="38" fillId="0" borderId="0" xfId="0" applyFont="1" applyAlignment="1">
      <alignment horizontal="right" vertical="center"/>
    </xf>
    <xf numFmtId="0" fontId="44" fillId="0" borderId="10" xfId="0" applyFont="1" applyBorder="1" applyAlignment="1">
      <alignment horizontal="right"/>
    </xf>
    <xf numFmtId="0" fontId="38" fillId="0" borderId="11" xfId="0" applyFont="1" applyBorder="1" applyAlignment="1">
      <alignment horizontal="right" vertical="center"/>
    </xf>
    <xf numFmtId="0" fontId="35" fillId="17" borderId="40" xfId="0" applyFont="1" applyFill="1" applyBorder="1" applyAlignment="1">
      <alignment horizontal="left" vertical="center" wrapText="1"/>
    </xf>
    <xf numFmtId="0" fontId="35" fillId="17" borderId="9" xfId="0" applyFont="1" applyFill="1" applyBorder="1" applyAlignment="1">
      <alignment horizontal="left" vertical="center" wrapText="1"/>
    </xf>
    <xf numFmtId="0" fontId="35" fillId="17" borderId="33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center" vertical="center" wrapText="1"/>
    </xf>
    <xf numFmtId="0" fontId="31" fillId="18" borderId="35" xfId="0" applyFont="1" applyFill="1" applyBorder="1" applyAlignment="1">
      <alignment horizontal="center" vertical="center" wrapText="1"/>
    </xf>
    <xf numFmtId="0" fontId="31" fillId="18" borderId="41" xfId="0" applyFont="1" applyFill="1" applyBorder="1" applyAlignment="1">
      <alignment horizontal="center" vertical="center" wrapText="1"/>
    </xf>
    <xf numFmtId="0" fontId="31" fillId="18" borderId="22" xfId="0" applyFont="1" applyFill="1" applyBorder="1" applyAlignment="1">
      <alignment horizontal="center" vertical="center" wrapText="1"/>
    </xf>
    <xf numFmtId="0" fontId="57" fillId="13" borderId="8" xfId="0" applyFont="1" applyFill="1" applyBorder="1" applyAlignment="1">
      <alignment horizontal="center" vertical="center" wrapText="1"/>
    </xf>
    <xf numFmtId="0" fontId="57" fillId="13" borderId="9" xfId="0" applyFont="1" applyFill="1" applyBorder="1" applyAlignment="1">
      <alignment horizontal="center" vertical="center" wrapText="1"/>
    </xf>
    <xf numFmtId="0" fontId="57" fillId="13" borderId="33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right" wrapText="1"/>
    </xf>
    <xf numFmtId="0" fontId="47" fillId="0" borderId="59" xfId="0" applyFont="1" applyBorder="1" applyAlignment="1">
      <alignment horizontal="right" wrapText="1"/>
    </xf>
    <xf numFmtId="0" fontId="34" fillId="14" borderId="16" xfId="0" applyFont="1" applyFill="1" applyBorder="1" applyAlignment="1">
      <alignment horizontal="center" vertical="center"/>
    </xf>
    <xf numFmtId="0" fontId="47" fillId="0" borderId="0" xfId="0" applyFont="1" applyAlignment="1">
      <alignment horizontal="right" vertical="center" wrapText="1"/>
    </xf>
    <xf numFmtId="0" fontId="47" fillId="0" borderId="59" xfId="0" applyFont="1" applyBorder="1" applyAlignment="1">
      <alignment horizontal="right" vertical="center" wrapText="1"/>
    </xf>
    <xf numFmtId="0" fontId="35" fillId="13" borderId="29" xfId="0" applyFont="1" applyFill="1" applyBorder="1" applyAlignment="1">
      <alignment horizontal="left" vertical="center" wrapText="1"/>
    </xf>
    <xf numFmtId="0" fontId="35" fillId="13" borderId="30" xfId="0" applyFont="1" applyFill="1" applyBorder="1" applyAlignment="1">
      <alignment horizontal="left" vertical="center" wrapText="1"/>
    </xf>
    <xf numFmtId="0" fontId="44" fillId="0" borderId="0" xfId="0" applyFont="1" applyAlignment="1">
      <alignment horizontal="right" vertical="center" wrapText="1"/>
    </xf>
    <xf numFmtId="0" fontId="31" fillId="14" borderId="35" xfId="0" applyFont="1" applyFill="1" applyBorder="1" applyAlignment="1">
      <alignment horizontal="center" vertical="center" wrapText="1"/>
    </xf>
    <xf numFmtId="0" fontId="31" fillId="14" borderId="22" xfId="0" applyFont="1" applyFill="1" applyBorder="1" applyAlignment="1">
      <alignment horizontal="center" vertical="center" wrapText="1"/>
    </xf>
    <xf numFmtId="0" fontId="47" fillId="0" borderId="10" xfId="0" applyFont="1" applyBorder="1" applyAlignment="1">
      <alignment horizontal="right" wrapText="1"/>
    </xf>
    <xf numFmtId="0" fontId="45" fillId="0" borderId="0" xfId="0" applyFont="1" applyAlignment="1">
      <alignment horizontal="center" vertical="center"/>
    </xf>
    <xf numFmtId="0" fontId="31" fillId="14" borderId="35" xfId="0" applyFont="1" applyFill="1" applyBorder="1" applyAlignment="1">
      <alignment horizontal="left"/>
    </xf>
    <xf numFmtId="0" fontId="31" fillId="14" borderId="22" xfId="0" applyFont="1" applyFill="1" applyBorder="1" applyAlignment="1">
      <alignment horizontal="left"/>
    </xf>
    <xf numFmtId="0" fontId="40" fillId="0" borderId="59" xfId="0" applyFont="1" applyBorder="1" applyAlignment="1">
      <alignment horizontal="right" vertical="center"/>
    </xf>
    <xf numFmtId="0" fontId="40" fillId="0" borderId="43" xfId="0" applyFont="1" applyBorder="1" applyAlignment="1">
      <alignment horizontal="left"/>
    </xf>
    <xf numFmtId="0" fontId="40" fillId="0" borderId="60" xfId="0" applyFont="1" applyBorder="1" applyAlignment="1">
      <alignment horizontal="left"/>
    </xf>
    <xf numFmtId="0" fontId="40" fillId="0" borderId="47" xfId="0" applyFont="1" applyBorder="1" applyAlignment="1">
      <alignment horizontal="right" vertical="center"/>
    </xf>
    <xf numFmtId="0" fontId="47" fillId="0" borderId="10" xfId="0" applyFont="1" applyBorder="1" applyAlignment="1">
      <alignment horizontal="right" vertical="center" wrapText="1"/>
    </xf>
    <xf numFmtId="164" fontId="31" fillId="0" borderId="16" xfId="0" applyNumberFormat="1" applyFont="1" applyBorder="1" applyAlignment="1">
      <alignment horizontal="center" vertical="center"/>
    </xf>
    <xf numFmtId="0" fontId="34" fillId="0" borderId="10" xfId="1" applyFont="1" applyBorder="1" applyAlignment="1" applyProtection="1">
      <alignment horizontal="left" vertical="center"/>
    </xf>
    <xf numFmtId="0" fontId="37" fillId="0" borderId="0" xfId="1" applyFont="1" applyBorder="1" applyAlignment="1" applyProtection="1">
      <alignment horizontal="left" vertical="center"/>
    </xf>
    <xf numFmtId="0" fontId="38" fillId="0" borderId="49" xfId="0" applyFont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164" fontId="31" fillId="0" borderId="35" xfId="0" applyNumberFormat="1" applyFont="1" applyBorder="1" applyAlignment="1">
      <alignment horizontal="center" vertical="center"/>
    </xf>
    <xf numFmtId="164" fontId="31" fillId="0" borderId="41" xfId="0" applyNumberFormat="1" applyFont="1" applyBorder="1" applyAlignment="1">
      <alignment horizontal="center" vertical="center"/>
    </xf>
    <xf numFmtId="164" fontId="31" fillId="0" borderId="52" xfId="0" applyNumberFormat="1" applyFont="1" applyBorder="1" applyAlignment="1">
      <alignment horizontal="center" vertical="center"/>
    </xf>
    <xf numFmtId="164" fontId="31" fillId="0" borderId="43" xfId="0" applyNumberFormat="1" applyFont="1" applyBorder="1" applyAlignment="1">
      <alignment horizontal="center" vertical="center"/>
    </xf>
    <xf numFmtId="164" fontId="31" fillId="0" borderId="60" xfId="0" applyNumberFormat="1" applyFont="1" applyBorder="1" applyAlignment="1">
      <alignment horizontal="center" vertical="center"/>
    </xf>
    <xf numFmtId="0" fontId="31" fillId="12" borderId="35" xfId="0" applyFont="1" applyFill="1" applyBorder="1" applyAlignment="1">
      <alignment horizontal="left"/>
    </xf>
    <xf numFmtId="0" fontId="31" fillId="12" borderId="22" xfId="0" applyFont="1" applyFill="1" applyBorder="1" applyAlignment="1">
      <alignment horizontal="left"/>
    </xf>
    <xf numFmtId="0" fontId="40" fillId="0" borderId="35" xfId="0" applyFont="1" applyBorder="1" applyAlignment="1">
      <alignment horizontal="center" wrapText="1"/>
    </xf>
    <xf numFmtId="0" fontId="40" fillId="0" borderId="22" xfId="0" applyFont="1" applyBorder="1" applyAlignment="1">
      <alignment horizontal="center" wrapText="1"/>
    </xf>
    <xf numFmtId="0" fontId="40" fillId="0" borderId="41" xfId="0" applyFont="1" applyBorder="1" applyAlignment="1">
      <alignment horizontal="center" wrapText="1"/>
    </xf>
    <xf numFmtId="2" fontId="31" fillId="14" borderId="35" xfId="0" applyNumberFormat="1" applyFont="1" applyFill="1" applyBorder="1" applyAlignment="1">
      <alignment horizontal="center" vertical="center" wrapText="1"/>
    </xf>
    <xf numFmtId="2" fontId="0" fillId="14" borderId="22" xfId="0" applyNumberFormat="1" applyFill="1" applyBorder="1"/>
    <xf numFmtId="0" fontId="0" fillId="14" borderId="22" xfId="0" applyFill="1" applyBorder="1"/>
    <xf numFmtId="0" fontId="40" fillId="0" borderId="43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7" fillId="0" borderId="21" xfId="0" applyFont="1" applyBorder="1" applyAlignment="1">
      <alignment horizontal="left"/>
    </xf>
    <xf numFmtId="0" fontId="17" fillId="0" borderId="29" xfId="0" applyFont="1" applyBorder="1" applyAlignment="1">
      <alignment horizontal="left"/>
    </xf>
    <xf numFmtId="0" fontId="23" fillId="0" borderId="1" xfId="0" applyFont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3" fillId="0" borderId="50" xfId="0" applyFont="1" applyBorder="1" applyAlignment="1">
      <alignment horizontal="right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21" fillId="14" borderId="16" xfId="0" applyFont="1" applyFill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58" fillId="14" borderId="16" xfId="0" applyFont="1" applyFill="1" applyBorder="1" applyAlignment="1">
      <alignment horizontal="center"/>
    </xf>
    <xf numFmtId="0" fontId="58" fillId="14" borderId="17" xfId="0" applyFont="1" applyFill="1" applyBorder="1" applyAlignment="1">
      <alignment horizontal="center"/>
    </xf>
    <xf numFmtId="0" fontId="17" fillId="14" borderId="16" xfId="0" applyFont="1" applyFill="1" applyBorder="1" applyAlignment="1">
      <alignment horizontal="center"/>
    </xf>
    <xf numFmtId="0" fontId="17" fillId="14" borderId="17" xfId="0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17" fillId="0" borderId="53" xfId="0" applyFont="1" applyBorder="1" applyAlignment="1">
      <alignment horizontal="left"/>
    </xf>
    <xf numFmtId="0" fontId="17" fillId="0" borderId="39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39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164" fontId="34" fillId="14" borderId="39" xfId="0" applyNumberFormat="1" applyFont="1" applyFill="1" applyBorder="1" applyAlignment="1">
      <alignment horizontal="center" vertical="center"/>
    </xf>
    <xf numFmtId="164" fontId="34" fillId="14" borderId="38" xfId="0" applyNumberFormat="1" applyFont="1" applyFill="1" applyBorder="1" applyAlignment="1">
      <alignment horizontal="center" vertical="center"/>
    </xf>
    <xf numFmtId="0" fontId="34" fillId="14" borderId="39" xfId="0" applyFont="1" applyFill="1" applyBorder="1" applyAlignment="1">
      <alignment horizontal="center" vertical="center"/>
    </xf>
    <xf numFmtId="0" fontId="34" fillId="14" borderId="38" xfId="0" applyFont="1" applyFill="1" applyBorder="1" applyAlignment="1">
      <alignment horizontal="center" vertical="center"/>
    </xf>
    <xf numFmtId="0" fontId="44" fillId="0" borderId="0" xfId="0" applyFont="1" applyAlignment="1">
      <alignment horizontal="left" vertical="center" wrapText="1"/>
    </xf>
    <xf numFmtId="164" fontId="31" fillId="0" borderId="22" xfId="0" applyNumberFormat="1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164" fontId="31" fillId="0" borderId="39" xfId="0" applyNumberFormat="1" applyFont="1" applyBorder="1" applyAlignment="1">
      <alignment horizontal="center" vertical="center"/>
    </xf>
    <xf numFmtId="164" fontId="31" fillId="0" borderId="38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2" fontId="31" fillId="14" borderId="22" xfId="0" applyNumberFormat="1" applyFont="1" applyFill="1" applyBorder="1" applyAlignment="1">
      <alignment horizontal="center" vertical="center" wrapText="1"/>
    </xf>
    <xf numFmtId="0" fontId="40" fillId="0" borderId="35" xfId="0" applyFont="1" applyBorder="1" applyAlignment="1">
      <alignment horizontal="center" vertical="center" wrapText="1"/>
    </xf>
    <xf numFmtId="0" fontId="40" fillId="0" borderId="22" xfId="0" applyFont="1" applyBorder="1" applyAlignment="1">
      <alignment horizontal="center" vertical="center" wrapText="1"/>
    </xf>
    <xf numFmtId="0" fontId="40" fillId="0" borderId="41" xfId="0" applyFont="1" applyBorder="1" applyAlignment="1">
      <alignment horizontal="center" vertical="center" wrapText="1"/>
    </xf>
    <xf numFmtId="0" fontId="35" fillId="13" borderId="8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166" fontId="31" fillId="0" borderId="16" xfId="0" applyNumberFormat="1" applyFont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 wrapText="1"/>
    </xf>
    <xf numFmtId="0" fontId="39" fillId="13" borderId="9" xfId="0" applyFont="1" applyFill="1" applyBorder="1" applyAlignment="1">
      <alignment horizontal="center" vertical="center" wrapText="1"/>
    </xf>
    <xf numFmtId="0" fontId="39" fillId="13" borderId="33" xfId="0" applyFont="1" applyFill="1" applyBorder="1" applyAlignment="1">
      <alignment horizontal="center" vertical="center" wrapText="1"/>
    </xf>
    <xf numFmtId="0" fontId="52" fillId="16" borderId="8" xfId="0" applyFont="1" applyFill="1" applyBorder="1" applyAlignment="1">
      <alignment horizontal="center" vertical="center" wrapText="1"/>
    </xf>
    <xf numFmtId="0" fontId="52" fillId="16" borderId="9" xfId="0" applyFont="1" applyFill="1" applyBorder="1" applyAlignment="1">
      <alignment horizontal="center" vertical="center" wrapText="1"/>
    </xf>
    <xf numFmtId="0" fontId="52" fillId="16" borderId="33" xfId="0" applyFont="1" applyFill="1" applyBorder="1" applyAlignment="1">
      <alignment horizontal="center" vertical="center" wrapText="1"/>
    </xf>
    <xf numFmtId="0" fontId="31" fillId="14" borderId="4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</cellXfs>
  <cellStyles count="4">
    <cellStyle name="Hyperlink" xfId="1" builtinId="8"/>
    <cellStyle name="Normal" xfId="0" builtinId="0"/>
    <cellStyle name="Percent" xfId="2" builtinId="5"/>
    <cellStyle name="Standard_HWB Kurzverf. Formular (2)" xfId="3" xr:uid="{00000000-0005-0000-0000-000003000000}"/>
  </cellStyles>
  <dxfs count="0"/>
  <tableStyles count="0" defaultTableStyle="TableStyleMedium9" defaultPivotStyle="PivotStyleLight16"/>
  <colors>
    <mruColors>
      <color rgb="FFDFF9E3"/>
      <color rgb="FFD2F6D8"/>
      <color rgb="FFFFF2D9"/>
      <color rgb="FFBDF1C6"/>
      <color rgb="FFFFECC5"/>
      <color rgb="FFFFE6B3"/>
      <color rgb="FFFF3300"/>
      <color rgb="FFFFE9BD"/>
      <color rgb="FF669900"/>
      <color rgb="FFFFF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i="1">
                <a:latin typeface="+mn-lt"/>
              </a:rPr>
              <a:t>Būvelementu aprēķina un max</a:t>
            </a:r>
            <a:r>
              <a:rPr lang="lv-LV" i="1" baseline="0">
                <a:latin typeface="+mn-lt"/>
              </a:rPr>
              <a:t> normatīvā</a:t>
            </a:r>
            <a:r>
              <a:rPr lang="lv-LV" i="1">
                <a:latin typeface="+mn-lt"/>
              </a:rPr>
              <a:t> siltumcaurlaidība</a:t>
            </a:r>
          </a:p>
        </c:rich>
      </c:tx>
      <c:layout>
        <c:manualLayout>
          <c:xMode val="edge"/>
          <c:yMode val="edge"/>
          <c:x val="0.13330107385225495"/>
          <c:y val="6.5252854812398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'4.lapa'!$F$5:$F$7</c:f>
              <c:strCache>
                <c:ptCount val="3"/>
                <c:pt idx="0">
                  <c:v>Aprēķinu siltumcaurlaidība</c:v>
                </c:pt>
                <c:pt idx="1">
                  <c:v>Ui</c:v>
                </c:pt>
                <c:pt idx="2">
                  <c:v>W/(m2K)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'4.lapa'!$B$8:$B$25</c:f>
              <c:strCache>
                <c:ptCount val="5"/>
                <c:pt idx="0">
                  <c:v>Siena 1</c:v>
                </c:pt>
                <c:pt idx="1">
                  <c:v>Jumts 1</c:v>
                </c:pt>
                <c:pt idx="2">
                  <c:v>Grīda 1</c:v>
                </c:pt>
                <c:pt idx="3">
                  <c:v>Logi 1</c:v>
                </c:pt>
                <c:pt idx="4">
                  <c:v>Durvis, vārti 1</c:v>
                </c:pt>
              </c:strCache>
            </c:strRef>
          </c:cat>
          <c:val>
            <c:numRef>
              <c:f>'4.lapa'!$F$8:$F$25</c:f>
              <c:numCache>
                <c:formatCode>0.00</c:formatCode>
                <c:ptCount val="5"/>
                <c:pt idx="0">
                  <c:v>0.12</c:v>
                </c:pt>
                <c:pt idx="1">
                  <c:v>0.11</c:v>
                </c:pt>
                <c:pt idx="2">
                  <c:v>0.08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5-4E6C-952A-559EDB92B0BC}"/>
            </c:ext>
          </c:extLst>
        </c:ser>
        <c:ser>
          <c:idx val="2"/>
          <c:order val="2"/>
          <c:tx>
            <c:strRef>
              <c:f>'4.lapa'!$H$5:$H$7</c:f>
              <c:strCache>
                <c:ptCount val="3"/>
                <c:pt idx="0">
                  <c:v>Maksimālā normatīvā siltumcaurlaidība</c:v>
                </c:pt>
                <c:pt idx="1">
                  <c:v>UiRM</c:v>
                </c:pt>
                <c:pt idx="2">
                  <c:v>W/(m2K)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'4.lapa'!$B$8:$B$25</c:f>
              <c:strCache>
                <c:ptCount val="5"/>
                <c:pt idx="0">
                  <c:v>Siena 1</c:v>
                </c:pt>
                <c:pt idx="1">
                  <c:v>Jumts 1</c:v>
                </c:pt>
                <c:pt idx="2">
                  <c:v>Grīda 1</c:v>
                </c:pt>
                <c:pt idx="3">
                  <c:v>Logi 1</c:v>
                </c:pt>
                <c:pt idx="4">
                  <c:v>Durvis, vārti 1</c:v>
                </c:pt>
              </c:strCache>
            </c:strRef>
          </c:cat>
          <c:val>
            <c:numRef>
              <c:f>'4.lapa'!$H$8:$H$25</c:f>
              <c:numCache>
                <c:formatCode>0.00</c:formatCode>
                <c:ptCount val="5"/>
                <c:pt idx="0">
                  <c:v>0.23</c:v>
                </c:pt>
                <c:pt idx="1">
                  <c:v>0.2</c:v>
                </c:pt>
                <c:pt idx="2">
                  <c:v>0.2</c:v>
                </c:pt>
                <c:pt idx="3">
                  <c:v>1.1000000000000001</c:v>
                </c:pt>
                <c:pt idx="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5-4E6C-952A-559EDB92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277696"/>
        <c:axId val="6272799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'4.lapa'!$G$5:$G$7</c15:sqref>
                        </c15:formulaRef>
                      </c:ext>
                    </c:extLst>
                    <c:strCache>
                      <c:ptCount val="3"/>
                      <c:pt idx="0">
                        <c:v>Aprēķinu siltumcaurlaidība</c:v>
                      </c:pt>
                      <c:pt idx="1">
                        <c:v>Ui</c:v>
                      </c:pt>
                      <c:pt idx="2">
                        <c:v>W/(m2K)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'4.lapa'!$B$8:$B$25</c15:sqref>
                        </c15:formulaRef>
                      </c:ext>
                    </c:extLst>
                    <c:strCache>
                      <c:ptCount val="5"/>
                      <c:pt idx="0">
                        <c:v>Siena 1</c:v>
                      </c:pt>
                      <c:pt idx="1">
                        <c:v>Jumts 1</c:v>
                      </c:pt>
                      <c:pt idx="2">
                        <c:v>Grīda 1</c:v>
                      </c:pt>
                      <c:pt idx="3">
                        <c:v>Logi 1</c:v>
                      </c:pt>
                      <c:pt idx="4">
                        <c:v>Durvis, vārti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'4.lapa'!$G$8:$G$25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35-4E6C-952A-559EDB92B0BC}"/>
                  </c:ext>
                </c:extLst>
              </c15:ser>
            </c15:filteredBarSeries>
          </c:ext>
        </c:extLst>
      </c:barChart>
      <c:catAx>
        <c:axId val="6272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9992"/>
        <c:crosses val="autoZero"/>
        <c:auto val="1"/>
        <c:lblAlgn val="ctr"/>
        <c:lblOffset val="100"/>
        <c:noMultiLvlLbl val="0"/>
      </c:catAx>
      <c:valAx>
        <c:axId val="6272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42556594488186E-2"/>
          <c:y val="0.82811248100566381"/>
          <c:w val="0.62929960903324589"/>
          <c:h val="0.13386474305843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529590</xdr:colOff>
      <xdr:row>40</xdr:row>
      <xdr:rowOff>28575</xdr:rowOff>
    </xdr:from>
    <xdr:to>
      <xdr:col>33</xdr:col>
      <xdr:colOff>539176</xdr:colOff>
      <xdr:row>47</xdr:row>
      <xdr:rowOff>2149813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6F6628-807D-477B-ADD5-058719DC1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6815" y="5181600"/>
          <a:ext cx="6715186" cy="3435688"/>
        </a:xfrm>
        <a:prstGeom prst="rect">
          <a:avLst/>
        </a:prstGeom>
      </xdr:spPr>
    </xdr:pic>
    <xdr:clientData/>
  </xdr:twoCellAnchor>
  <xdr:twoCellAnchor editAs="oneCell">
    <xdr:from>
      <xdr:col>14</xdr:col>
      <xdr:colOff>1061085</xdr:colOff>
      <xdr:row>38</xdr:row>
      <xdr:rowOff>1905</xdr:rowOff>
    </xdr:from>
    <xdr:to>
      <xdr:col>22</xdr:col>
      <xdr:colOff>160838</xdr:colOff>
      <xdr:row>47</xdr:row>
      <xdr:rowOff>1368815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E444-E35B-4FF0-B323-A740D6D7E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8110" y="5250180"/>
          <a:ext cx="4199438" cy="2963300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46</xdr:row>
      <xdr:rowOff>34290</xdr:rowOff>
    </xdr:from>
    <xdr:to>
      <xdr:col>11</xdr:col>
      <xdr:colOff>731520</xdr:colOff>
      <xdr:row>47</xdr:row>
      <xdr:rowOff>2278380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4FDE3-01BA-4AA4-A1F5-3F0E01E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449580</xdr:colOff>
      <xdr:row>141</xdr:row>
      <xdr:rowOff>68580</xdr:rowOff>
    </xdr:from>
    <xdr:to>
      <xdr:col>23</xdr:col>
      <xdr:colOff>264058</xdr:colOff>
      <xdr:row>278</xdr:row>
      <xdr:rowOff>121504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E1EA4A-3528-4C18-94D6-ED8F50881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966460"/>
          <a:ext cx="5895238" cy="3340954"/>
        </a:xfrm>
        <a:prstGeom prst="rect">
          <a:avLst/>
        </a:prstGeom>
      </xdr:spPr>
    </xdr:pic>
    <xdr:clientData/>
  </xdr:twoCellAnchor>
  <xdr:twoCellAnchor editAs="oneCell">
    <xdr:from>
      <xdr:col>15</xdr:col>
      <xdr:colOff>434340</xdr:colOff>
      <xdr:row>161</xdr:row>
      <xdr:rowOff>91440</xdr:rowOff>
    </xdr:from>
    <xdr:to>
      <xdr:col>23</xdr:col>
      <xdr:colOff>274072</xdr:colOff>
      <xdr:row>275</xdr:row>
      <xdr:rowOff>151133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4824B-1092-4E93-BDD4-D2B885F63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8520" y="3589020"/>
          <a:ext cx="5920492" cy="2740028"/>
        </a:xfrm>
        <a:prstGeom prst="rect">
          <a:avLst/>
        </a:prstGeom>
      </xdr:spPr>
    </xdr:pic>
    <xdr:clientData/>
  </xdr:twoCellAnchor>
  <xdr:twoCellAnchor editAs="oneCell">
    <xdr:from>
      <xdr:col>23</xdr:col>
      <xdr:colOff>329488</xdr:colOff>
      <xdr:row>3</xdr:row>
      <xdr:rowOff>73635</xdr:rowOff>
    </xdr:from>
    <xdr:to>
      <xdr:col>31</xdr:col>
      <xdr:colOff>335643</xdr:colOff>
      <xdr:row>25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27BD8C-0218-4C7D-AE55-426C3F1D5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5338" y="797535"/>
          <a:ext cx="4882955" cy="2526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449580</xdr:colOff>
      <xdr:row>141</xdr:row>
      <xdr:rowOff>68580</xdr:rowOff>
    </xdr:from>
    <xdr:to>
      <xdr:col>23</xdr:col>
      <xdr:colOff>264058</xdr:colOff>
      <xdr:row>213</xdr:row>
      <xdr:rowOff>16729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B76F4D-830F-466A-8DA4-1E04E40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0880" y="21728430"/>
          <a:ext cx="5739028" cy="2826604"/>
        </a:xfrm>
        <a:prstGeom prst="rect">
          <a:avLst/>
        </a:prstGeom>
      </xdr:spPr>
    </xdr:pic>
    <xdr:clientData/>
  </xdr:twoCellAnchor>
  <xdr:twoCellAnchor editAs="oneCell">
    <xdr:from>
      <xdr:col>15</xdr:col>
      <xdr:colOff>434340</xdr:colOff>
      <xdr:row>161</xdr:row>
      <xdr:rowOff>91440</xdr:rowOff>
    </xdr:from>
    <xdr:to>
      <xdr:col>23</xdr:col>
      <xdr:colOff>274072</xdr:colOff>
      <xdr:row>211</xdr:row>
      <xdr:rowOff>179708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6FAAA5-8B71-4A07-B0F0-922701D0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5640" y="25246965"/>
          <a:ext cx="5764282" cy="2370458"/>
        </a:xfrm>
        <a:prstGeom prst="rect">
          <a:avLst/>
        </a:prstGeom>
      </xdr:spPr>
    </xdr:pic>
    <xdr:clientData/>
  </xdr:twoCellAnchor>
  <xdr:twoCellAnchor editAs="oneCell">
    <xdr:from>
      <xdr:col>23</xdr:col>
      <xdr:colOff>329488</xdr:colOff>
      <xdr:row>3</xdr:row>
      <xdr:rowOff>73635</xdr:rowOff>
    </xdr:from>
    <xdr:to>
      <xdr:col>31</xdr:col>
      <xdr:colOff>335643</xdr:colOff>
      <xdr:row>212</xdr:row>
      <xdr:rowOff>31140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1A4C29-97E4-407D-A994-FE065380B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5338" y="702285"/>
          <a:ext cx="4882955" cy="25266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68580</xdr:colOff>
      <xdr:row>0</xdr:row>
      <xdr:rowOff>302895</xdr:rowOff>
    </xdr:from>
    <xdr:to>
      <xdr:col>25</xdr:col>
      <xdr:colOff>325018</xdr:colOff>
      <xdr:row>22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FDA39-FC4E-42E3-ABEF-F7206E277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2155" y="302895"/>
          <a:ext cx="5742838" cy="3225165"/>
        </a:xfrm>
        <a:prstGeom prst="rect">
          <a:avLst/>
        </a:prstGeom>
      </xdr:spPr>
    </xdr:pic>
    <xdr:clientData/>
  </xdr:twoCellAnchor>
  <xdr:twoCellAnchor editAs="oneCell">
    <xdr:from>
      <xdr:col>15</xdr:col>
      <xdr:colOff>441960</xdr:colOff>
      <xdr:row>16</xdr:row>
      <xdr:rowOff>160020</xdr:rowOff>
    </xdr:from>
    <xdr:to>
      <xdr:col>25</xdr:col>
      <xdr:colOff>125482</xdr:colOff>
      <xdr:row>46</xdr:row>
      <xdr:rowOff>200663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A70B03-C36D-4183-BE80-A623D2A3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0220" y="3672840"/>
          <a:ext cx="5931922" cy="2962913"/>
        </a:xfrm>
        <a:prstGeom prst="rect">
          <a:avLst/>
        </a:prstGeom>
      </xdr:spPr>
    </xdr:pic>
    <xdr:clientData/>
  </xdr:twoCellAnchor>
  <xdr:twoCellAnchor editAs="oneCell">
    <xdr:from>
      <xdr:col>21</xdr:col>
      <xdr:colOff>346710</xdr:colOff>
      <xdr:row>48</xdr:row>
      <xdr:rowOff>74295</xdr:rowOff>
    </xdr:from>
    <xdr:to>
      <xdr:col>25</xdr:col>
      <xdr:colOff>494542</xdr:colOff>
      <xdr:row>52</xdr:row>
      <xdr:rowOff>102633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AA2295-F86E-4D9B-8428-67CBD107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76835" y="6903720"/>
          <a:ext cx="2586232" cy="676038"/>
        </a:xfrm>
        <a:prstGeom prst="rect">
          <a:avLst/>
        </a:prstGeom>
      </xdr:spPr>
    </xdr:pic>
    <xdr:clientData/>
  </xdr:twoCellAnchor>
  <xdr:twoCellAnchor editAs="oneCell">
    <xdr:from>
      <xdr:col>18</xdr:col>
      <xdr:colOff>62865</xdr:colOff>
      <xdr:row>48</xdr:row>
      <xdr:rowOff>28575</xdr:rowOff>
    </xdr:from>
    <xdr:to>
      <xdr:col>21</xdr:col>
      <xdr:colOff>56119</xdr:colOff>
      <xdr:row>52</xdr:row>
      <xdr:rowOff>101741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535D2B-7EA4-4E55-BBFE-AFAE5C3C8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4190" y="6858000"/>
          <a:ext cx="1822054" cy="720866"/>
        </a:xfrm>
        <a:prstGeom prst="rect">
          <a:avLst/>
        </a:prstGeom>
      </xdr:spPr>
    </xdr:pic>
    <xdr:clientData/>
  </xdr:twoCellAnchor>
  <xdr:twoCellAnchor editAs="oneCell">
    <xdr:from>
      <xdr:col>13</xdr:col>
      <xdr:colOff>47355</xdr:colOff>
      <xdr:row>14</xdr:row>
      <xdr:rowOff>186690</xdr:rowOff>
    </xdr:from>
    <xdr:to>
      <xdr:col>19</xdr:col>
      <xdr:colOff>280846</xdr:colOff>
      <xdr:row>41</xdr:row>
      <xdr:rowOff>155528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CA1133-F6BE-4243-AF9C-5A4C391DD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2130" y="2891790"/>
          <a:ext cx="3891091" cy="23596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68580</xdr:colOff>
      <xdr:row>0</xdr:row>
      <xdr:rowOff>302895</xdr:rowOff>
    </xdr:from>
    <xdr:to>
      <xdr:col>25</xdr:col>
      <xdr:colOff>325018</xdr:colOff>
      <xdr:row>22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FFF60-D032-4678-9373-9925CA76E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2155" y="302895"/>
          <a:ext cx="5742838" cy="3225165"/>
        </a:xfrm>
        <a:prstGeom prst="rect">
          <a:avLst/>
        </a:prstGeom>
      </xdr:spPr>
    </xdr:pic>
    <xdr:clientData/>
  </xdr:twoCellAnchor>
  <xdr:twoCellAnchor editAs="oneCell">
    <xdr:from>
      <xdr:col>15</xdr:col>
      <xdr:colOff>441960</xdr:colOff>
      <xdr:row>16</xdr:row>
      <xdr:rowOff>160020</xdr:rowOff>
    </xdr:from>
    <xdr:to>
      <xdr:col>25</xdr:col>
      <xdr:colOff>125482</xdr:colOff>
      <xdr:row>46</xdr:row>
      <xdr:rowOff>200663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E81155-ACAE-4CE7-BC2A-BBBD8284B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5935" y="3228975"/>
          <a:ext cx="5779522" cy="2867663"/>
        </a:xfrm>
        <a:prstGeom prst="rect">
          <a:avLst/>
        </a:prstGeom>
      </xdr:spPr>
    </xdr:pic>
    <xdr:clientData/>
  </xdr:twoCellAnchor>
  <xdr:twoCellAnchor editAs="oneCell">
    <xdr:from>
      <xdr:col>21</xdr:col>
      <xdr:colOff>346710</xdr:colOff>
      <xdr:row>48</xdr:row>
      <xdr:rowOff>74295</xdr:rowOff>
    </xdr:from>
    <xdr:to>
      <xdr:col>25</xdr:col>
      <xdr:colOff>494542</xdr:colOff>
      <xdr:row>52</xdr:row>
      <xdr:rowOff>102633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605ED0-5D3B-4475-903C-0D8D9C4CE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8285" y="6398895"/>
          <a:ext cx="2586232" cy="676038"/>
        </a:xfrm>
        <a:prstGeom prst="rect">
          <a:avLst/>
        </a:prstGeom>
      </xdr:spPr>
    </xdr:pic>
    <xdr:clientData/>
  </xdr:twoCellAnchor>
  <xdr:twoCellAnchor editAs="oneCell">
    <xdr:from>
      <xdr:col>18</xdr:col>
      <xdr:colOff>62865</xdr:colOff>
      <xdr:row>48</xdr:row>
      <xdr:rowOff>28575</xdr:rowOff>
    </xdr:from>
    <xdr:to>
      <xdr:col>21</xdr:col>
      <xdr:colOff>56119</xdr:colOff>
      <xdr:row>52</xdr:row>
      <xdr:rowOff>101741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85C994-0A46-48A2-8A88-F69FCDEA1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35640" y="6353175"/>
          <a:ext cx="1822054" cy="720866"/>
        </a:xfrm>
        <a:prstGeom prst="rect">
          <a:avLst/>
        </a:prstGeom>
      </xdr:spPr>
    </xdr:pic>
    <xdr:clientData/>
  </xdr:twoCellAnchor>
  <xdr:twoCellAnchor editAs="oneCell">
    <xdr:from>
      <xdr:col>13</xdr:col>
      <xdr:colOff>47355</xdr:colOff>
      <xdr:row>14</xdr:row>
      <xdr:rowOff>186690</xdr:rowOff>
    </xdr:from>
    <xdr:to>
      <xdr:col>19</xdr:col>
      <xdr:colOff>280846</xdr:colOff>
      <xdr:row>41</xdr:row>
      <xdr:rowOff>155528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C07C17-050D-495A-92E6-83E296ED2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2130" y="2891790"/>
          <a:ext cx="3891091" cy="23596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75346</xdr:colOff>
      <xdr:row>9</xdr:row>
      <xdr:rowOff>30480</xdr:rowOff>
    </xdr:from>
    <xdr:to>
      <xdr:col>22</xdr:col>
      <xdr:colOff>465743</xdr:colOff>
      <xdr:row>29</xdr:row>
      <xdr:rowOff>267914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BF7997-1CC4-469D-BE78-68D056E3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096" y="1630680"/>
          <a:ext cx="4047997" cy="28949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25</xdr:row>
      <xdr:rowOff>174549</xdr:rowOff>
    </xdr:from>
    <xdr:to>
      <xdr:col>26</xdr:col>
      <xdr:colOff>203849</xdr:colOff>
      <xdr:row>31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5B9BB-88B2-4A13-A195-719AC115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3832149"/>
          <a:ext cx="8662049" cy="816051"/>
        </a:xfrm>
        <a:prstGeom prst="rect">
          <a:avLst/>
        </a:prstGeom>
      </xdr:spPr>
    </xdr:pic>
    <xdr:clientData/>
  </xdr:twoCellAnchor>
  <xdr:twoCellAnchor editAs="oneCell">
    <xdr:from>
      <xdr:col>12</xdr:col>
      <xdr:colOff>335280</xdr:colOff>
      <xdr:row>2</xdr:row>
      <xdr:rowOff>93161</xdr:rowOff>
    </xdr:from>
    <xdr:to>
      <xdr:col>19</xdr:col>
      <xdr:colOff>600947</xdr:colOff>
      <xdr:row>26</xdr:row>
      <xdr:rowOff>39175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6868C-1A14-4D21-BFD5-0BDA153D5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4155" y="255086"/>
          <a:ext cx="4532867" cy="36131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73347</xdr:colOff>
      <xdr:row>8</xdr:row>
      <xdr:rowOff>243840</xdr:rowOff>
    </xdr:from>
    <xdr:to>
      <xdr:col>20</xdr:col>
      <xdr:colOff>151367</xdr:colOff>
      <xdr:row>35</xdr:row>
      <xdr:rowOff>115375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13AB81-F2DF-4F73-BDAB-C40511B97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8987" y="1706880"/>
          <a:ext cx="4451900" cy="3574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AF86"/>
  <sheetViews>
    <sheetView showGridLines="0" tabSelected="1" view="pageBreakPreview" zoomScaleNormal="100" zoomScaleSheetLayoutView="100" workbookViewId="0">
      <selection activeCell="K14" sqref="K14"/>
    </sheetView>
  </sheetViews>
  <sheetFormatPr defaultColWidth="9.140625" defaultRowHeight="15.75" x14ac:dyDescent="0.25"/>
  <cols>
    <col min="1" max="1" width="4.28515625" style="8" customWidth="1"/>
    <col min="2" max="2" width="17" style="8" customWidth="1"/>
    <col min="3" max="3" width="2.42578125" style="8" customWidth="1"/>
    <col min="4" max="4" width="3.42578125" style="8" customWidth="1"/>
    <col min="5" max="5" width="5.7109375" style="8" customWidth="1"/>
    <col min="6" max="6" width="5.28515625" style="8" customWidth="1"/>
    <col min="7" max="7" width="5.42578125" style="8" customWidth="1"/>
    <col min="8" max="8" width="10.7109375" style="8" customWidth="1"/>
    <col min="9" max="9" width="4.28515625" style="8" customWidth="1"/>
    <col min="10" max="10" width="6.140625" style="8" customWidth="1"/>
    <col min="11" max="12" width="11.28515625" style="8" customWidth="1"/>
    <col min="13" max="13" width="13.85546875" style="8" customWidth="1"/>
    <col min="14" max="14" width="3.7109375" style="8" customWidth="1"/>
    <col min="15" max="15" width="17.5703125" style="8" customWidth="1"/>
    <col min="16" max="16" width="7.7109375" style="8" customWidth="1"/>
    <col min="17" max="17" width="6.7109375" style="8" customWidth="1"/>
    <col min="18" max="18" width="7.5703125" style="8" customWidth="1"/>
    <col min="19" max="19" width="7.140625" style="8" customWidth="1"/>
    <col min="20" max="20" width="8.42578125" style="8" customWidth="1"/>
    <col min="21" max="21" width="13.42578125" style="8" bestFit="1" customWidth="1"/>
    <col min="22" max="22" width="7.85546875" style="8" customWidth="1"/>
    <col min="23" max="16384" width="9.140625" style="8"/>
  </cols>
  <sheetData>
    <row r="1" spans="1:30" ht="7.5" customHeight="1" x14ac:dyDescent="0.25">
      <c r="J1" s="619"/>
      <c r="K1" s="619"/>
      <c r="L1" s="619"/>
    </row>
    <row r="2" spans="1:30" ht="21" customHeight="1" x14ac:dyDescent="0.35">
      <c r="A2" s="812" t="s">
        <v>842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4"/>
      <c r="M2" s="661">
        <f>M3</f>
        <v>19</v>
      </c>
      <c r="O2" s="526" t="s">
        <v>459</v>
      </c>
      <c r="P2" s="538">
        <f>3.96+3.36+30.32+9.66+12.09+9.6+4.92+5.18</f>
        <v>79.09</v>
      </c>
      <c r="R2" s="803" t="s">
        <v>567</v>
      </c>
      <c r="S2" s="804"/>
      <c r="T2" s="805"/>
      <c r="U2" s="707">
        <f>W34</f>
        <v>2.9</v>
      </c>
      <c r="V2" s="591" t="s">
        <v>14</v>
      </c>
    </row>
    <row r="3" spans="1:30" ht="16.149999999999999" customHeight="1" x14ac:dyDescent="0.25">
      <c r="A3" s="815" t="str">
        <f>IF(M3=1,O7,IF(M3=15,O8,O6))</f>
        <v>(saskaņā ar LBN 002-19 "Ēku norobežojošo konstrukciju siltumtehnika")</v>
      </c>
      <c r="B3" s="816"/>
      <c r="C3" s="816"/>
      <c r="D3" s="816"/>
      <c r="E3" s="816"/>
      <c r="F3" s="816"/>
      <c r="G3" s="816"/>
      <c r="H3" s="816"/>
      <c r="I3" s="816"/>
      <c r="J3" s="816"/>
      <c r="K3" s="816"/>
      <c r="L3" s="817"/>
      <c r="M3" s="583">
        <v>19</v>
      </c>
      <c r="O3" s="526" t="s">
        <v>396</v>
      </c>
      <c r="P3" s="541">
        <v>0</v>
      </c>
      <c r="Q3" s="35"/>
      <c r="R3" s="806" t="s">
        <v>403</v>
      </c>
      <c r="S3" s="807"/>
      <c r="T3" s="808"/>
      <c r="U3" s="541">
        <v>0</v>
      </c>
      <c r="W3" s="590">
        <f>P2+P3+P4+U3</f>
        <v>79.09</v>
      </c>
      <c r="X3" s="46"/>
    </row>
    <row r="4" spans="1:30" ht="15.75" customHeight="1" x14ac:dyDescent="0.25">
      <c r="A4" s="604"/>
      <c r="B4" s="604"/>
      <c r="C4" s="604"/>
      <c r="D4" s="604"/>
      <c r="E4" s="604"/>
      <c r="F4" s="604"/>
      <c r="G4" s="604"/>
      <c r="H4" s="604"/>
      <c r="I4" s="604"/>
      <c r="J4" s="604"/>
      <c r="K4" s="604"/>
      <c r="L4" s="604"/>
      <c r="O4" s="527" t="s">
        <v>491</v>
      </c>
      <c r="P4" s="528">
        <v>0</v>
      </c>
      <c r="Q4" s="556">
        <f>P2+P3+P4</f>
        <v>79.09</v>
      </c>
      <c r="R4" s="806" t="s">
        <v>568</v>
      </c>
      <c r="S4" s="807"/>
      <c r="T4" s="808"/>
      <c r="U4" s="592">
        <f>jkl!H10</f>
        <v>44.2</v>
      </c>
      <c r="V4" s="591" t="s">
        <v>14</v>
      </c>
      <c r="W4" s="46">
        <f>P2+P3+P4</f>
        <v>79.09</v>
      </c>
      <c r="AC4" s="46"/>
    </row>
    <row r="5" spans="1:30" ht="73.150000000000006" customHeight="1" x14ac:dyDescent="0.25">
      <c r="A5" s="779" t="s">
        <v>5</v>
      </c>
      <c r="B5" s="792" t="s">
        <v>815</v>
      </c>
      <c r="C5" s="782" t="s">
        <v>814</v>
      </c>
      <c r="D5" s="783"/>
      <c r="E5" s="784"/>
      <c r="F5" s="782" t="s">
        <v>817</v>
      </c>
      <c r="G5" s="784"/>
      <c r="H5" s="701" t="s">
        <v>816</v>
      </c>
      <c r="I5" s="702"/>
      <c r="J5" s="703"/>
      <c r="K5" s="602" t="s">
        <v>819</v>
      </c>
      <c r="L5" s="602" t="s">
        <v>833</v>
      </c>
      <c r="O5" s="712" t="str">
        <f>B46</f>
        <v>Tehniskās telpas, u.c.</v>
      </c>
      <c r="P5" s="541">
        <v>0</v>
      </c>
      <c r="Q5" s="810" t="s">
        <v>586</v>
      </c>
      <c r="R5" s="811"/>
      <c r="S5" s="773">
        <f>H45</f>
        <v>20</v>
      </c>
      <c r="T5" s="774"/>
      <c r="U5" s="771" t="s">
        <v>495</v>
      </c>
      <c r="V5" s="772"/>
      <c r="W5" s="596">
        <f>LBN!S21</f>
        <v>0</v>
      </c>
      <c r="X5" s="669"/>
      <c r="Y5" s="46"/>
      <c r="Z5" s="46"/>
      <c r="AA5" s="46"/>
      <c r="AB5" s="46"/>
    </row>
    <row r="6" spans="1:30" ht="16.899999999999999" customHeight="1" x14ac:dyDescent="0.25">
      <c r="A6" s="780"/>
      <c r="B6" s="793"/>
      <c r="C6" s="785" t="s">
        <v>343</v>
      </c>
      <c r="D6" s="786"/>
      <c r="E6" s="787"/>
      <c r="F6" s="785" t="s">
        <v>344</v>
      </c>
      <c r="G6" s="787"/>
      <c r="H6" s="479" t="s">
        <v>345</v>
      </c>
      <c r="I6" s="788" t="str">
        <f>IF(M3=1,O12,IF(M3=15,O11,O13))</f>
        <v>atbilstība LBN 002-19</v>
      </c>
      <c r="J6" s="789"/>
      <c r="K6" s="480" t="s">
        <v>346</v>
      </c>
      <c r="L6" s="480" t="s">
        <v>643</v>
      </c>
      <c r="N6" s="508">
        <v>1</v>
      </c>
      <c r="O6" s="508" t="s">
        <v>604</v>
      </c>
      <c r="P6" s="508"/>
      <c r="Q6" s="508"/>
      <c r="R6" s="508"/>
      <c r="S6" s="508"/>
      <c r="T6" s="508"/>
      <c r="U6" s="509"/>
      <c r="V6" s="509"/>
      <c r="W6" s="519" t="s">
        <v>495</v>
      </c>
      <c r="X6" s="504"/>
      <c r="Y6" s="600"/>
      <c r="Z6" s="504"/>
      <c r="AA6" s="46"/>
      <c r="AB6" s="46"/>
      <c r="AD6" s="46"/>
    </row>
    <row r="7" spans="1:30" ht="16.899999999999999" customHeight="1" x14ac:dyDescent="0.25">
      <c r="A7" s="781"/>
      <c r="B7" s="794"/>
      <c r="C7" s="737" t="s">
        <v>347</v>
      </c>
      <c r="D7" s="738"/>
      <c r="E7" s="739"/>
      <c r="F7" s="737" t="s">
        <v>810</v>
      </c>
      <c r="G7" s="739"/>
      <c r="H7" s="589" t="s">
        <v>811</v>
      </c>
      <c r="I7" s="790"/>
      <c r="J7" s="791"/>
      <c r="K7" s="557" t="s">
        <v>43</v>
      </c>
      <c r="L7" s="557" t="s">
        <v>43</v>
      </c>
      <c r="N7" s="508">
        <v>15</v>
      </c>
      <c r="O7" s="508" t="s">
        <v>433</v>
      </c>
      <c r="P7" s="508"/>
      <c r="Q7" s="508"/>
      <c r="R7" s="508"/>
      <c r="S7" s="508"/>
      <c r="T7" s="508"/>
      <c r="U7" s="509"/>
      <c r="V7" s="509"/>
      <c r="W7" s="519" t="s">
        <v>458</v>
      </c>
      <c r="Z7" s="46"/>
      <c r="AA7" s="46"/>
      <c r="AB7" s="46"/>
    </row>
    <row r="8" spans="1:30" s="359" customFormat="1" ht="15" customHeight="1" x14ac:dyDescent="0.25">
      <c r="A8" s="431">
        <v>1</v>
      </c>
      <c r="B8" s="677" t="s">
        <v>520</v>
      </c>
      <c r="C8" s="746">
        <f>'5.lapa'!J148</f>
        <v>123.13</v>
      </c>
      <c r="D8" s="775"/>
      <c r="E8" s="747"/>
      <c r="F8" s="776">
        <f>'6.lapa'!H21</f>
        <v>0.12</v>
      </c>
      <c r="G8" s="778"/>
      <c r="H8" s="481">
        <f>IF($M$3=19,IF(U5="dzīvojamā",LBN!H9,LBN!R9),LBN!S9)</f>
        <v>0.23</v>
      </c>
      <c r="I8" s="735" t="str">
        <f t="shared" ref="I8" si="0">IF(H8&gt;=F8,"atbilst", "Neatbilst")</f>
        <v>atbilst</v>
      </c>
      <c r="J8" s="736"/>
      <c r="K8" s="481">
        <f>C8*F8</f>
        <v>14.775599999999999</v>
      </c>
      <c r="L8" s="481">
        <f>H8*C8</f>
        <v>28.319900000000001</v>
      </c>
      <c r="M8" s="537">
        <v>19</v>
      </c>
      <c r="N8" s="510">
        <v>19</v>
      </c>
      <c r="O8" s="508" t="s">
        <v>702</v>
      </c>
      <c r="P8" s="508"/>
      <c r="Q8" s="508"/>
      <c r="R8" s="508"/>
      <c r="S8" s="508"/>
      <c r="T8" s="508"/>
      <c r="U8" s="509"/>
      <c r="V8" s="511"/>
      <c r="W8" s="511"/>
      <c r="Z8" s="429"/>
      <c r="AA8" s="429"/>
      <c r="AB8" s="429"/>
      <c r="AC8" s="8"/>
    </row>
    <row r="9" spans="1:30" s="359" customFormat="1" ht="15" hidden="1" customHeight="1" x14ac:dyDescent="0.25">
      <c r="A9" s="431">
        <v>2</v>
      </c>
      <c r="B9" s="677" t="s">
        <v>356</v>
      </c>
      <c r="C9" s="746">
        <f>'5.lapa'!J149</f>
        <v>0</v>
      </c>
      <c r="D9" s="775"/>
      <c r="E9" s="747"/>
      <c r="F9" s="776">
        <f>'6.lapa'!H43</f>
        <v>0.12</v>
      </c>
      <c r="G9" s="778"/>
      <c r="H9" s="481">
        <f>H8</f>
        <v>0.23</v>
      </c>
      <c r="I9" s="735" t="str">
        <f t="shared" ref="I9:I18" si="1">IF(H9&gt;=F9,"atbilst", "Neatbilst")</f>
        <v>atbilst</v>
      </c>
      <c r="J9" s="736"/>
      <c r="K9" s="481">
        <f>ROUND(C9*F9,2)</f>
        <v>0</v>
      </c>
      <c r="L9" s="481">
        <f t="shared" ref="L9:L25" si="2">H9*C9</f>
        <v>0</v>
      </c>
      <c r="M9" s="503">
        <v>19</v>
      </c>
      <c r="N9" s="510" t="s">
        <v>434</v>
      </c>
      <c r="O9" s="508"/>
      <c r="P9" s="603"/>
      <c r="Q9" s="508"/>
      <c r="R9" s="809"/>
      <c r="S9" s="809"/>
      <c r="T9" s="809"/>
      <c r="U9" s="512"/>
      <c r="V9" s="511"/>
      <c r="W9" s="511"/>
    </row>
    <row r="10" spans="1:30" s="359" customFormat="1" ht="15" hidden="1" customHeight="1" x14ac:dyDescent="0.25">
      <c r="A10" s="431">
        <v>3</v>
      </c>
      <c r="B10" s="455" t="s">
        <v>523</v>
      </c>
      <c r="C10" s="746">
        <f>'5.lapa'!J150</f>
        <v>0</v>
      </c>
      <c r="D10" s="775"/>
      <c r="E10" s="747"/>
      <c r="F10" s="776">
        <f>siena2xx!I37</f>
        <v>0.2</v>
      </c>
      <c r="G10" s="778"/>
      <c r="H10" s="481">
        <f t="shared" ref="H10:H12" si="3">H9</f>
        <v>0.23</v>
      </c>
      <c r="I10" s="735" t="str">
        <f t="shared" si="1"/>
        <v>atbilst</v>
      </c>
      <c r="J10" s="736"/>
      <c r="K10" s="481">
        <f>ROUND(C10*F10,2)</f>
        <v>0</v>
      </c>
      <c r="L10" s="481">
        <f t="shared" si="2"/>
        <v>0</v>
      </c>
      <c r="M10" s="503">
        <v>19</v>
      </c>
      <c r="N10" s="513"/>
      <c r="O10" s="508"/>
      <c r="P10" s="603"/>
      <c r="Q10" s="514"/>
      <c r="R10" s="514"/>
      <c r="S10" s="514"/>
      <c r="T10" s="514"/>
      <c r="U10" s="515"/>
      <c r="V10" s="511"/>
      <c r="W10" s="511"/>
      <c r="AB10" s="429"/>
    </row>
    <row r="11" spans="1:30" s="359" customFormat="1" ht="15" hidden="1" customHeight="1" x14ac:dyDescent="0.25">
      <c r="A11" s="431">
        <v>4</v>
      </c>
      <c r="B11" s="455" t="s">
        <v>527</v>
      </c>
      <c r="C11" s="746">
        <f>'5.lapa'!J151</f>
        <v>0</v>
      </c>
      <c r="D11" s="775"/>
      <c r="E11" s="747"/>
      <c r="F11" s="776">
        <f>'7.lapa'!I37</f>
        <v>0.12</v>
      </c>
      <c r="G11" s="778"/>
      <c r="H11" s="481">
        <f t="shared" si="3"/>
        <v>0.23</v>
      </c>
      <c r="I11" s="735" t="str">
        <f t="shared" si="1"/>
        <v>atbilst</v>
      </c>
      <c r="J11" s="736"/>
      <c r="K11" s="481">
        <f>ROUND(C11*F11,2)</f>
        <v>0</v>
      </c>
      <c r="L11" s="481">
        <f t="shared" si="2"/>
        <v>0</v>
      </c>
      <c r="M11" s="503">
        <v>19</v>
      </c>
      <c r="N11" s="513"/>
      <c r="O11" s="508" t="s">
        <v>463</v>
      </c>
      <c r="P11" s="603"/>
      <c r="Q11" s="508"/>
      <c r="R11" s="508"/>
      <c r="S11" s="508"/>
      <c r="T11" s="508"/>
      <c r="U11" s="509"/>
      <c r="V11" s="511"/>
      <c r="W11" s="576">
        <f>67.9-U3</f>
        <v>67.900000000000006</v>
      </c>
    </row>
    <row r="12" spans="1:30" s="359" customFormat="1" ht="15" hidden="1" customHeight="1" x14ac:dyDescent="0.25">
      <c r="A12" s="431">
        <v>5</v>
      </c>
      <c r="B12" s="455" t="s">
        <v>563</v>
      </c>
      <c r="C12" s="746">
        <f>'5.lapa'!J152</f>
        <v>0</v>
      </c>
      <c r="D12" s="775"/>
      <c r="E12" s="747"/>
      <c r="F12" s="776">
        <f>'6.lapa'!H65</f>
        <v>0.33</v>
      </c>
      <c r="G12" s="778"/>
      <c r="H12" s="481">
        <f t="shared" si="3"/>
        <v>0.23</v>
      </c>
      <c r="I12" s="735" t="str">
        <f t="shared" si="1"/>
        <v>Neatbilst</v>
      </c>
      <c r="J12" s="736"/>
      <c r="K12" s="481">
        <f>C12*F12</f>
        <v>0</v>
      </c>
      <c r="L12" s="481">
        <f t="shared" si="2"/>
        <v>0</v>
      </c>
      <c r="N12" s="513"/>
      <c r="O12" s="508" t="s">
        <v>464</v>
      </c>
      <c r="P12" s="603"/>
      <c r="Q12" s="513"/>
      <c r="R12" s="513"/>
      <c r="S12" s="513"/>
      <c r="T12" s="513"/>
      <c r="U12" s="511"/>
      <c r="V12" s="511"/>
      <c r="W12" s="511"/>
    </row>
    <row r="13" spans="1:30" s="359" customFormat="1" ht="15" hidden="1" customHeight="1" x14ac:dyDescent="0.25">
      <c r="A13" s="431"/>
      <c r="B13" s="482" t="s">
        <v>564</v>
      </c>
      <c r="C13" s="746">
        <v>0</v>
      </c>
      <c r="D13" s="775"/>
      <c r="E13" s="747"/>
      <c r="F13" s="776">
        <v>0.2</v>
      </c>
      <c r="G13" s="778"/>
      <c r="H13" s="481">
        <f>IF($M$3=19,LBN!$H$9,LBN!$S$9)</f>
        <v>0.23</v>
      </c>
      <c r="I13" s="735" t="str">
        <f t="shared" si="1"/>
        <v>atbilst</v>
      </c>
      <c r="J13" s="736"/>
      <c r="K13" s="601">
        <f t="shared" ref="K13:K25" si="4">ROUND(C13*F13,2)</f>
        <v>0</v>
      </c>
      <c r="L13" s="481">
        <f t="shared" si="2"/>
        <v>0</v>
      </c>
      <c r="N13" s="513"/>
      <c r="O13" s="508" t="s">
        <v>703</v>
      </c>
      <c r="P13" s="603"/>
      <c r="Q13" s="513"/>
      <c r="R13" s="513"/>
      <c r="S13" s="513"/>
      <c r="T13" s="513"/>
      <c r="U13" s="511"/>
      <c r="V13" s="511"/>
      <c r="W13" s="511"/>
    </row>
    <row r="14" spans="1:30" s="359" customFormat="1" ht="15" customHeight="1" x14ac:dyDescent="0.25">
      <c r="A14" s="431">
        <v>2</v>
      </c>
      <c r="B14" s="455" t="s">
        <v>519</v>
      </c>
      <c r="C14" s="746">
        <f>'5.lapa'!J160</f>
        <v>82.253600000000006</v>
      </c>
      <c r="D14" s="775"/>
      <c r="E14" s="747"/>
      <c r="F14" s="776">
        <f>'6.lapa'!H226</f>
        <v>0.11</v>
      </c>
      <c r="G14" s="778"/>
      <c r="H14" s="481">
        <f>IF($M$3=19,IF(U5="dzīvojamā",LBN!H4,LBN!R4),LBN!S4)</f>
        <v>0.2</v>
      </c>
      <c r="I14" s="735" t="str">
        <f t="shared" si="1"/>
        <v>atbilst</v>
      </c>
      <c r="J14" s="736"/>
      <c r="K14" s="481">
        <f>C14*F14</f>
        <v>9.0478960000000015</v>
      </c>
      <c r="L14" s="481">
        <f t="shared" si="2"/>
        <v>16.45072</v>
      </c>
      <c r="N14" s="513"/>
      <c r="O14" s="508"/>
      <c r="P14" s="603"/>
      <c r="Q14" s="513"/>
      <c r="R14" s="513"/>
      <c r="S14" s="513"/>
      <c r="T14" s="513"/>
      <c r="U14" s="511"/>
      <c r="V14" s="511"/>
      <c r="W14" s="511"/>
      <c r="Z14" s="429"/>
      <c r="AA14" s="429"/>
      <c r="AB14" s="429"/>
      <c r="AC14" s="429"/>
    </row>
    <row r="15" spans="1:30" s="359" customFormat="1" ht="15" hidden="1" customHeight="1" x14ac:dyDescent="0.25">
      <c r="A15" s="431">
        <v>7</v>
      </c>
      <c r="B15" s="455" t="s">
        <v>531</v>
      </c>
      <c r="C15" s="746">
        <f>'5.lapa'!J164</f>
        <v>0</v>
      </c>
      <c r="D15" s="775"/>
      <c r="E15" s="747"/>
      <c r="F15" s="776">
        <v>0.2</v>
      </c>
      <c r="G15" s="778"/>
      <c r="H15" s="481">
        <f>H14</f>
        <v>0.2</v>
      </c>
      <c r="I15" s="735" t="str">
        <f t="shared" si="1"/>
        <v>atbilst</v>
      </c>
      <c r="J15" s="736"/>
      <c r="K15" s="481">
        <f t="shared" si="4"/>
        <v>0</v>
      </c>
      <c r="L15" s="481">
        <f t="shared" si="2"/>
        <v>0</v>
      </c>
      <c r="N15" s="513"/>
      <c r="O15" s="508" t="s">
        <v>398</v>
      </c>
      <c r="P15" s="603"/>
      <c r="Q15" s="513"/>
      <c r="R15" s="513"/>
      <c r="S15" s="513"/>
      <c r="T15" s="513"/>
      <c r="U15" s="511"/>
      <c r="V15" s="511"/>
      <c r="W15" s="511">
        <f>150.6-39.9-6.6-4</f>
        <v>100.1</v>
      </c>
      <c r="AB15" s="429">
        <f>AB10+AB14</f>
        <v>0</v>
      </c>
      <c r="AC15" s="359" t="e">
        <f>AD15/AB15</f>
        <v>#DIV/0!</v>
      </c>
      <c r="AD15" s="359">
        <f>AD10+AD14</f>
        <v>0</v>
      </c>
    </row>
    <row r="16" spans="1:30" s="359" customFormat="1" ht="15" hidden="1" customHeight="1" x14ac:dyDescent="0.25">
      <c r="A16" s="431">
        <v>6</v>
      </c>
      <c r="B16" s="455" t="s">
        <v>553</v>
      </c>
      <c r="C16" s="746">
        <f>'5.lapa'!J166</f>
        <v>0</v>
      </c>
      <c r="D16" s="775"/>
      <c r="E16" s="747"/>
      <c r="F16" s="776">
        <f>'6.lapa'!H226</f>
        <v>0.11</v>
      </c>
      <c r="G16" s="778"/>
      <c r="H16" s="481">
        <f>H15</f>
        <v>0.2</v>
      </c>
      <c r="I16" s="735" t="str">
        <f t="shared" si="1"/>
        <v>atbilst</v>
      </c>
      <c r="J16" s="736"/>
      <c r="K16" s="601">
        <f t="shared" si="4"/>
        <v>0</v>
      </c>
      <c r="L16" s="481">
        <f t="shared" si="2"/>
        <v>0</v>
      </c>
      <c r="N16" s="513"/>
      <c r="O16" s="508" t="s">
        <v>435</v>
      </c>
      <c r="P16" s="603"/>
      <c r="Q16" s="513"/>
      <c r="R16" s="513"/>
      <c r="S16" s="513"/>
      <c r="T16" s="513"/>
      <c r="U16" s="511"/>
      <c r="V16" s="511"/>
      <c r="W16" s="511"/>
    </row>
    <row r="17" spans="1:30" s="359" customFormat="1" ht="15" customHeight="1" x14ac:dyDescent="0.25">
      <c r="A17" s="431">
        <v>3</v>
      </c>
      <c r="B17" s="455" t="s">
        <v>521</v>
      </c>
      <c r="C17" s="746">
        <f>'5.lapa'!J168</f>
        <v>79.09</v>
      </c>
      <c r="D17" s="775"/>
      <c r="E17" s="747"/>
      <c r="F17" s="776">
        <f>jkl!H47</f>
        <v>0.08</v>
      </c>
      <c r="G17" s="778"/>
      <c r="H17" s="481">
        <f>IF($M$3=19,IF(M17="uz grunts",LBN!H7,LBN!H8),LBN!S7)</f>
        <v>0.2</v>
      </c>
      <c r="I17" s="735" t="str">
        <f t="shared" si="1"/>
        <v>atbilst</v>
      </c>
      <c r="J17" s="736"/>
      <c r="K17" s="481">
        <f>ROUND(C17*F17,2)</f>
        <v>6.33</v>
      </c>
      <c r="L17" s="481">
        <f>H17*C17</f>
        <v>15.818000000000001</v>
      </c>
      <c r="M17" s="715" t="s">
        <v>848</v>
      </c>
      <c r="N17" s="513"/>
      <c r="O17" s="508" t="s">
        <v>399</v>
      </c>
      <c r="P17" s="603"/>
      <c r="Q17" s="513"/>
      <c r="R17" s="513"/>
      <c r="S17" s="717"/>
      <c r="T17" s="717"/>
      <c r="U17" s="511"/>
      <c r="V17" s="576"/>
      <c r="W17" s="511"/>
      <c r="Z17" s="429"/>
      <c r="AA17" s="429"/>
      <c r="AB17" s="429"/>
    </row>
    <row r="18" spans="1:30" s="359" customFormat="1" ht="15" hidden="1" customHeight="1" x14ac:dyDescent="0.25">
      <c r="A18" s="431">
        <v>9</v>
      </c>
      <c r="B18" s="455" t="s">
        <v>518</v>
      </c>
      <c r="C18" s="746">
        <f>'5.lapa'!J169</f>
        <v>0</v>
      </c>
      <c r="D18" s="775"/>
      <c r="E18" s="747"/>
      <c r="F18" s="776">
        <f>pagrbs_apkur!H42</f>
        <v>0.66</v>
      </c>
      <c r="G18" s="778"/>
      <c r="H18" s="481">
        <f>IF($U$5="dzīvojamā",LBN!H23,LBN!I23)</f>
        <v>0.2</v>
      </c>
      <c r="I18" s="735" t="str">
        <f t="shared" si="1"/>
        <v>Neatbilst</v>
      </c>
      <c r="J18" s="736"/>
      <c r="K18" s="481">
        <f t="shared" si="4"/>
        <v>0</v>
      </c>
      <c r="L18" s="481">
        <f>H18*C18</f>
        <v>0</v>
      </c>
      <c r="M18" s="715" t="s">
        <v>848</v>
      </c>
      <c r="N18" s="513"/>
      <c r="O18" s="508" t="s">
        <v>436</v>
      </c>
      <c r="P18" s="513"/>
      <c r="Q18" s="513"/>
      <c r="R18" s="513"/>
      <c r="S18" s="717"/>
      <c r="T18" s="717"/>
      <c r="U18" s="593"/>
      <c r="V18" s="511"/>
      <c r="W18" s="511"/>
    </row>
    <row r="19" spans="1:30" s="359" customFormat="1" ht="15" hidden="1" customHeight="1" x14ac:dyDescent="0.25">
      <c r="A19" s="431">
        <v>10</v>
      </c>
      <c r="B19" s="455" t="s">
        <v>844</v>
      </c>
      <c r="C19" s="746">
        <f>'5.lapa'!J170</f>
        <v>0</v>
      </c>
      <c r="D19" s="775"/>
      <c r="E19" s="747"/>
      <c r="F19" s="776">
        <v>0.2</v>
      </c>
      <c r="G19" s="778"/>
      <c r="H19" s="481">
        <f>IF($U$5="dzīvojamā",LBN!H24,LBN!I24)</f>
        <v>0.2</v>
      </c>
      <c r="I19" s="735" t="str">
        <f t="shared" ref="I19" si="5">IF(H19&gt;=F19,"atbilst", "Neatbilst")</f>
        <v>atbilst</v>
      </c>
      <c r="J19" s="736"/>
      <c r="K19" s="481">
        <f t="shared" si="4"/>
        <v>0</v>
      </c>
      <c r="L19" s="481">
        <f t="shared" si="2"/>
        <v>0</v>
      </c>
      <c r="M19" s="715" t="s">
        <v>848</v>
      </c>
      <c r="N19" s="513"/>
      <c r="O19" s="513" t="s">
        <v>438</v>
      </c>
      <c r="P19" s="513"/>
      <c r="Q19" s="513"/>
      <c r="R19" s="513"/>
      <c r="S19" s="717"/>
      <c r="T19" s="717"/>
      <c r="U19" s="511"/>
      <c r="V19" s="511"/>
      <c r="W19" s="511"/>
    </row>
    <row r="20" spans="1:30" s="359" customFormat="1" ht="15" customHeight="1" x14ac:dyDescent="0.25">
      <c r="A20" s="483">
        <v>4</v>
      </c>
      <c r="B20" s="484" t="s">
        <v>644</v>
      </c>
      <c r="C20" s="776">
        <f>'5.lapa'!J153</f>
        <v>16.920000000000002</v>
      </c>
      <c r="D20" s="777"/>
      <c r="E20" s="778"/>
      <c r="F20" s="776">
        <v>1</v>
      </c>
      <c r="G20" s="778"/>
      <c r="H20" s="481">
        <f>IF($M$3=19,LBN!$H$12,LBN!$S$12)</f>
        <v>1.1000000000000001</v>
      </c>
      <c r="I20" s="735" t="str">
        <f t="shared" ref="I20:I26" si="6">IF(H20&gt;=F20,"atbilst", "Neatbilst")</f>
        <v>atbilst</v>
      </c>
      <c r="J20" s="736"/>
      <c r="K20" s="481">
        <f t="shared" si="4"/>
        <v>16.920000000000002</v>
      </c>
      <c r="L20" s="481">
        <f t="shared" si="2"/>
        <v>18.612000000000002</v>
      </c>
      <c r="N20" s="513"/>
      <c r="O20" s="513" t="s">
        <v>437</v>
      </c>
      <c r="P20" s="513"/>
      <c r="Q20" s="513"/>
      <c r="R20" s="513"/>
      <c r="S20" s="717"/>
      <c r="T20" s="717"/>
      <c r="U20" s="576">
        <f>C8+C9+C10+C11+C12</f>
        <v>123.13</v>
      </c>
      <c r="V20" s="511"/>
      <c r="W20" s="576"/>
      <c r="AA20" s="429"/>
      <c r="AD20" s="429"/>
    </row>
    <row r="21" spans="1:30" s="359" customFormat="1" ht="15" hidden="1" customHeight="1" x14ac:dyDescent="0.25">
      <c r="A21" s="483">
        <v>12</v>
      </c>
      <c r="B21" s="484" t="s">
        <v>645</v>
      </c>
      <c r="C21" s="776">
        <f>'5.lapa'!J154</f>
        <v>0</v>
      </c>
      <c r="D21" s="777"/>
      <c r="E21" s="778"/>
      <c r="F21" s="776">
        <v>1.1000000000000001</v>
      </c>
      <c r="G21" s="778"/>
      <c r="H21" s="481">
        <f>IF($M$3=19,LBN!$H$12,LBN!$S$12)</f>
        <v>1.1000000000000001</v>
      </c>
      <c r="I21" s="735" t="str">
        <f t="shared" si="6"/>
        <v>atbilst</v>
      </c>
      <c r="J21" s="736"/>
      <c r="K21" s="481">
        <f>ROUND(C21*F21,2)</f>
        <v>0</v>
      </c>
      <c r="L21" s="481">
        <f>H21*C21</f>
        <v>0</v>
      </c>
      <c r="N21" s="513"/>
      <c r="O21" s="513" t="s">
        <v>437</v>
      </c>
      <c r="P21" s="513"/>
      <c r="Q21" s="513"/>
      <c r="R21" s="513"/>
      <c r="S21" s="717"/>
      <c r="T21" s="717"/>
      <c r="U21" s="576">
        <f>C14+C15</f>
        <v>82.253600000000006</v>
      </c>
      <c r="V21" s="511"/>
      <c r="W21" s="576"/>
      <c r="AD21" s="429"/>
    </row>
    <row r="22" spans="1:30" s="359" customFormat="1" ht="15" hidden="1" customHeight="1" x14ac:dyDescent="0.25">
      <c r="A22" s="483">
        <v>13</v>
      </c>
      <c r="B22" s="484" t="s">
        <v>705</v>
      </c>
      <c r="C22" s="776">
        <f>'5.lapa'!J155</f>
        <v>0</v>
      </c>
      <c r="D22" s="777"/>
      <c r="E22" s="778"/>
      <c r="F22" s="776">
        <v>1.1000000000000001</v>
      </c>
      <c r="G22" s="778"/>
      <c r="H22" s="481">
        <f>IF($M$3=19,LBN!$H$12,LBN!$S$12)</f>
        <v>1.1000000000000001</v>
      </c>
      <c r="I22" s="735" t="str">
        <f t="shared" si="6"/>
        <v>atbilst</v>
      </c>
      <c r="J22" s="736"/>
      <c r="K22" s="481">
        <f>ROUND(C22*F22,2)</f>
        <v>0</v>
      </c>
      <c r="L22" s="481">
        <f>H22*C22</f>
        <v>0</v>
      </c>
      <c r="N22" s="513"/>
      <c r="O22" s="513" t="s">
        <v>437</v>
      </c>
      <c r="P22" s="513"/>
      <c r="Q22" s="513"/>
      <c r="R22" s="513"/>
      <c r="S22" s="717"/>
      <c r="T22" s="717"/>
      <c r="U22" s="576">
        <f>C17+C18+C19</f>
        <v>79.09</v>
      </c>
      <c r="V22" s="511"/>
      <c r="W22" s="576"/>
      <c r="AD22" s="429"/>
    </row>
    <row r="23" spans="1:30" s="359" customFormat="1" ht="15" hidden="1" customHeight="1" x14ac:dyDescent="0.25">
      <c r="A23" s="483">
        <v>5</v>
      </c>
      <c r="B23" s="484" t="s">
        <v>572</v>
      </c>
      <c r="C23" s="776">
        <f>'5.lapa'!J156</f>
        <v>0</v>
      </c>
      <c r="D23" s="777"/>
      <c r="E23" s="778"/>
      <c r="F23" s="776">
        <v>1</v>
      </c>
      <c r="G23" s="778"/>
      <c r="H23" s="481">
        <f>IF($M$3=19,LBN!$H$12,LBN!$S$12)</f>
        <v>1.1000000000000001</v>
      </c>
      <c r="I23" s="735" t="str">
        <f t="shared" si="6"/>
        <v>atbilst</v>
      </c>
      <c r="J23" s="736"/>
      <c r="K23" s="481">
        <f>ROUND(C23*F23,2)</f>
        <v>0</v>
      </c>
      <c r="L23" s="481">
        <f t="shared" si="2"/>
        <v>0</v>
      </c>
      <c r="N23" s="513"/>
      <c r="O23" s="513" t="s">
        <v>437</v>
      </c>
      <c r="P23" s="513"/>
      <c r="Q23" s="513"/>
      <c r="R23" s="513"/>
      <c r="S23" s="717"/>
      <c r="T23" s="717"/>
      <c r="U23" s="511"/>
      <c r="V23" s="511"/>
      <c r="W23" s="511"/>
    </row>
    <row r="24" spans="1:30" s="359" customFormat="1" ht="15" customHeight="1" x14ac:dyDescent="0.25">
      <c r="A24" s="483">
        <v>5</v>
      </c>
      <c r="B24" s="484" t="s">
        <v>646</v>
      </c>
      <c r="C24" s="776">
        <f>'5.lapa'!J157</f>
        <v>3.5999999999999996</v>
      </c>
      <c r="D24" s="777"/>
      <c r="E24" s="778"/>
      <c r="F24" s="776">
        <v>1</v>
      </c>
      <c r="G24" s="778"/>
      <c r="H24" s="481">
        <f>IF($M$3=19,LBN!$H$13,LBN!$S$13)</f>
        <v>1.8</v>
      </c>
      <c r="I24" s="735" t="str">
        <f t="shared" si="6"/>
        <v>atbilst</v>
      </c>
      <c r="J24" s="736"/>
      <c r="K24" s="481">
        <f>ROUND(C24*F24,2)</f>
        <v>3.6</v>
      </c>
      <c r="L24" s="481">
        <f>H24*C24</f>
        <v>6.4799999999999995</v>
      </c>
      <c r="N24" s="513"/>
      <c r="O24" s="513" t="s">
        <v>400</v>
      </c>
      <c r="P24" s="513"/>
      <c r="Q24" s="513"/>
      <c r="R24" s="513"/>
      <c r="S24" s="717"/>
      <c r="T24" s="717"/>
      <c r="U24" s="576">
        <f>C20+C21+C22</f>
        <v>16.920000000000002</v>
      </c>
      <c r="V24" s="511"/>
      <c r="W24" s="511"/>
      <c r="Z24" s="429"/>
      <c r="AA24" s="429">
        <f>P2-AA27</f>
        <v>32.760000000000005</v>
      </c>
      <c r="AB24" s="429">
        <v>2.6120000000000001</v>
      </c>
      <c r="AC24" s="359">
        <f>AA24*AB24</f>
        <v>85.569120000000012</v>
      </c>
      <c r="AD24" s="429"/>
    </row>
    <row r="25" spans="1:30" s="359" customFormat="1" ht="15" hidden="1" customHeight="1" x14ac:dyDescent="0.25">
      <c r="A25" s="483">
        <v>15</v>
      </c>
      <c r="B25" s="484" t="s">
        <v>647</v>
      </c>
      <c r="C25" s="776">
        <f>'5.lapa'!J158</f>
        <v>0</v>
      </c>
      <c r="D25" s="777"/>
      <c r="E25" s="778"/>
      <c r="F25" s="776">
        <v>1.8</v>
      </c>
      <c r="G25" s="778"/>
      <c r="H25" s="481">
        <f>IF($M$3=19,LBN!$H$13,LBN!$S$13)</f>
        <v>1.8</v>
      </c>
      <c r="I25" s="735" t="str">
        <f t="shared" si="6"/>
        <v>atbilst</v>
      </c>
      <c r="J25" s="736"/>
      <c r="K25" s="481">
        <f t="shared" si="4"/>
        <v>0</v>
      </c>
      <c r="L25" s="481">
        <f t="shared" si="2"/>
        <v>0</v>
      </c>
      <c r="N25" s="513"/>
      <c r="O25" s="513" t="s">
        <v>400</v>
      </c>
      <c r="P25" s="513"/>
      <c r="Q25" s="513"/>
      <c r="R25" s="513"/>
      <c r="S25" s="717"/>
      <c r="T25" s="717"/>
      <c r="U25" s="576">
        <f>C24+C25+C26</f>
        <v>3.5999999999999996</v>
      </c>
      <c r="V25" s="511"/>
      <c r="W25" s="511"/>
      <c r="AC25" s="359">
        <f t="shared" ref="AC25:AC27" si="7">AA25*AB25</f>
        <v>0</v>
      </c>
      <c r="AD25" s="429"/>
    </row>
    <row r="26" spans="1:30" s="359" customFormat="1" ht="15" hidden="1" customHeight="1" x14ac:dyDescent="0.25">
      <c r="A26" s="483">
        <v>16</v>
      </c>
      <c r="B26" s="484" t="s">
        <v>706</v>
      </c>
      <c r="C26" s="776">
        <f>'5.lapa'!J159</f>
        <v>0</v>
      </c>
      <c r="D26" s="777"/>
      <c r="E26" s="778"/>
      <c r="F26" s="776">
        <v>1.8</v>
      </c>
      <c r="G26" s="778"/>
      <c r="H26" s="474">
        <f>IF($M$3=19,LBN!$H$13,LBN!$S$13)</f>
        <v>1.8</v>
      </c>
      <c r="I26" s="735" t="str">
        <f t="shared" si="6"/>
        <v>atbilst</v>
      </c>
      <c r="J26" s="736"/>
      <c r="K26" s="481">
        <f>ROUND(C26*F26,2)</f>
        <v>0</v>
      </c>
      <c r="L26" s="481">
        <f>H26*C26</f>
        <v>0</v>
      </c>
      <c r="N26" s="513"/>
      <c r="O26" s="513" t="s">
        <v>400</v>
      </c>
      <c r="P26" s="513"/>
      <c r="Q26" s="513"/>
      <c r="R26" s="513"/>
      <c r="S26" s="717"/>
      <c r="T26" s="717"/>
      <c r="U26" s="511"/>
      <c r="V26" s="511"/>
      <c r="W26" s="511"/>
      <c r="AC26" s="359">
        <f t="shared" si="7"/>
        <v>0</v>
      </c>
      <c r="AD26" s="429"/>
    </row>
    <row r="27" spans="1:30" s="359" customFormat="1" ht="15" x14ac:dyDescent="0.25">
      <c r="A27" s="801" t="s">
        <v>683</v>
      </c>
      <c r="B27" s="802"/>
      <c r="C27" s="776">
        <f>SUM(C8:E25)</f>
        <v>304.99360000000007</v>
      </c>
      <c r="D27" s="777"/>
      <c r="E27" s="778"/>
      <c r="F27" s="795">
        <f>K27/C27</f>
        <v>0.16614609618037882</v>
      </c>
      <c r="G27" s="796"/>
      <c r="H27" s="474">
        <f>L27/C27</f>
        <v>0.28092596041359558</v>
      </c>
      <c r="I27" s="797"/>
      <c r="J27" s="797"/>
      <c r="K27" s="481">
        <f>SUM(K8:K26)</f>
        <v>50.673496</v>
      </c>
      <c r="L27" s="481">
        <f>SUM(L8:L25)</f>
        <v>85.680620000000019</v>
      </c>
      <c r="N27" s="513"/>
      <c r="O27" s="513" t="s">
        <v>439</v>
      </c>
      <c r="P27" s="513"/>
      <c r="Q27" s="513"/>
      <c r="R27" s="513"/>
      <c r="S27" s="513"/>
      <c r="T27" s="513"/>
      <c r="U27" s="511"/>
      <c r="V27" s="511"/>
      <c r="W27" s="511"/>
      <c r="AA27" s="429">
        <f>23.88+22.45</f>
        <v>46.33</v>
      </c>
      <c r="AB27" s="359">
        <f>(2.25/6.7)*((5.05+4)/2)+((6.7-2.25)/6.7)*((2.94+5.05)/2)</f>
        <v>4.1729850746268662</v>
      </c>
      <c r="AC27" s="359">
        <f t="shared" si="7"/>
        <v>193.33439850746271</v>
      </c>
      <c r="AD27" s="429"/>
    </row>
    <row r="28" spans="1:30" s="359" customFormat="1" ht="20.45" customHeight="1" x14ac:dyDescent="0.25">
      <c r="A28" s="798" t="s">
        <v>44</v>
      </c>
      <c r="B28" s="799"/>
      <c r="C28" s="799"/>
      <c r="D28" s="799"/>
      <c r="E28" s="799"/>
      <c r="F28" s="799"/>
      <c r="G28" s="799"/>
      <c r="H28" s="800"/>
      <c r="I28" s="797"/>
      <c r="J28" s="797"/>
      <c r="K28" s="818"/>
      <c r="L28" s="818"/>
      <c r="N28" s="513"/>
      <c r="O28" s="513"/>
      <c r="P28" s="513"/>
      <c r="Q28" s="513"/>
      <c r="R28" s="513"/>
      <c r="S28" s="513"/>
      <c r="T28" s="513"/>
      <c r="U28" s="511"/>
      <c r="V28" s="511"/>
      <c r="W28" s="511"/>
      <c r="Z28" s="429"/>
      <c r="AA28" s="429">
        <f>AA27+AA24</f>
        <v>79.09</v>
      </c>
      <c r="AB28" s="359">
        <f>AC28/AA28</f>
        <v>3.5264068593686013</v>
      </c>
      <c r="AC28" s="359">
        <f>AC24+AC27</f>
        <v>278.90351850746271</v>
      </c>
    </row>
    <row r="29" spans="1:30" s="359" customFormat="1" ht="13.9" customHeight="1" x14ac:dyDescent="0.25">
      <c r="A29" s="737"/>
      <c r="B29" s="739"/>
      <c r="C29" s="737" t="s">
        <v>14</v>
      </c>
      <c r="D29" s="738"/>
      <c r="E29" s="739"/>
      <c r="F29" s="737" t="s">
        <v>552</v>
      </c>
      <c r="G29" s="739"/>
      <c r="H29" s="587" t="s">
        <v>552</v>
      </c>
      <c r="I29" s="797"/>
      <c r="J29" s="797"/>
      <c r="K29" s="819"/>
      <c r="L29" s="819"/>
      <c r="N29" s="516">
        <f>K8+K14+K17+K24+K20</f>
        <v>50.673496</v>
      </c>
      <c r="O29" s="516">
        <f>K8+K14+K20+K17+K24</f>
        <v>50.673496</v>
      </c>
      <c r="P29" s="513"/>
      <c r="Q29" s="513"/>
      <c r="R29" s="513"/>
      <c r="S29" s="717"/>
      <c r="T29" s="717"/>
      <c r="U29" s="763" t="s">
        <v>570</v>
      </c>
      <c r="V29" s="763"/>
      <c r="W29" s="766" t="s">
        <v>571</v>
      </c>
      <c r="X29" s="766"/>
      <c r="AA29" s="429"/>
    </row>
    <row r="30" spans="1:30" s="559" customFormat="1" ht="190.15" hidden="1" customHeight="1" x14ac:dyDescent="0.2">
      <c r="A30" s="557">
        <v>1</v>
      </c>
      <c r="B30" s="743" t="s">
        <v>500</v>
      </c>
      <c r="C30" s="744"/>
      <c r="D30" s="744"/>
      <c r="E30" s="744"/>
      <c r="F30" s="744"/>
      <c r="G30" s="745"/>
      <c r="H30" s="558"/>
      <c r="I30" s="735" t="str">
        <f>IF(G30&gt;F30,"atbilst","NEATBILST")</f>
        <v>NEATBILST</v>
      </c>
      <c r="J30" s="736"/>
      <c r="K30" s="558"/>
      <c r="L30" s="558"/>
      <c r="N30" s="562">
        <f>LBN!X13*O30</f>
        <v>0.88200000000000001</v>
      </c>
      <c r="O30" s="563">
        <v>0.5</v>
      </c>
      <c r="P30" s="560"/>
      <c r="Q30" s="560"/>
      <c r="R30" s="560"/>
      <c r="S30" s="560"/>
      <c r="T30" s="560"/>
      <c r="U30" s="561"/>
      <c r="V30" s="561"/>
      <c r="W30" s="561"/>
    </row>
    <row r="31" spans="1:30" s="359" customFormat="1" ht="15" customHeight="1" x14ac:dyDescent="0.25">
      <c r="A31" s="431">
        <v>1</v>
      </c>
      <c r="B31" s="455" t="s">
        <v>648</v>
      </c>
      <c r="C31" s="740">
        <f>'5.lapa'!K153</f>
        <v>50.400000000000006</v>
      </c>
      <c r="D31" s="741"/>
      <c r="E31" s="742"/>
      <c r="F31" s="746">
        <v>0.02</v>
      </c>
      <c r="G31" s="747"/>
      <c r="H31" s="481">
        <f>IF($M$3=19,LBN!$H$14,LBN!$S$14)</f>
        <v>0.2</v>
      </c>
      <c r="I31" s="735" t="str">
        <f>IF(F31&lt;H31,"atbilst","NEATBILST")</f>
        <v>atbilst</v>
      </c>
      <c r="J31" s="736"/>
      <c r="K31" s="481">
        <f>C31*F31</f>
        <v>1.0080000000000002</v>
      </c>
      <c r="L31" s="481">
        <f>C31*H31</f>
        <v>10.080000000000002</v>
      </c>
      <c r="N31" s="513"/>
      <c r="O31" s="516"/>
      <c r="P31" s="513"/>
      <c r="Q31" s="516"/>
      <c r="R31" s="513"/>
      <c r="S31" s="769" t="s">
        <v>459</v>
      </c>
      <c r="T31" s="770"/>
      <c r="U31" s="764">
        <f>P2</f>
        <v>79.09</v>
      </c>
      <c r="V31" s="765"/>
      <c r="W31" s="767">
        <v>2.9</v>
      </c>
      <c r="X31" s="768"/>
      <c r="Y31" s="359">
        <f>U31*W31</f>
        <v>229.36099999999999</v>
      </c>
      <c r="Z31" s="429"/>
    </row>
    <row r="32" spans="1:30" s="359" customFormat="1" ht="15.75" customHeight="1" x14ac:dyDescent="0.25">
      <c r="A32" s="431">
        <v>2</v>
      </c>
      <c r="B32" s="455" t="s">
        <v>549</v>
      </c>
      <c r="C32" s="740">
        <f>U4</f>
        <v>44.2</v>
      </c>
      <c r="D32" s="741"/>
      <c r="E32" s="742"/>
      <c r="F32" s="746">
        <v>0.05</v>
      </c>
      <c r="G32" s="747"/>
      <c r="H32" s="481">
        <f>IF($M$3=19,LBN!$H$14,LBN!$S$14)</f>
        <v>0.2</v>
      </c>
      <c r="I32" s="735" t="str">
        <f>IF(F32&lt;H32,"atbilst","NEATBILST")</f>
        <v>atbilst</v>
      </c>
      <c r="J32" s="736"/>
      <c r="K32" s="481">
        <f>C32*F32</f>
        <v>2.2100000000000004</v>
      </c>
      <c r="L32" s="481">
        <f>C32*H32</f>
        <v>8.8400000000000016</v>
      </c>
      <c r="M32" s="544"/>
      <c r="N32" s="513"/>
      <c r="O32" s="516"/>
      <c r="P32" s="513"/>
      <c r="Q32" s="516">
        <f>K8+K9+K14+K15+K17+K20+K24+K31+K32+K33+K34+K35</f>
        <v>51.031496000000004</v>
      </c>
      <c r="R32" s="513"/>
      <c r="S32" s="769" t="s">
        <v>396</v>
      </c>
      <c r="T32" s="770"/>
      <c r="U32" s="764">
        <f>P3</f>
        <v>0</v>
      </c>
      <c r="V32" s="765"/>
      <c r="W32" s="767">
        <v>0</v>
      </c>
      <c r="X32" s="768"/>
      <c r="Y32" s="359">
        <f>U32*W32</f>
        <v>0</v>
      </c>
    </row>
    <row r="33" spans="1:32" s="359" customFormat="1" ht="15" customHeight="1" x14ac:dyDescent="0.25">
      <c r="A33" s="431">
        <v>3</v>
      </c>
      <c r="B33" s="455" t="s">
        <v>461</v>
      </c>
      <c r="C33" s="740">
        <f>U4*O33</f>
        <v>44.2</v>
      </c>
      <c r="D33" s="741"/>
      <c r="E33" s="742"/>
      <c r="F33" s="746">
        <v>-0.05</v>
      </c>
      <c r="G33" s="747"/>
      <c r="H33" s="481">
        <f>IF($M$3=19,LBN!$H$14,LBN!$S$14)</f>
        <v>0.2</v>
      </c>
      <c r="I33" s="735" t="str">
        <f>IF(F33&lt;H33,"atbilst","NEATBILST")</f>
        <v>atbilst</v>
      </c>
      <c r="J33" s="736"/>
      <c r="K33" s="481">
        <f>C33*F33</f>
        <v>-2.2100000000000004</v>
      </c>
      <c r="L33" s="481">
        <f>C33*H33</f>
        <v>8.8400000000000016</v>
      </c>
      <c r="N33" s="513"/>
      <c r="O33" s="588">
        <v>1</v>
      </c>
      <c r="P33" s="513"/>
      <c r="Q33" s="513"/>
      <c r="R33" s="516"/>
      <c r="S33" s="769" t="s">
        <v>569</v>
      </c>
      <c r="T33" s="770"/>
      <c r="U33" s="764">
        <f>P4</f>
        <v>0</v>
      </c>
      <c r="V33" s="765"/>
      <c r="W33" s="767">
        <v>0</v>
      </c>
      <c r="X33" s="768"/>
      <c r="Y33" s="359">
        <f>U33*W33</f>
        <v>0</v>
      </c>
      <c r="Z33" s="429"/>
    </row>
    <row r="34" spans="1:32" s="359" customFormat="1" ht="15" customHeight="1" x14ac:dyDescent="0.25">
      <c r="A34" s="431">
        <v>4</v>
      </c>
      <c r="B34" s="455" t="s">
        <v>550</v>
      </c>
      <c r="C34" s="740">
        <f>3.25*6</f>
        <v>19.5</v>
      </c>
      <c r="D34" s="741"/>
      <c r="E34" s="742"/>
      <c r="F34" s="746">
        <v>-0.05</v>
      </c>
      <c r="G34" s="747"/>
      <c r="H34" s="481">
        <f>IF($M$3=19,LBN!$H$14,LBN!$S$14)</f>
        <v>0.2</v>
      </c>
      <c r="I34" s="735" t="str">
        <f>IF(F34&lt;H34,"atbilst","NEATBILST")</f>
        <v>atbilst</v>
      </c>
      <c r="J34" s="736"/>
      <c r="K34" s="481">
        <f>C34*F34</f>
        <v>-0.97500000000000009</v>
      </c>
      <c r="L34" s="481">
        <f>C34*H34</f>
        <v>3.9000000000000004</v>
      </c>
      <c r="N34" s="513"/>
      <c r="O34" s="516"/>
      <c r="P34" s="513"/>
      <c r="Q34" s="513"/>
      <c r="R34" s="513"/>
      <c r="S34" s="513"/>
      <c r="T34" s="513"/>
      <c r="U34" s="749">
        <f>SUM(U31:V33)</f>
        <v>79.09</v>
      </c>
      <c r="V34" s="749"/>
      <c r="W34" s="755">
        <f>Y34/U34</f>
        <v>2.9</v>
      </c>
      <c r="X34" s="755"/>
      <c r="Y34" s="359">
        <f>SUM(Y31:Y33)</f>
        <v>229.36099999999999</v>
      </c>
      <c r="AD34" s="359">
        <f>P2*5.3</f>
        <v>419.17700000000002</v>
      </c>
    </row>
    <row r="35" spans="1:32" s="359" customFormat="1" ht="15" customHeight="1" x14ac:dyDescent="0.25">
      <c r="A35" s="431">
        <v>5</v>
      </c>
      <c r="B35" s="455" t="s">
        <v>551</v>
      </c>
      <c r="C35" s="740">
        <f>3.25*2</f>
        <v>6.5</v>
      </c>
      <c r="D35" s="741"/>
      <c r="E35" s="742"/>
      <c r="F35" s="746">
        <v>0.05</v>
      </c>
      <c r="G35" s="747"/>
      <c r="H35" s="481">
        <f>IF($M$3=19,LBN!$H$14,LBN!$S$14)</f>
        <v>0.2</v>
      </c>
      <c r="I35" s="735" t="str">
        <f>IF(F35&lt;H35,"atbilst","NEATBILST")</f>
        <v>atbilst</v>
      </c>
      <c r="J35" s="736"/>
      <c r="K35" s="481">
        <f>C35*F35</f>
        <v>0.32500000000000001</v>
      </c>
      <c r="L35" s="481">
        <f>C35*H35</f>
        <v>1.3</v>
      </c>
      <c r="N35" s="513"/>
      <c r="O35" s="516">
        <f>K8+K14+K17+K20+K24</f>
        <v>50.673496</v>
      </c>
      <c r="P35" s="513"/>
      <c r="Q35" s="513"/>
      <c r="R35" s="516"/>
      <c r="S35" s="516"/>
      <c r="T35" s="513"/>
      <c r="U35" s="511"/>
      <c r="V35" s="511"/>
      <c r="W35" s="511"/>
      <c r="AD35" s="359">
        <f>P3*(9-5.5)/2</f>
        <v>0</v>
      </c>
    </row>
    <row r="36" spans="1:32" s="359" customFormat="1" ht="190.15" hidden="1" customHeight="1" x14ac:dyDescent="0.25">
      <c r="A36" s="605"/>
      <c r="B36" s="595"/>
      <c r="C36" s="759"/>
      <c r="D36" s="759"/>
      <c r="E36" s="759"/>
      <c r="F36" s="759"/>
      <c r="G36" s="759"/>
      <c r="H36" s="606"/>
      <c r="I36" s="748"/>
      <c r="J36" s="748"/>
      <c r="K36" s="614"/>
      <c r="L36" s="616"/>
      <c r="N36" s="513"/>
      <c r="O36" s="513"/>
      <c r="P36" s="513"/>
      <c r="Q36" s="513"/>
      <c r="R36" s="513"/>
      <c r="S36" s="513"/>
      <c r="T36" s="513"/>
      <c r="U36" s="511"/>
      <c r="V36" s="511"/>
      <c r="W36" s="511"/>
    </row>
    <row r="37" spans="1:32" s="359" customFormat="1" ht="190.15" hidden="1" customHeight="1" x14ac:dyDescent="0.25">
      <c r="A37" s="605"/>
      <c r="B37" s="595"/>
      <c r="C37" s="759"/>
      <c r="D37" s="759"/>
      <c r="E37" s="759"/>
      <c r="F37" s="759"/>
      <c r="G37" s="759"/>
      <c r="H37" s="606"/>
      <c r="I37" s="748"/>
      <c r="J37" s="748"/>
      <c r="K37" s="614"/>
      <c r="L37" s="617"/>
      <c r="N37" s="513"/>
      <c r="O37" s="513"/>
      <c r="P37" s="513"/>
      <c r="Q37" s="513"/>
      <c r="R37" s="513"/>
      <c r="S37" s="513"/>
      <c r="T37" s="513"/>
      <c r="U37" s="511"/>
      <c r="V37" s="511"/>
      <c r="W37" s="511"/>
    </row>
    <row r="38" spans="1:32" s="359" customFormat="1" ht="17.45" customHeight="1" x14ac:dyDescent="0.25">
      <c r="A38" s="461"/>
      <c r="C38" s="461"/>
      <c r="D38" s="461"/>
      <c r="E38" s="461"/>
      <c r="F38" s="461"/>
      <c r="G38" s="607"/>
      <c r="H38" s="721" t="s">
        <v>261</v>
      </c>
      <c r="I38" s="723" t="s">
        <v>43</v>
      </c>
      <c r="J38" s="724"/>
      <c r="K38" s="704">
        <f>SUM(,K8:K26,K31:K35)</f>
        <v>51.031496000000004</v>
      </c>
      <c r="L38" s="611">
        <f>SUM(L8:L24,L31:L35)</f>
        <v>118.64062000000003</v>
      </c>
      <c r="N38" s="513"/>
      <c r="O38" s="516">
        <f>K8+K14+K17+K20+K23+K24</f>
        <v>50.673496</v>
      </c>
      <c r="P38" s="513"/>
      <c r="Q38" s="516">
        <f>K17+K18</f>
        <v>6.33</v>
      </c>
      <c r="R38" s="513"/>
      <c r="S38" s="513"/>
      <c r="T38" s="513"/>
      <c r="U38" s="594" t="s">
        <v>577</v>
      </c>
      <c r="V38" s="594" t="s">
        <v>578</v>
      </c>
      <c r="W38" s="594" t="s">
        <v>579</v>
      </c>
      <c r="X38" s="595" t="s">
        <v>580</v>
      </c>
      <c r="Y38" s="595" t="s">
        <v>581</v>
      </c>
      <c r="Z38" s="595" t="s">
        <v>582</v>
      </c>
      <c r="AB38" s="359" t="s">
        <v>60</v>
      </c>
      <c r="AC38" s="359" t="s">
        <v>61</v>
      </c>
      <c r="AD38" s="359" t="s">
        <v>62</v>
      </c>
      <c r="AE38" s="359" t="s">
        <v>63</v>
      </c>
      <c r="AF38" s="359" t="s">
        <v>64</v>
      </c>
    </row>
    <row r="39" spans="1:32" s="359" customFormat="1" ht="17.45" customHeight="1" x14ac:dyDescent="0.25">
      <c r="A39" s="608"/>
      <c r="B39" s="608"/>
      <c r="C39" s="608"/>
      <c r="D39" s="608"/>
      <c r="E39" s="608"/>
      <c r="F39" s="608"/>
      <c r="G39" s="608"/>
      <c r="H39" s="722"/>
      <c r="I39" s="725" t="s">
        <v>687</v>
      </c>
      <c r="J39" s="726"/>
      <c r="K39" s="705">
        <f>K38/K42</f>
        <v>0.64523322796813753</v>
      </c>
      <c r="L39" s="618">
        <f>L38/Q4</f>
        <v>1.5000710582880266</v>
      </c>
      <c r="N39" s="505"/>
      <c r="O39" s="678"/>
      <c r="P39" s="506"/>
      <c r="Q39" s="627">
        <f>C17+C18</f>
        <v>79.09</v>
      </c>
      <c r="R39" s="597"/>
      <c r="S39" s="505"/>
      <c r="T39" s="505"/>
    </row>
    <row r="40" spans="1:32" ht="6" customHeight="1" x14ac:dyDescent="0.25">
      <c r="O40" s="46"/>
      <c r="T40" s="46"/>
    </row>
    <row r="41" spans="1:32" x14ac:dyDescent="0.25">
      <c r="A41" s="615"/>
      <c r="B41" s="732" t="s">
        <v>812</v>
      </c>
      <c r="C41" s="732"/>
      <c r="D41" s="732"/>
      <c r="E41" s="732"/>
      <c r="F41" s="732"/>
      <c r="G41" s="732"/>
      <c r="H41" s="732"/>
      <c r="I41" s="732"/>
      <c r="J41" s="732"/>
      <c r="K41" s="733">
        <f>'5.lapa'!N135</f>
        <v>13.512</v>
      </c>
      <c r="L41" s="734"/>
      <c r="O41" s="46"/>
    </row>
    <row r="42" spans="1:32" x14ac:dyDescent="0.25">
      <c r="A42" s="37"/>
      <c r="B42" s="732" t="s">
        <v>813</v>
      </c>
      <c r="C42" s="732"/>
      <c r="D42" s="732"/>
      <c r="E42" s="732"/>
      <c r="F42" s="732"/>
      <c r="G42" s="732"/>
      <c r="H42" s="732"/>
      <c r="I42" s="732"/>
      <c r="J42" s="732"/>
      <c r="K42" s="756">
        <f>P2+P3+P4</f>
        <v>79.09</v>
      </c>
      <c r="L42" s="757"/>
      <c r="M42" s="37"/>
      <c r="O42" s="598"/>
      <c r="P42" s="8">
        <v>16</v>
      </c>
      <c r="U42" s="8">
        <f>0.69/2</f>
        <v>0.34499999999999997</v>
      </c>
      <c r="V42" s="8">
        <f>Q38/Q39</f>
        <v>8.0035402705778219E-2</v>
      </c>
    </row>
    <row r="43" spans="1:32" x14ac:dyDescent="0.25">
      <c r="B43" s="722" t="s">
        <v>820</v>
      </c>
      <c r="C43" s="722"/>
      <c r="D43" s="722"/>
      <c r="E43" s="722"/>
      <c r="F43" s="722"/>
      <c r="G43" s="722"/>
      <c r="H43" s="722"/>
      <c r="I43" s="722"/>
      <c r="J43" s="727"/>
      <c r="K43" s="758">
        <f>K41/K42</f>
        <v>0.17084334302693135</v>
      </c>
      <c r="L43" s="758"/>
      <c r="O43" s="46"/>
      <c r="P43" s="8">
        <v>17</v>
      </c>
      <c r="AA43" s="46"/>
    </row>
    <row r="44" spans="1:32" ht="18.600000000000001" customHeight="1" x14ac:dyDescent="0.25">
      <c r="D44" s="762" t="s">
        <v>31</v>
      </c>
      <c r="E44" s="762"/>
      <c r="F44" s="762"/>
      <c r="G44" s="335" t="s">
        <v>838</v>
      </c>
      <c r="H44" s="750" t="s">
        <v>839</v>
      </c>
      <c r="I44" s="750"/>
      <c r="P44" s="8">
        <v>18</v>
      </c>
    </row>
    <row r="45" spans="1:32" x14ac:dyDescent="0.25">
      <c r="B45" s="710" t="s">
        <v>849</v>
      </c>
      <c r="C45" s="708"/>
      <c r="D45" s="760">
        <f>P2+P3+P4-D46</f>
        <v>79.09</v>
      </c>
      <c r="E45" s="729"/>
      <c r="F45" s="729"/>
      <c r="G45" s="631">
        <v>20</v>
      </c>
      <c r="H45" s="751">
        <f>ROUND((D45*G45+D46*G46)/(D45+D46),1)</f>
        <v>20</v>
      </c>
      <c r="I45" s="752"/>
      <c r="J45" s="709"/>
      <c r="P45" s="8">
        <v>19</v>
      </c>
    </row>
    <row r="46" spans="1:32" x14ac:dyDescent="0.25">
      <c r="B46" s="710" t="s">
        <v>841</v>
      </c>
      <c r="C46" s="711"/>
      <c r="D46" s="761">
        <f>P5</f>
        <v>0</v>
      </c>
      <c r="E46" s="761"/>
      <c r="F46" s="761"/>
      <c r="G46" s="631">
        <v>16</v>
      </c>
      <c r="H46" s="753"/>
      <c r="I46" s="754"/>
      <c r="J46" s="709"/>
    </row>
    <row r="47" spans="1:32" ht="7.15" customHeight="1" x14ac:dyDescent="0.25">
      <c r="P47" s="8">
        <v>20</v>
      </c>
    </row>
    <row r="48" spans="1:32" ht="183.6" customHeight="1" x14ac:dyDescent="0.25">
      <c r="P48" s="8">
        <v>21</v>
      </c>
    </row>
    <row r="49" spans="1:28" ht="18.600000000000001" customHeight="1" thickBot="1" x14ac:dyDescent="0.3">
      <c r="P49" s="8">
        <v>22</v>
      </c>
      <c r="AA49" s="46"/>
    </row>
    <row r="50" spans="1:28" ht="18.600000000000001" customHeight="1" x14ac:dyDescent="0.25">
      <c r="P50" s="8">
        <v>23</v>
      </c>
      <c r="S50" s="549"/>
      <c r="T50" s="599"/>
      <c r="U50" s="550"/>
      <c r="V50" s="551">
        <f>T50*U50</f>
        <v>0</v>
      </c>
      <c r="AB50" s="46"/>
    </row>
    <row r="51" spans="1:28" ht="80.45" customHeight="1" x14ac:dyDescent="0.25">
      <c r="A51" s="728" t="s">
        <v>642</v>
      </c>
      <c r="B51" s="728"/>
      <c r="C51" s="728"/>
      <c r="D51" s="728"/>
      <c r="E51" s="728"/>
      <c r="F51" s="728"/>
      <c r="G51" s="728"/>
      <c r="H51" s="728"/>
      <c r="I51" s="728"/>
      <c r="J51" s="728"/>
      <c r="K51" s="728"/>
      <c r="L51" s="728"/>
      <c r="P51" s="8">
        <v>24</v>
      </c>
      <c r="S51" s="552"/>
      <c r="T51" s="31"/>
      <c r="U51" s="30"/>
      <c r="V51" s="553">
        <f t="shared" ref="V51:V82" si="8">T51*U51</f>
        <v>0</v>
      </c>
      <c r="AB51" s="46"/>
    </row>
    <row r="52" spans="1:28" x14ac:dyDescent="0.25">
      <c r="C52" s="609"/>
      <c r="D52" s="610" t="s">
        <v>638</v>
      </c>
      <c r="E52" s="610"/>
      <c r="F52" s="34"/>
      <c r="G52" s="34"/>
      <c r="H52" s="34"/>
      <c r="I52" s="34"/>
      <c r="J52" s="34"/>
      <c r="K52" s="34"/>
      <c r="L52" s="34"/>
      <c r="P52" s="8">
        <v>25</v>
      </c>
      <c r="S52" s="552"/>
      <c r="T52" s="30"/>
      <c r="U52" s="30"/>
      <c r="V52" s="553">
        <f t="shared" si="8"/>
        <v>0</v>
      </c>
    </row>
    <row r="53" spans="1:28" x14ac:dyDescent="0.25">
      <c r="G53" s="730" t="s">
        <v>578</v>
      </c>
      <c r="H53" s="730"/>
      <c r="I53" s="731" t="s">
        <v>580</v>
      </c>
      <c r="J53" s="731"/>
      <c r="K53" s="8" t="s">
        <v>641</v>
      </c>
      <c r="L53" s="8" t="s">
        <v>641</v>
      </c>
      <c r="P53" s="8">
        <v>26</v>
      </c>
      <c r="S53" s="552"/>
      <c r="T53" s="30"/>
      <c r="U53" s="30"/>
      <c r="V53" s="553">
        <f t="shared" si="8"/>
        <v>0</v>
      </c>
      <c r="Y53" s="8">
        <v>7</v>
      </c>
      <c r="Z53" s="8">
        <v>2.57</v>
      </c>
      <c r="AA53" s="8">
        <f>Y53*Z53</f>
        <v>17.989999999999998</v>
      </c>
    </row>
    <row r="54" spans="1:28" x14ac:dyDescent="0.25">
      <c r="B54" s="613">
        <v>1.46</v>
      </c>
      <c r="C54" s="718">
        <v>1.34</v>
      </c>
      <c r="D54" s="718"/>
      <c r="E54" s="718"/>
      <c r="F54" s="718"/>
      <c r="G54" s="718">
        <v>2.6</v>
      </c>
      <c r="H54" s="718"/>
      <c r="I54" s="719">
        <v>1.3</v>
      </c>
      <c r="J54" s="720"/>
      <c r="K54" s="30">
        <f>(B54*C54*0.85*G54+B54*C54*0.15*I54)/(B54*C54)</f>
        <v>2.4049999999999998</v>
      </c>
      <c r="L54" s="30" t="e">
        <f>(C54*D54*0.85*H54+C54*D54*0.15*J54)/(C54*D54)</f>
        <v>#DIV/0!</v>
      </c>
      <c r="M54" s="10"/>
      <c r="N54" s="729" t="e">
        <f>B54*C54*#REF!</f>
        <v>#REF!</v>
      </c>
      <c r="O54" s="729"/>
      <c r="P54" s="8">
        <v>27</v>
      </c>
      <c r="S54" s="552"/>
      <c r="T54" s="30"/>
      <c r="U54" s="30"/>
      <c r="V54" s="553">
        <f t="shared" si="8"/>
        <v>0</v>
      </c>
      <c r="X54" s="46"/>
      <c r="Y54" s="46">
        <v>37.1</v>
      </c>
      <c r="Z54" s="8">
        <v>2.73</v>
      </c>
      <c r="AA54" s="8">
        <f t="shared" ref="AA54:AA77" si="9">Y54*Z54</f>
        <v>101.283</v>
      </c>
    </row>
    <row r="55" spans="1:28" x14ac:dyDescent="0.25">
      <c r="B55" s="613">
        <v>2</v>
      </c>
      <c r="C55" s="718">
        <v>2.5</v>
      </c>
      <c r="D55" s="718"/>
      <c r="E55" s="718"/>
      <c r="F55" s="718"/>
      <c r="G55" s="718">
        <v>0.7</v>
      </c>
      <c r="H55" s="718"/>
      <c r="I55" s="719">
        <v>1</v>
      </c>
      <c r="J55" s="720"/>
      <c r="K55" s="30">
        <f t="shared" ref="K55:L59" si="10">(B55*C55*0.85*G55+B55*C55*0.15*I55)/(B55*C55)</f>
        <v>0.74499999999999988</v>
      </c>
      <c r="L55" s="30" t="e">
        <f t="shared" si="10"/>
        <v>#DIV/0!</v>
      </c>
      <c r="M55" s="10"/>
      <c r="N55" s="729" t="e">
        <f>B55*C55*#REF!</f>
        <v>#REF!</v>
      </c>
      <c r="O55" s="729"/>
      <c r="P55" s="8">
        <v>28</v>
      </c>
      <c r="S55" s="552"/>
      <c r="T55" s="30"/>
      <c r="U55" s="30"/>
      <c r="V55" s="553">
        <f t="shared" si="8"/>
        <v>0</v>
      </c>
      <c r="Y55" s="46">
        <v>15.8</v>
      </c>
      <c r="Z55" s="8">
        <v>2.7</v>
      </c>
      <c r="AA55" s="8">
        <f t="shared" si="9"/>
        <v>42.660000000000004</v>
      </c>
    </row>
    <row r="56" spans="1:28" x14ac:dyDescent="0.25">
      <c r="B56" s="613">
        <v>2</v>
      </c>
      <c r="C56" s="718">
        <v>1.35</v>
      </c>
      <c r="D56" s="718"/>
      <c r="E56" s="718"/>
      <c r="F56" s="718"/>
      <c r="G56" s="718">
        <v>0.7</v>
      </c>
      <c r="H56" s="718"/>
      <c r="I56" s="719">
        <v>1</v>
      </c>
      <c r="J56" s="720"/>
      <c r="K56" s="30">
        <f t="shared" si="10"/>
        <v>0.74499999999999988</v>
      </c>
      <c r="L56" s="30" t="e">
        <f t="shared" si="10"/>
        <v>#DIV/0!</v>
      </c>
      <c r="M56" s="10"/>
      <c r="N56" s="729" t="e">
        <f>B56*C56*#REF!</f>
        <v>#REF!</v>
      </c>
      <c r="O56" s="729"/>
      <c r="P56" s="8">
        <v>29</v>
      </c>
      <c r="S56" s="552"/>
      <c r="T56" s="30"/>
      <c r="U56" s="30"/>
      <c r="V56" s="553">
        <f t="shared" si="8"/>
        <v>0</v>
      </c>
      <c r="X56" s="46"/>
      <c r="Y56" s="46">
        <v>13.8</v>
      </c>
      <c r="Z56" s="8">
        <v>2.7</v>
      </c>
      <c r="AA56" s="8">
        <f t="shared" si="9"/>
        <v>37.260000000000005</v>
      </c>
    </row>
    <row r="57" spans="1:28" x14ac:dyDescent="0.25">
      <c r="B57" s="613">
        <v>1.5</v>
      </c>
      <c r="C57" s="718">
        <v>0.7</v>
      </c>
      <c r="D57" s="718"/>
      <c r="E57" s="718"/>
      <c r="F57" s="718"/>
      <c r="G57" s="718">
        <v>0.7</v>
      </c>
      <c r="H57" s="718"/>
      <c r="I57" s="719">
        <v>1</v>
      </c>
      <c r="J57" s="720"/>
      <c r="K57" s="30">
        <f t="shared" si="10"/>
        <v>0.74499999999999988</v>
      </c>
      <c r="L57" s="30" t="e">
        <f t="shared" si="10"/>
        <v>#DIV/0!</v>
      </c>
      <c r="M57" s="10"/>
      <c r="N57" s="729" t="e">
        <f>B57*C57*#REF!</f>
        <v>#REF!</v>
      </c>
      <c r="O57" s="729"/>
      <c r="P57" s="8">
        <v>30</v>
      </c>
      <c r="S57" s="552"/>
      <c r="T57" s="30"/>
      <c r="U57" s="30"/>
      <c r="V57" s="553">
        <f t="shared" si="8"/>
        <v>0</v>
      </c>
      <c r="Y57" s="46">
        <v>5.7</v>
      </c>
      <c r="Z57" s="8">
        <v>2.39</v>
      </c>
      <c r="AA57" s="8">
        <f t="shared" si="9"/>
        <v>13.623000000000001</v>
      </c>
    </row>
    <row r="58" spans="1:28" x14ac:dyDescent="0.25">
      <c r="B58" s="613">
        <v>2</v>
      </c>
      <c r="C58" s="718">
        <v>0.7</v>
      </c>
      <c r="D58" s="718"/>
      <c r="E58" s="718"/>
      <c r="F58" s="718"/>
      <c r="G58" s="718">
        <v>0.7</v>
      </c>
      <c r="H58" s="718"/>
      <c r="I58" s="719">
        <v>1</v>
      </c>
      <c r="J58" s="720"/>
      <c r="K58" s="30">
        <f t="shared" si="10"/>
        <v>0.745</v>
      </c>
      <c r="L58" s="30" t="e">
        <f t="shared" si="10"/>
        <v>#DIV/0!</v>
      </c>
      <c r="M58" s="10"/>
      <c r="N58" s="729" t="e">
        <f>B58*C58*#REF!</f>
        <v>#REF!</v>
      </c>
      <c r="O58" s="729"/>
      <c r="S58" s="552"/>
      <c r="T58" s="30"/>
      <c r="U58" s="30"/>
      <c r="V58" s="553">
        <f t="shared" ref="V58:V64" si="11">T58*U58</f>
        <v>0</v>
      </c>
      <c r="X58" s="598"/>
      <c r="Y58" s="46">
        <v>4.3</v>
      </c>
      <c r="Z58" s="8">
        <v>2.13</v>
      </c>
      <c r="AA58" s="8">
        <f t="shared" si="9"/>
        <v>9.1589999999999989</v>
      </c>
    </row>
    <row r="59" spans="1:28" x14ac:dyDescent="0.25">
      <c r="B59" s="613">
        <v>1</v>
      </c>
      <c r="C59" s="718">
        <v>0</v>
      </c>
      <c r="D59" s="718"/>
      <c r="E59" s="718"/>
      <c r="F59" s="718"/>
      <c r="G59" s="718">
        <v>1</v>
      </c>
      <c r="H59" s="718"/>
      <c r="I59" s="719">
        <v>1.3</v>
      </c>
      <c r="J59" s="720"/>
      <c r="K59" s="30" t="e">
        <f t="shared" si="10"/>
        <v>#DIV/0!</v>
      </c>
      <c r="L59" s="30" t="e">
        <f t="shared" si="10"/>
        <v>#DIV/0!</v>
      </c>
      <c r="M59" s="10"/>
      <c r="N59" s="729" t="e">
        <f>B59*C59*#REF!</f>
        <v>#REF!</v>
      </c>
      <c r="O59" s="729"/>
      <c r="S59" s="552"/>
      <c r="T59" s="30"/>
      <c r="U59" s="30"/>
      <c r="V59" s="553">
        <f t="shared" si="11"/>
        <v>0</v>
      </c>
      <c r="Y59" s="8">
        <v>14.3</v>
      </c>
      <c r="Z59" s="8">
        <v>2.7</v>
      </c>
      <c r="AA59" s="8">
        <f t="shared" si="9"/>
        <v>38.610000000000007</v>
      </c>
    </row>
    <row r="60" spans="1:28" x14ac:dyDescent="0.25">
      <c r="B60" s="613"/>
      <c r="C60" s="718"/>
      <c r="D60" s="718"/>
      <c r="E60" s="718"/>
      <c r="F60" s="718"/>
      <c r="G60" s="718">
        <v>1</v>
      </c>
      <c r="H60" s="718"/>
      <c r="I60" s="719">
        <v>1.3</v>
      </c>
      <c r="J60" s="720"/>
      <c r="K60" s="30" t="e">
        <f>(B60*C60*0.85*G60+B60*C60*0.15*I60)/(B60*C60)</f>
        <v>#DIV/0!</v>
      </c>
      <c r="L60" s="30" t="e">
        <f>(C60*D60*0.85*H60+C60*D60*0.15*J60)/(C60*D60)</f>
        <v>#DIV/0!</v>
      </c>
      <c r="M60" s="10"/>
      <c r="N60" s="729" t="e">
        <f>B60*C60*#REF!</f>
        <v>#REF!</v>
      </c>
      <c r="O60" s="729"/>
      <c r="S60" s="552"/>
      <c r="T60" s="30"/>
      <c r="U60" s="30"/>
      <c r="V60" s="553">
        <f t="shared" si="11"/>
        <v>0</v>
      </c>
      <c r="Y60" s="46">
        <v>10.4</v>
      </c>
      <c r="Z60" s="8">
        <v>2.67</v>
      </c>
      <c r="AA60" s="8">
        <f t="shared" si="9"/>
        <v>27.768000000000001</v>
      </c>
    </row>
    <row r="61" spans="1:28" x14ac:dyDescent="0.25">
      <c r="K61" s="8" t="e">
        <f>#REF!/N61</f>
        <v>#REF!</v>
      </c>
      <c r="L61" s="8" t="e">
        <f>#REF!/O61</f>
        <v>#REF!</v>
      </c>
      <c r="M61" s="10"/>
      <c r="N61" s="729" t="e">
        <f>SUM(N54:O60)</f>
        <v>#REF!</v>
      </c>
      <c r="O61" s="729"/>
      <c r="S61" s="552"/>
      <c r="T61" s="30"/>
      <c r="U61" s="30"/>
      <c r="V61" s="553">
        <f t="shared" si="11"/>
        <v>0</v>
      </c>
      <c r="Y61" s="46">
        <v>10.5</v>
      </c>
      <c r="Z61" s="46">
        <v>2.5499999999999998</v>
      </c>
      <c r="AA61" s="8">
        <f t="shared" si="9"/>
        <v>26.774999999999999</v>
      </c>
    </row>
    <row r="62" spans="1:28" x14ac:dyDescent="0.25">
      <c r="H62" s="612"/>
      <c r="S62" s="552"/>
      <c r="T62" s="30"/>
      <c r="U62" s="30"/>
      <c r="V62" s="553">
        <f t="shared" si="11"/>
        <v>0</v>
      </c>
      <c r="Y62" s="46">
        <v>6</v>
      </c>
      <c r="Z62" s="8">
        <v>2.83</v>
      </c>
      <c r="AA62" s="8">
        <f t="shared" si="9"/>
        <v>16.98</v>
      </c>
    </row>
    <row r="63" spans="1:28" x14ac:dyDescent="0.25">
      <c r="S63" s="552"/>
      <c r="T63" s="30"/>
      <c r="U63" s="30"/>
      <c r="V63" s="553">
        <f t="shared" si="11"/>
        <v>0</v>
      </c>
      <c r="Y63" s="46">
        <v>29.4</v>
      </c>
      <c r="Z63" s="8">
        <v>2.4500000000000002</v>
      </c>
      <c r="AA63" s="8">
        <f t="shared" si="9"/>
        <v>72.03</v>
      </c>
    </row>
    <row r="64" spans="1:28" x14ac:dyDescent="0.25">
      <c r="S64" s="552"/>
      <c r="T64" s="30"/>
      <c r="U64" s="30"/>
      <c r="V64" s="553">
        <f t="shared" si="11"/>
        <v>0</v>
      </c>
      <c r="Y64" s="46">
        <v>1.5</v>
      </c>
      <c r="Z64" s="8">
        <v>2.67</v>
      </c>
      <c r="AA64" s="8">
        <f t="shared" si="9"/>
        <v>4.0049999999999999</v>
      </c>
    </row>
    <row r="65" spans="14:27" x14ac:dyDescent="0.25">
      <c r="N65" s="8">
        <f>SUM(T51:T74)</f>
        <v>0</v>
      </c>
      <c r="S65" s="552" t="s">
        <v>459</v>
      </c>
      <c r="T65" s="30"/>
      <c r="U65" s="30"/>
      <c r="V65" s="553">
        <f t="shared" si="8"/>
        <v>0</v>
      </c>
      <c r="Y65" s="46">
        <v>11</v>
      </c>
      <c r="Z65" s="8">
        <v>2.62</v>
      </c>
      <c r="AA65" s="8">
        <f t="shared" si="9"/>
        <v>28.82</v>
      </c>
    </row>
    <row r="66" spans="14:27" ht="16.5" thickBot="1" x14ac:dyDescent="0.3">
      <c r="Q66" s="8">
        <f>135</f>
        <v>135</v>
      </c>
      <c r="S66" s="577">
        <f>SUM(T50:T65)</f>
        <v>0</v>
      </c>
      <c r="T66" s="548"/>
      <c r="U66" s="548"/>
      <c r="V66" s="555">
        <f t="shared" si="8"/>
        <v>0</v>
      </c>
      <c r="Y66" s="8">
        <v>15.8</v>
      </c>
      <c r="Z66" s="8">
        <v>2.62</v>
      </c>
      <c r="AA66" s="8">
        <f t="shared" si="9"/>
        <v>41.396000000000001</v>
      </c>
    </row>
    <row r="67" spans="14:27" x14ac:dyDescent="0.25">
      <c r="S67" s="549"/>
      <c r="T67" s="550"/>
      <c r="U67" s="30"/>
      <c r="V67" s="551">
        <f t="shared" si="8"/>
        <v>0</v>
      </c>
      <c r="Y67" s="8">
        <v>22.6</v>
      </c>
      <c r="Z67" s="8">
        <v>2.5</v>
      </c>
      <c r="AA67" s="8">
        <f t="shared" si="9"/>
        <v>56.5</v>
      </c>
    </row>
    <row r="68" spans="14:27" x14ac:dyDescent="0.25">
      <c r="S68" s="552"/>
      <c r="T68" s="30"/>
      <c r="U68" s="30"/>
      <c r="V68" s="553">
        <f t="shared" si="8"/>
        <v>0</v>
      </c>
      <c r="Y68" s="8">
        <v>20.3</v>
      </c>
      <c r="Z68" s="8">
        <v>3.31</v>
      </c>
      <c r="AA68" s="8">
        <f t="shared" si="9"/>
        <v>67.192999999999998</v>
      </c>
    </row>
    <row r="69" spans="14:27" x14ac:dyDescent="0.25">
      <c r="S69" s="552"/>
      <c r="T69" s="30"/>
      <c r="U69" s="30"/>
      <c r="V69" s="553">
        <f t="shared" si="8"/>
        <v>0</v>
      </c>
      <c r="Y69" s="8">
        <v>4.4000000000000004</v>
      </c>
      <c r="Z69" s="8">
        <v>2.46</v>
      </c>
      <c r="AA69" s="8">
        <f t="shared" si="9"/>
        <v>10.824</v>
      </c>
    </row>
    <row r="70" spans="14:27" x14ac:dyDescent="0.25">
      <c r="S70" s="552"/>
      <c r="T70" s="30"/>
      <c r="U70" s="30"/>
      <c r="V70" s="553">
        <f t="shared" si="8"/>
        <v>0</v>
      </c>
      <c r="Y70" s="8">
        <v>4</v>
      </c>
      <c r="Z70" s="8">
        <v>2.44</v>
      </c>
      <c r="AA70" s="8">
        <f t="shared" si="9"/>
        <v>9.76</v>
      </c>
    </row>
    <row r="71" spans="14:27" x14ac:dyDescent="0.25">
      <c r="S71" s="552"/>
      <c r="T71" s="30"/>
      <c r="U71" s="30"/>
      <c r="V71" s="553">
        <f t="shared" si="8"/>
        <v>0</v>
      </c>
      <c r="Y71" s="8">
        <v>1.7</v>
      </c>
      <c r="Z71" s="8">
        <v>2.4500000000000002</v>
      </c>
      <c r="AA71" s="8">
        <f t="shared" si="9"/>
        <v>4.165</v>
      </c>
    </row>
    <row r="72" spans="14:27" x14ac:dyDescent="0.25">
      <c r="S72" s="552"/>
      <c r="T72" s="30"/>
      <c r="U72" s="30"/>
      <c r="V72" s="553">
        <f t="shared" si="8"/>
        <v>0</v>
      </c>
      <c r="X72" s="683"/>
      <c r="Y72" s="8">
        <v>1.7</v>
      </c>
      <c r="Z72" s="8">
        <v>2.4500000000000002</v>
      </c>
      <c r="AA72" s="8">
        <f t="shared" si="9"/>
        <v>4.165</v>
      </c>
    </row>
    <row r="73" spans="14:27" x14ac:dyDescent="0.25">
      <c r="S73" s="552"/>
      <c r="T73" s="30"/>
      <c r="U73" s="30"/>
      <c r="V73" s="553">
        <f t="shared" si="8"/>
        <v>0</v>
      </c>
      <c r="Y73" s="8">
        <v>3.3</v>
      </c>
      <c r="Z73" s="8">
        <v>3.31</v>
      </c>
      <c r="AA73" s="8">
        <f t="shared" si="9"/>
        <v>10.923</v>
      </c>
    </row>
    <row r="74" spans="14:27" x14ac:dyDescent="0.25">
      <c r="S74" s="552" t="s">
        <v>396</v>
      </c>
      <c r="T74" s="30"/>
      <c r="U74" s="30"/>
      <c r="V74" s="553">
        <f t="shared" ref="V74:V80" si="12">T74*U74</f>
        <v>0</v>
      </c>
      <c r="Y74" s="46">
        <v>4.8</v>
      </c>
      <c r="Z74" s="8">
        <v>3.28</v>
      </c>
      <c r="AA74" s="8">
        <f t="shared" si="9"/>
        <v>15.743999999999998</v>
      </c>
    </row>
    <row r="75" spans="14:27" ht="16.5" thickBot="1" x14ac:dyDescent="0.3">
      <c r="S75" s="554">
        <f>SUM(T67:T75)</f>
        <v>0</v>
      </c>
      <c r="T75" s="548"/>
      <c r="U75" s="548"/>
      <c r="V75" s="555">
        <f t="shared" si="12"/>
        <v>0</v>
      </c>
      <c r="Y75" s="46">
        <v>2.6</v>
      </c>
      <c r="Z75" s="8">
        <v>3.28</v>
      </c>
      <c r="AA75" s="8">
        <f t="shared" si="9"/>
        <v>8.5280000000000005</v>
      </c>
    </row>
    <row r="76" spans="14:27" x14ac:dyDescent="0.25">
      <c r="T76" s="546"/>
      <c r="U76" s="546"/>
      <c r="V76" s="547">
        <f t="shared" si="12"/>
        <v>0</v>
      </c>
      <c r="Y76" s="8">
        <v>36.5</v>
      </c>
      <c r="Z76" s="8">
        <v>3.29</v>
      </c>
      <c r="AA76" s="8">
        <f t="shared" si="9"/>
        <v>120.08500000000001</v>
      </c>
    </row>
    <row r="77" spans="14:27" x14ac:dyDescent="0.25">
      <c r="T77" s="30"/>
      <c r="U77" s="30"/>
      <c r="V77" s="545">
        <f t="shared" si="12"/>
        <v>0</v>
      </c>
      <c r="Y77" s="46">
        <v>6.8</v>
      </c>
      <c r="Z77" s="8">
        <v>3.27</v>
      </c>
      <c r="AA77" s="8">
        <f t="shared" si="9"/>
        <v>22.236000000000001</v>
      </c>
    </row>
    <row r="78" spans="14:27" x14ac:dyDescent="0.25">
      <c r="T78" s="30"/>
      <c r="U78" s="30"/>
      <c r="V78" s="30">
        <f t="shared" si="12"/>
        <v>0</v>
      </c>
      <c r="Y78" s="8">
        <f>SUM(Y53:Y77)</f>
        <v>291.3</v>
      </c>
      <c r="Z78" s="8">
        <f>AA78/Y78</f>
        <v>2.7754273944387222</v>
      </c>
      <c r="AA78" s="8">
        <f>SUM(AA53:AA77)</f>
        <v>808.48199999999986</v>
      </c>
    </row>
    <row r="79" spans="14:27" x14ac:dyDescent="0.25">
      <c r="T79" s="30"/>
      <c r="U79" s="30"/>
      <c r="V79" s="30">
        <f t="shared" si="12"/>
        <v>0</v>
      </c>
      <c r="Y79" s="46"/>
    </row>
    <row r="80" spans="14:27" x14ac:dyDescent="0.25">
      <c r="T80" s="30"/>
      <c r="U80" s="30"/>
      <c r="V80" s="30">
        <f t="shared" si="12"/>
        <v>0</v>
      </c>
    </row>
    <row r="81" spans="19:27" x14ac:dyDescent="0.25">
      <c r="S81" s="8" t="s">
        <v>239</v>
      </c>
      <c r="T81" s="30"/>
      <c r="U81" s="30"/>
      <c r="V81" s="30">
        <f t="shared" si="8"/>
        <v>0</v>
      </c>
      <c r="Y81" s="8">
        <v>16.8</v>
      </c>
      <c r="Z81" s="8">
        <v>2.0299999999999998</v>
      </c>
      <c r="AA81" s="8">
        <f>Y81*Z81</f>
        <v>34.103999999999999</v>
      </c>
    </row>
    <row r="82" spans="19:27" ht="16.5" thickBot="1" x14ac:dyDescent="0.3">
      <c r="S82" s="548">
        <f>SUM(T76:T82)</f>
        <v>0</v>
      </c>
      <c r="T82" s="548"/>
      <c r="U82" s="548"/>
      <c r="V82" s="548">
        <f t="shared" si="8"/>
        <v>0</v>
      </c>
      <c r="Y82" s="8">
        <v>14.4</v>
      </c>
      <c r="Z82" s="8">
        <v>1.8</v>
      </c>
      <c r="AA82" s="8">
        <f t="shared" ref="AA82:AA85" si="13">Y82*Z82</f>
        <v>25.92</v>
      </c>
    </row>
    <row r="83" spans="19:27" x14ac:dyDescent="0.25">
      <c r="T83" s="8">
        <f>SUM(T50:T82)</f>
        <v>0</v>
      </c>
      <c r="U83" s="8" t="e">
        <f>V83/T83</f>
        <v>#DIV/0!</v>
      </c>
      <c r="V83" s="8">
        <f>SUM(V50:V82)</f>
        <v>0</v>
      </c>
      <c r="Y83" s="8">
        <v>27.7</v>
      </c>
      <c r="Z83" s="8">
        <v>1.8</v>
      </c>
      <c r="AA83" s="8">
        <f t="shared" si="13"/>
        <v>49.86</v>
      </c>
    </row>
    <row r="84" spans="19:27" x14ac:dyDescent="0.25">
      <c r="Y84" s="8">
        <v>55</v>
      </c>
      <c r="Z84" s="8">
        <v>1.89</v>
      </c>
      <c r="AA84" s="8">
        <f t="shared" si="13"/>
        <v>103.94999999999999</v>
      </c>
    </row>
    <row r="85" spans="19:27" x14ac:dyDescent="0.25">
      <c r="Y85" s="8">
        <v>18.8</v>
      </c>
      <c r="Z85" s="8">
        <v>1.89</v>
      </c>
      <c r="AA85" s="8">
        <f t="shared" si="13"/>
        <v>35.531999999999996</v>
      </c>
    </row>
    <row r="86" spans="19:27" x14ac:dyDescent="0.25">
      <c r="Y86" s="8">
        <f>SUM(Y81:Y85)</f>
        <v>132.70000000000002</v>
      </c>
      <c r="Z86" s="8">
        <f>AA86/Y86</f>
        <v>1.8791710625470983</v>
      </c>
      <c r="AA86" s="8">
        <f>SUM(AA81:AA85)</f>
        <v>249.36599999999999</v>
      </c>
    </row>
  </sheetData>
  <mergeCells count="178">
    <mergeCell ref="A2:L2"/>
    <mergeCell ref="A3:L3"/>
    <mergeCell ref="K28:K29"/>
    <mergeCell ref="L28:L29"/>
    <mergeCell ref="F7:G7"/>
    <mergeCell ref="F29:G29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C19:E19"/>
    <mergeCell ref="C20:E20"/>
    <mergeCell ref="C16:E16"/>
    <mergeCell ref="I16:J16"/>
    <mergeCell ref="C14:E14"/>
    <mergeCell ref="C15:E15"/>
    <mergeCell ref="I19:J19"/>
    <mergeCell ref="C23:E23"/>
    <mergeCell ref="I17:J17"/>
    <mergeCell ref="R2:T2"/>
    <mergeCell ref="R4:T4"/>
    <mergeCell ref="S17:T17"/>
    <mergeCell ref="S18:T18"/>
    <mergeCell ref="S19:T19"/>
    <mergeCell ref="S20:T20"/>
    <mergeCell ref="S23:T23"/>
    <mergeCell ref="S25:T25"/>
    <mergeCell ref="R9:T9"/>
    <mergeCell ref="R3:T3"/>
    <mergeCell ref="S22:T22"/>
    <mergeCell ref="Q5:R5"/>
    <mergeCell ref="I23:J23"/>
    <mergeCell ref="I27:J29"/>
    <mergeCell ref="A28:H28"/>
    <mergeCell ref="C18:E18"/>
    <mergeCell ref="A29:B29"/>
    <mergeCell ref="C25:E25"/>
    <mergeCell ref="C27:E27"/>
    <mergeCell ref="I20:J20"/>
    <mergeCell ref="A27:B27"/>
    <mergeCell ref="I22:J22"/>
    <mergeCell ref="I26:J26"/>
    <mergeCell ref="F17:G17"/>
    <mergeCell ref="F18:G18"/>
    <mergeCell ref="F19:G19"/>
    <mergeCell ref="F20:G20"/>
    <mergeCell ref="F23:G23"/>
    <mergeCell ref="F25:G25"/>
    <mergeCell ref="F27:G27"/>
    <mergeCell ref="C22:E22"/>
    <mergeCell ref="F22:G22"/>
    <mergeCell ref="C26:E26"/>
    <mergeCell ref="F26:G26"/>
    <mergeCell ref="A5:A7"/>
    <mergeCell ref="C5:E5"/>
    <mergeCell ref="C6:E6"/>
    <mergeCell ref="I6:J7"/>
    <mergeCell ref="B5:B7"/>
    <mergeCell ref="C9:E9"/>
    <mergeCell ref="C10:E10"/>
    <mergeCell ref="F5:G5"/>
    <mergeCell ref="F6:G6"/>
    <mergeCell ref="C7:E7"/>
    <mergeCell ref="C8:E8"/>
    <mergeCell ref="U5:V5"/>
    <mergeCell ref="S5:T5"/>
    <mergeCell ref="I25:J25"/>
    <mergeCell ref="I18:J18"/>
    <mergeCell ref="I13:J13"/>
    <mergeCell ref="I14:J14"/>
    <mergeCell ref="C11:E11"/>
    <mergeCell ref="C13:E13"/>
    <mergeCell ref="C21:E21"/>
    <mergeCell ref="F21:G21"/>
    <mergeCell ref="I21:J21"/>
    <mergeCell ref="S21:T21"/>
    <mergeCell ref="C24:E24"/>
    <mergeCell ref="F24:G24"/>
    <mergeCell ref="I24:J24"/>
    <mergeCell ref="S24:T24"/>
    <mergeCell ref="I9:J9"/>
    <mergeCell ref="I10:J10"/>
    <mergeCell ref="I8:J8"/>
    <mergeCell ref="C12:E12"/>
    <mergeCell ref="I11:J11"/>
    <mergeCell ref="I15:J15"/>
    <mergeCell ref="I12:J12"/>
    <mergeCell ref="C17:E17"/>
    <mergeCell ref="U29:V29"/>
    <mergeCell ref="U31:V31"/>
    <mergeCell ref="U32:V32"/>
    <mergeCell ref="U33:V33"/>
    <mergeCell ref="W29:X29"/>
    <mergeCell ref="W31:X31"/>
    <mergeCell ref="W32:X32"/>
    <mergeCell ref="W33:X33"/>
    <mergeCell ref="S31:T31"/>
    <mergeCell ref="S29:T29"/>
    <mergeCell ref="S32:T32"/>
    <mergeCell ref="S33:T33"/>
    <mergeCell ref="W34:X34"/>
    <mergeCell ref="K42:L42"/>
    <mergeCell ref="K43:L43"/>
    <mergeCell ref="N56:O56"/>
    <mergeCell ref="N57:O57"/>
    <mergeCell ref="C36:E36"/>
    <mergeCell ref="C37:E37"/>
    <mergeCell ref="F36:G36"/>
    <mergeCell ref="F37:G37"/>
    <mergeCell ref="F34:G34"/>
    <mergeCell ref="F35:G35"/>
    <mergeCell ref="I35:J35"/>
    <mergeCell ref="D45:F45"/>
    <mergeCell ref="D46:F46"/>
    <mergeCell ref="D44:F44"/>
    <mergeCell ref="F31:G31"/>
    <mergeCell ref="F32:G32"/>
    <mergeCell ref="G58:H58"/>
    <mergeCell ref="I58:J58"/>
    <mergeCell ref="I36:J36"/>
    <mergeCell ref="I37:J37"/>
    <mergeCell ref="U34:V34"/>
    <mergeCell ref="C34:E34"/>
    <mergeCell ref="I34:J34"/>
    <mergeCell ref="C35:E35"/>
    <mergeCell ref="I32:J32"/>
    <mergeCell ref="F33:G33"/>
    <mergeCell ref="C33:E33"/>
    <mergeCell ref="I33:J33"/>
    <mergeCell ref="C32:E32"/>
    <mergeCell ref="H44:I44"/>
    <mergeCell ref="H45:I46"/>
    <mergeCell ref="N60:O60"/>
    <mergeCell ref="N61:O61"/>
    <mergeCell ref="C59:F59"/>
    <mergeCell ref="G59:H59"/>
    <mergeCell ref="I59:J59"/>
    <mergeCell ref="C60:F60"/>
    <mergeCell ref="G60:H60"/>
    <mergeCell ref="I60:J60"/>
    <mergeCell ref="C56:F56"/>
    <mergeCell ref="G56:H56"/>
    <mergeCell ref="I56:J56"/>
    <mergeCell ref="N58:O58"/>
    <mergeCell ref="N59:O59"/>
    <mergeCell ref="C57:F57"/>
    <mergeCell ref="G57:H57"/>
    <mergeCell ref="I57:J57"/>
    <mergeCell ref="C58:F58"/>
    <mergeCell ref="S26:T26"/>
    <mergeCell ref="C55:F55"/>
    <mergeCell ref="G55:H55"/>
    <mergeCell ref="I55:J55"/>
    <mergeCell ref="H38:H39"/>
    <mergeCell ref="I38:J38"/>
    <mergeCell ref="I39:J39"/>
    <mergeCell ref="B43:J43"/>
    <mergeCell ref="A51:L51"/>
    <mergeCell ref="N54:O54"/>
    <mergeCell ref="N55:O55"/>
    <mergeCell ref="C54:F54"/>
    <mergeCell ref="G54:H54"/>
    <mergeCell ref="G53:H53"/>
    <mergeCell ref="I54:J54"/>
    <mergeCell ref="I53:J53"/>
    <mergeCell ref="B41:J41"/>
    <mergeCell ref="B42:J42"/>
    <mergeCell ref="K41:L41"/>
    <mergeCell ref="I30:J30"/>
    <mergeCell ref="C29:E29"/>
    <mergeCell ref="C31:E31"/>
    <mergeCell ref="I31:J31"/>
    <mergeCell ref="B30:G30"/>
  </mergeCells>
  <phoneticPr fontId="138" type="noConversion"/>
  <dataValidations count="4">
    <dataValidation type="list" allowBlank="1" showInputMessage="1" showErrorMessage="1" sqref="M3" xr:uid="{00000000-0002-0000-0000-000000000000}">
      <formula1>$N$6:$N$8</formula1>
    </dataValidation>
    <dataValidation type="list" allowBlank="1" showInputMessage="1" showErrorMessage="1" sqref="M8:M11" xr:uid="{00000000-0002-0000-0000-000001000000}">
      <formula1>$N$8:$N$9</formula1>
    </dataValidation>
    <dataValidation type="list" allowBlank="1" showInputMessage="1" showErrorMessage="1" sqref="U5:V5" xr:uid="{00000000-0002-0000-0000-000003000000}">
      <formula1>$W$6:$W$7</formula1>
    </dataValidation>
    <dataValidation type="list" allowBlank="1" showInputMessage="1" showErrorMessage="1" sqref="M17:M19" xr:uid="{13459FEA-0A20-4836-BF0D-BBCB4A4A45D8}">
      <formula1>"uz grunts,,ventilējama"</formula1>
    </dataValidation>
  </dataValidations>
  <printOptions horizontalCentered="1"/>
  <pageMargins left="0.98425196850393704" right="0.51181102362204722" top="0.74803149606299213" bottom="0.35433070866141736" header="0.31496062992125984" footer="0.31496062992125984"/>
  <pageSetup paperSize="9" scale="98" orientation="portrait" horizontalDpi="1200" verticalDpi="200" r:id="rId1"/>
  <headerFooter>
    <oddFooter>&amp;C&amp;A&amp;R&amp;F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LBN!$AB$27:$AB$48</xm:f>
          </x14:formula1>
          <xm:sqref>Q5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56A4-CCB3-4D0E-ADDA-B5D2DF43B500}">
  <dimension ref="A1:X38"/>
  <sheetViews>
    <sheetView showGridLines="0" view="pageBreakPreview" zoomScaleNormal="100" zoomScaleSheetLayoutView="100" workbookViewId="0">
      <selection activeCell="I20" sqref="I19:J20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8" width="9.140625" style="2"/>
    <col min="19" max="19" width="25.28515625" style="2" customWidth="1"/>
    <col min="20" max="16384" width="9.140625" style="2"/>
  </cols>
  <sheetData>
    <row r="1" spans="1:21" ht="30.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6.45" customHeight="1" x14ac:dyDescent="0.2">
      <c r="A3" s="354"/>
      <c r="B3" s="962"/>
      <c r="C3" s="963"/>
      <c r="D3" s="941" t="s">
        <v>846</v>
      </c>
      <c r="E3" s="941"/>
      <c r="F3" s="941"/>
      <c r="G3" s="941"/>
      <c r="H3" s="941"/>
      <c r="I3" s="941"/>
      <c r="J3" s="941"/>
      <c r="K3" s="941"/>
      <c r="L3" s="941"/>
      <c r="M3" s="941"/>
      <c r="N3" s="941"/>
      <c r="O3" s="964"/>
      <c r="P3" s="83"/>
      <c r="S3" s="495" t="s">
        <v>536</v>
      </c>
      <c r="T3" s="2">
        <v>3.5999999999999997E-2</v>
      </c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  <c r="S4" s="496" t="s">
        <v>229</v>
      </c>
      <c r="T4" s="2">
        <v>3.3000000000000002E-2</v>
      </c>
    </row>
    <row r="5" spans="1:21" ht="15" customHeight="1" x14ac:dyDescent="0.2">
      <c r="A5" s="354"/>
      <c r="B5" s="355"/>
      <c r="C5" s="341"/>
      <c r="D5" s="950" t="s">
        <v>809</v>
      </c>
      <c r="E5" s="950"/>
      <c r="F5" s="950"/>
      <c r="G5" s="950"/>
      <c r="H5" s="950"/>
      <c r="I5" s="950"/>
      <c r="J5" s="357" t="s">
        <v>308</v>
      </c>
      <c r="K5" s="930">
        <v>0.1</v>
      </c>
      <c r="L5" s="820"/>
      <c r="M5" s="396"/>
      <c r="P5" s="83"/>
      <c r="S5" s="496" t="s">
        <v>443</v>
      </c>
      <c r="T5" s="2">
        <v>0.2</v>
      </c>
    </row>
    <row r="6" spans="1:21" ht="15" customHeight="1" x14ac:dyDescent="0.2">
      <c r="A6" s="354"/>
      <c r="B6" s="355"/>
      <c r="C6" s="341"/>
      <c r="D6" s="950"/>
      <c r="E6" s="950"/>
      <c r="F6" s="950"/>
      <c r="G6" s="950"/>
      <c r="H6" s="950"/>
      <c r="I6" s="950"/>
      <c r="J6" s="357" t="s">
        <v>309</v>
      </c>
      <c r="K6" s="843">
        <v>0.04</v>
      </c>
      <c r="L6" s="823"/>
      <c r="P6" s="83"/>
      <c r="S6" s="496" t="s">
        <v>386</v>
      </c>
      <c r="T6" s="2">
        <v>3.5999999999999997E-2</v>
      </c>
    </row>
    <row r="7" spans="1:21" ht="15" customHeight="1" x14ac:dyDescent="0.2">
      <c r="A7" s="354"/>
      <c r="B7" s="355"/>
      <c r="C7" s="341"/>
      <c r="D7" s="950"/>
      <c r="E7" s="950"/>
      <c r="F7" s="950"/>
      <c r="G7" s="950"/>
      <c r="H7" s="950"/>
      <c r="I7" s="950"/>
      <c r="J7" s="357" t="s">
        <v>310</v>
      </c>
      <c r="K7" s="930">
        <v>0.3</v>
      </c>
      <c r="L7" s="930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  <c r="S8" s="496" t="s">
        <v>562</v>
      </c>
      <c r="T8" s="2">
        <v>5.2999999999999999E-2</v>
      </c>
    </row>
    <row r="9" spans="1:21" ht="9.75" customHeight="1" x14ac:dyDescent="0.25">
      <c r="A9" s="354"/>
      <c r="B9" s="355"/>
      <c r="C9" s="341"/>
      <c r="D9" s="341"/>
      <c r="E9" s="341"/>
      <c r="F9" s="341"/>
      <c r="G9" s="892" t="s">
        <v>112</v>
      </c>
      <c r="H9" s="892"/>
      <c r="I9" s="892" t="s">
        <v>113</v>
      </c>
      <c r="J9" s="892"/>
      <c r="K9" s="341"/>
      <c r="L9" s="359"/>
      <c r="P9" s="83"/>
      <c r="S9" s="496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882"/>
      <c r="G10" s="880">
        <v>0.91500000000000004</v>
      </c>
      <c r="H10" s="880"/>
      <c r="I10" s="880">
        <v>0.65</v>
      </c>
      <c r="J10" s="880"/>
      <c r="K10" s="341"/>
      <c r="L10" s="359"/>
      <c r="P10" s="83"/>
      <c r="S10" s="496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891"/>
      <c r="G11" s="965">
        <f>G10-G12</f>
        <v>0.7430000000000001</v>
      </c>
      <c r="H11" s="966"/>
      <c r="I11" s="880">
        <f>I10-I12</f>
        <v>0.55000000000000004</v>
      </c>
      <c r="J11" s="880"/>
      <c r="K11" s="341"/>
      <c r="L11" s="359"/>
      <c r="P11" s="83"/>
      <c r="S11" s="496"/>
    </row>
    <row r="12" spans="1:21" ht="15" x14ac:dyDescent="0.25">
      <c r="A12" s="354"/>
      <c r="B12" s="355"/>
      <c r="C12" s="891"/>
      <c r="D12" s="891"/>
      <c r="E12" s="891"/>
      <c r="F12" s="891"/>
      <c r="G12" s="880">
        <v>0.17199999999999999</v>
      </c>
      <c r="H12" s="880"/>
      <c r="I12" s="880">
        <v>0.1</v>
      </c>
      <c r="J12" s="880"/>
      <c r="K12" s="341"/>
      <c r="L12" s="359"/>
      <c r="P12" s="83"/>
      <c r="S12" s="496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  <c r="S13" s="496"/>
    </row>
    <row r="14" spans="1:21" ht="14.25" customHeight="1" x14ac:dyDescent="0.2">
      <c r="A14" s="890"/>
      <c r="B14" s="891"/>
      <c r="C14" s="883"/>
      <c r="D14" s="883"/>
      <c r="E14" s="361"/>
      <c r="F14" s="361"/>
      <c r="G14" s="467" t="s">
        <v>0</v>
      </c>
      <c r="H14" s="467" t="s">
        <v>1</v>
      </c>
      <c r="I14" s="467" t="s">
        <v>2</v>
      </c>
      <c r="J14" s="467" t="s">
        <v>3</v>
      </c>
      <c r="K14" s="466"/>
      <c r="L14" s="364"/>
      <c r="M14" s="364"/>
      <c r="P14" s="83"/>
      <c r="S14" s="496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888"/>
      <c r="G15" s="468">
        <f>(G11*I11)/(G10*I10)</f>
        <v>0.68709541824295939</v>
      </c>
      <c r="H15" s="468">
        <f>(G11*I12)/(G10*I10)</f>
        <v>0.12492643968053807</v>
      </c>
      <c r="I15" s="468">
        <f>(G12*I11)/(G10*I10)</f>
        <v>0.15905842791088692</v>
      </c>
      <c r="J15" s="468">
        <f>(G12*I12)/(G10*I10)</f>
        <v>2.8919714165615805E-2</v>
      </c>
      <c r="K15" s="457"/>
      <c r="L15" s="364"/>
      <c r="M15" s="364"/>
      <c r="P15" s="83"/>
      <c r="S15" s="496"/>
    </row>
    <row r="16" spans="1:21" ht="14.25" customHeight="1" x14ac:dyDescent="0.2">
      <c r="A16" s="367"/>
      <c r="B16" s="368"/>
      <c r="C16" s="368"/>
      <c r="D16" s="368"/>
      <c r="E16" s="368"/>
      <c r="F16" s="368"/>
      <c r="G16" s="938" t="s">
        <v>313</v>
      </c>
      <c r="H16" s="938"/>
      <c r="I16" s="938"/>
      <c r="J16" s="938"/>
      <c r="K16" s="938" t="s">
        <v>314</v>
      </c>
      <c r="L16" s="938"/>
      <c r="M16" s="938"/>
      <c r="P16" s="83"/>
      <c r="S16" s="496"/>
      <c r="U16" s="2">
        <v>0</v>
      </c>
    </row>
    <row r="17" spans="1:19" ht="27" customHeight="1" x14ac:dyDescent="0.2">
      <c r="A17" s="369"/>
      <c r="B17" s="907" t="s">
        <v>6</v>
      </c>
      <c r="C17" s="907"/>
      <c r="D17" s="470" t="s">
        <v>514</v>
      </c>
      <c r="E17" s="470" t="s">
        <v>303</v>
      </c>
      <c r="F17" s="470" t="s">
        <v>513</v>
      </c>
      <c r="G17" s="470" t="s">
        <v>317</v>
      </c>
      <c r="H17" s="470" t="s">
        <v>318</v>
      </c>
      <c r="I17" s="470" t="s">
        <v>319</v>
      </c>
      <c r="J17" s="470" t="s">
        <v>320</v>
      </c>
      <c r="K17" s="568" t="s">
        <v>4</v>
      </c>
      <c r="L17" s="470" t="s">
        <v>119</v>
      </c>
      <c r="M17" s="470" t="s">
        <v>321</v>
      </c>
      <c r="O17" s="458" t="s">
        <v>322</v>
      </c>
      <c r="P17" s="83"/>
      <c r="S17" s="496"/>
    </row>
    <row r="18" spans="1:19" hidden="1" x14ac:dyDescent="0.2">
      <c r="A18" s="887"/>
      <c r="B18" s="874" t="s">
        <v>402</v>
      </c>
      <c r="C18" s="874"/>
      <c r="D18" s="474">
        <v>0.6</v>
      </c>
      <c r="E18" s="474">
        <v>0</v>
      </c>
      <c r="F18" s="474">
        <f>D18+E18</f>
        <v>0.6</v>
      </c>
      <c r="G18" s="459">
        <f>$O$18/$F$18</f>
        <v>0</v>
      </c>
      <c r="H18" s="459">
        <f>$O$18/$F$18</f>
        <v>0</v>
      </c>
      <c r="I18" s="459">
        <f>$O$18/$F$18</f>
        <v>0</v>
      </c>
      <c r="J18" s="459">
        <f>$O$18/$F$18</f>
        <v>0</v>
      </c>
      <c r="K18" s="456"/>
      <c r="L18" s="459">
        <f>F18</f>
        <v>0.6</v>
      </c>
      <c r="M18" s="459">
        <f>O18/L18</f>
        <v>0</v>
      </c>
      <c r="O18" s="474">
        <v>0</v>
      </c>
      <c r="P18" s="83"/>
      <c r="S18" s="496"/>
    </row>
    <row r="19" spans="1:19" hidden="1" x14ac:dyDescent="0.2">
      <c r="A19" s="887"/>
      <c r="B19" s="874" t="s">
        <v>124</v>
      </c>
      <c r="C19" s="874"/>
      <c r="D19" s="474"/>
      <c r="E19" s="474"/>
      <c r="F19" s="474"/>
      <c r="G19" s="459">
        <f>IF($O$19=0,0,0.16)</f>
        <v>0</v>
      </c>
      <c r="H19" s="459">
        <f>IF($O$19=0,0,0.16)</f>
        <v>0</v>
      </c>
      <c r="I19" s="459">
        <f>IF($O$19=0,0,0.16)</f>
        <v>0</v>
      </c>
      <c r="J19" s="459">
        <f>IF($O$19=0,0,0.16)</f>
        <v>0</v>
      </c>
      <c r="K19" s="456"/>
      <c r="L19" s="459">
        <f>D19</f>
        <v>0</v>
      </c>
      <c r="M19" s="459">
        <f>IF($O$19=0,0,0.16)</f>
        <v>0</v>
      </c>
      <c r="O19" s="474">
        <v>0</v>
      </c>
      <c r="P19" s="83"/>
      <c r="S19" s="496"/>
    </row>
    <row r="20" spans="1:19" hidden="1" x14ac:dyDescent="0.2">
      <c r="A20" s="887"/>
      <c r="B20" s="874" t="s">
        <v>7</v>
      </c>
      <c r="C20" s="874"/>
      <c r="D20" s="474">
        <v>0.13</v>
      </c>
      <c r="E20" s="474">
        <v>0</v>
      </c>
      <c r="F20" s="474">
        <f t="shared" ref="F20:F31" si="0">D20+E20</f>
        <v>0.13</v>
      </c>
      <c r="G20" s="459"/>
      <c r="H20" s="459"/>
      <c r="I20" s="459">
        <f>O20/F20</f>
        <v>0</v>
      </c>
      <c r="J20" s="459">
        <f>O20/F20</f>
        <v>0</v>
      </c>
      <c r="K20" s="459">
        <f>(I12*I10*2)/(I10*I10*2)</f>
        <v>0.15384615384615383</v>
      </c>
      <c r="L20" s="879">
        <f>ROUND((K20*F20)+(K21*F21),3)</f>
        <v>5.3999999999999999E-2</v>
      </c>
      <c r="M20" s="879">
        <f>O20/L20</f>
        <v>0</v>
      </c>
      <c r="O20" s="880">
        <v>0</v>
      </c>
      <c r="P20" s="83"/>
      <c r="S20" s="496"/>
    </row>
    <row r="21" spans="1:19" hidden="1" x14ac:dyDescent="0.2">
      <c r="A21" s="887"/>
      <c r="B21" s="874" t="s">
        <v>538</v>
      </c>
      <c r="C21" s="874"/>
      <c r="D21" s="474">
        <v>3.9E-2</v>
      </c>
      <c r="E21" s="474">
        <v>1E-3</v>
      </c>
      <c r="F21" s="474">
        <f t="shared" si="0"/>
        <v>0.04</v>
      </c>
      <c r="G21" s="459">
        <f>O20/F21</f>
        <v>0</v>
      </c>
      <c r="H21" s="459">
        <f>O20/F21</f>
        <v>0</v>
      </c>
      <c r="I21" s="459"/>
      <c r="J21" s="459"/>
      <c r="K21" s="459">
        <f>(I11*I10*2)/(I10*I10*2)</f>
        <v>0.84615384615384615</v>
      </c>
      <c r="L21" s="879"/>
      <c r="M21" s="879"/>
      <c r="O21" s="880"/>
      <c r="P21" s="83"/>
      <c r="S21" s="496"/>
    </row>
    <row r="22" spans="1:19" x14ac:dyDescent="0.2">
      <c r="A22" s="887"/>
      <c r="B22" s="874" t="s">
        <v>7</v>
      </c>
      <c r="C22" s="874"/>
      <c r="D22" s="474">
        <v>0.13</v>
      </c>
      <c r="E22" s="474">
        <v>0</v>
      </c>
      <c r="F22" s="474">
        <f t="shared" si="0"/>
        <v>0.13</v>
      </c>
      <c r="G22" s="459"/>
      <c r="H22" s="459"/>
      <c r="I22" s="459">
        <f>O22/F22</f>
        <v>1.2615384615384615</v>
      </c>
      <c r="J22" s="459">
        <f>O22/F22</f>
        <v>1.2615384615384615</v>
      </c>
      <c r="K22" s="459">
        <f>(I12*G10*2)/(I10*G10*2)</f>
        <v>0.15384615384615385</v>
      </c>
      <c r="L22" s="879">
        <f>ROUND((K22*F22)+(K23*F23),3)</f>
        <v>5.3999999999999999E-2</v>
      </c>
      <c r="M22" s="879">
        <f>ROUND(O22/L22,3)</f>
        <v>3.0369999999999999</v>
      </c>
      <c r="O22" s="880">
        <v>0.16400000000000001</v>
      </c>
      <c r="P22" s="83"/>
      <c r="S22" s="496"/>
    </row>
    <row r="23" spans="1:19" x14ac:dyDescent="0.2">
      <c r="A23" s="887"/>
      <c r="B23" s="874" t="s">
        <v>538</v>
      </c>
      <c r="C23" s="874"/>
      <c r="D23" s="474">
        <v>3.9E-2</v>
      </c>
      <c r="E23" s="474">
        <v>1E-3</v>
      </c>
      <c r="F23" s="474">
        <f t="shared" si="0"/>
        <v>0.04</v>
      </c>
      <c r="G23" s="459">
        <f>O22/F23</f>
        <v>4.0999999999999996</v>
      </c>
      <c r="H23" s="459">
        <f>O22/F23</f>
        <v>4.0999999999999996</v>
      </c>
      <c r="I23" s="459"/>
      <c r="J23" s="459"/>
      <c r="K23" s="459">
        <f>(I11*G10*2)/(I10*G10*2)</f>
        <v>0.84615384615384626</v>
      </c>
      <c r="L23" s="879"/>
      <c r="M23" s="879"/>
      <c r="O23" s="880"/>
      <c r="P23" s="83"/>
      <c r="S23" s="496"/>
    </row>
    <row r="24" spans="1:19" x14ac:dyDescent="0.2">
      <c r="A24" s="887"/>
      <c r="B24" s="874" t="s">
        <v>123</v>
      </c>
      <c r="C24" s="874"/>
      <c r="D24" s="474">
        <v>0.13</v>
      </c>
      <c r="E24" s="474">
        <v>0</v>
      </c>
      <c r="F24" s="474">
        <f t="shared" si="0"/>
        <v>0.13</v>
      </c>
      <c r="G24" s="459"/>
      <c r="H24" s="459">
        <f>O24/F24</f>
        <v>1.8153846153846152</v>
      </c>
      <c r="I24" s="459"/>
      <c r="J24" s="459">
        <f>$O$24/$F$24</f>
        <v>1.8153846153846152</v>
      </c>
      <c r="K24" s="459">
        <f>(G12*G10*2)/(G10*G10*2)</f>
        <v>0.18797814207650271</v>
      </c>
      <c r="L24" s="879">
        <f>ROUND((K24*F24)+(K25*F25),3)</f>
        <v>5.7000000000000002E-2</v>
      </c>
      <c r="M24" s="879">
        <f>ROUND(O24/L24,3)</f>
        <v>4.1399999999999997</v>
      </c>
      <c r="O24" s="880">
        <v>0.23599999999999999</v>
      </c>
      <c r="P24" s="83"/>
      <c r="S24" s="496"/>
    </row>
    <row r="25" spans="1:19" x14ac:dyDescent="0.2">
      <c r="A25" s="887"/>
      <c r="B25" s="874" t="s">
        <v>538</v>
      </c>
      <c r="C25" s="874"/>
      <c r="D25" s="474">
        <v>3.9E-2</v>
      </c>
      <c r="E25" s="474">
        <v>1E-3</v>
      </c>
      <c r="F25" s="474">
        <f t="shared" si="0"/>
        <v>0.04</v>
      </c>
      <c r="G25" s="459">
        <f>O24/F25</f>
        <v>5.8999999999999995</v>
      </c>
      <c r="H25" s="459"/>
      <c r="I25" s="459">
        <f>O24/F25</f>
        <v>5.8999999999999995</v>
      </c>
      <c r="J25" s="459"/>
      <c r="K25" s="459">
        <f>(G11*G10*2)/(G10*G10*2)</f>
        <v>0.81202185792349735</v>
      </c>
      <c r="L25" s="879"/>
      <c r="M25" s="879"/>
      <c r="O25" s="880"/>
      <c r="P25" s="83"/>
      <c r="S25" s="496"/>
    </row>
    <row r="26" spans="1:19" hidden="1" x14ac:dyDescent="0.2">
      <c r="A26" s="887"/>
      <c r="B26" s="874" t="s">
        <v>499</v>
      </c>
      <c r="C26" s="874"/>
      <c r="D26" s="474">
        <v>0.15</v>
      </c>
      <c r="E26" s="474">
        <v>0</v>
      </c>
      <c r="F26" s="474">
        <f t="shared" si="0"/>
        <v>0.15</v>
      </c>
      <c r="G26" s="459">
        <f>O26/F26</f>
        <v>0</v>
      </c>
      <c r="H26" s="459">
        <f>O26/F26</f>
        <v>0</v>
      </c>
      <c r="I26" s="459">
        <f>O26/F26</f>
        <v>0</v>
      </c>
      <c r="J26" s="459">
        <f>O26/F26</f>
        <v>0</v>
      </c>
      <c r="K26" s="459"/>
      <c r="L26" s="477">
        <f>F26</f>
        <v>0.15</v>
      </c>
      <c r="M26" s="477">
        <f>O26/L26</f>
        <v>0</v>
      </c>
      <c r="O26" s="474">
        <v>0</v>
      </c>
      <c r="P26" s="83"/>
      <c r="S26" s="496"/>
    </row>
    <row r="27" spans="1:19" hidden="1" x14ac:dyDescent="0.2">
      <c r="A27" s="887"/>
      <c r="B27" s="874" t="s">
        <v>712</v>
      </c>
      <c r="C27" s="874"/>
      <c r="D27" s="474">
        <v>3.5999999999999997E-2</v>
      </c>
      <c r="E27" s="474">
        <v>1E-3</v>
      </c>
      <c r="F27" s="474">
        <f t="shared" si="0"/>
        <v>3.6999999999999998E-2</v>
      </c>
      <c r="G27" s="459">
        <f>$O$27/$F$27</f>
        <v>0</v>
      </c>
      <c r="H27" s="459">
        <f>$O$27/$F$27</f>
        <v>0</v>
      </c>
      <c r="I27" s="459">
        <f>$O$27/$F$27</f>
        <v>0</v>
      </c>
      <c r="J27" s="459">
        <f>$O$27/$F$27</f>
        <v>0</v>
      </c>
      <c r="K27" s="456"/>
      <c r="L27" s="477">
        <f>F27</f>
        <v>3.6999999999999998E-2</v>
      </c>
      <c r="M27" s="477">
        <f>O27/L27</f>
        <v>0</v>
      </c>
      <c r="O27" s="474">
        <v>0</v>
      </c>
      <c r="P27" s="83"/>
      <c r="S27" s="496"/>
    </row>
    <row r="28" spans="1:19" x14ac:dyDescent="0.2">
      <c r="A28" s="887"/>
      <c r="B28" s="874" t="s">
        <v>402</v>
      </c>
      <c r="C28" s="874"/>
      <c r="D28" s="474">
        <v>0.26</v>
      </c>
      <c r="E28" s="474">
        <v>0</v>
      </c>
      <c r="F28" s="474">
        <f t="shared" si="0"/>
        <v>0.26</v>
      </c>
      <c r="G28" s="459">
        <f>$O$28/$F$28</f>
        <v>3.8461538461538464E-2</v>
      </c>
      <c r="H28" s="459">
        <f>$O$28/$F$28</f>
        <v>3.8461538461538464E-2</v>
      </c>
      <c r="I28" s="459">
        <f>$O$28/$F$28</f>
        <v>3.8461538461538464E-2</v>
      </c>
      <c r="J28" s="459">
        <f>$O$28/$F$28</f>
        <v>3.8461538461538464E-2</v>
      </c>
      <c r="K28" s="456"/>
      <c r="L28" s="459">
        <f>F28</f>
        <v>0.26</v>
      </c>
      <c r="M28" s="477">
        <f>O28/L28</f>
        <v>3.8461538461538464E-2</v>
      </c>
      <c r="O28" s="474">
        <v>0.01</v>
      </c>
      <c r="P28" s="83"/>
      <c r="S28" s="496"/>
    </row>
    <row r="29" spans="1:19" hidden="1" x14ac:dyDescent="0.2">
      <c r="A29" s="887"/>
      <c r="B29" s="874"/>
      <c r="C29" s="874"/>
      <c r="D29" s="601">
        <v>1</v>
      </c>
      <c r="E29" s="474">
        <v>0</v>
      </c>
      <c r="F29" s="474">
        <f t="shared" si="0"/>
        <v>1</v>
      </c>
      <c r="G29" s="459">
        <f>$O$29/$F$29</f>
        <v>0</v>
      </c>
      <c r="H29" s="459">
        <f>$O$29/$F$29</f>
        <v>0</v>
      </c>
      <c r="I29" s="459">
        <f>$O$29/$F$29</f>
        <v>0</v>
      </c>
      <c r="J29" s="459">
        <f>$O$29/$F$29</f>
        <v>0</v>
      </c>
      <c r="K29" s="456"/>
      <c r="L29" s="459">
        <v>1</v>
      </c>
      <c r="M29" s="477"/>
      <c r="O29" s="474"/>
      <c r="P29" s="83"/>
      <c r="S29" s="496"/>
    </row>
    <row r="30" spans="1:19" hidden="1" x14ac:dyDescent="0.2">
      <c r="A30" s="887"/>
      <c r="B30" s="874"/>
      <c r="C30" s="874"/>
      <c r="D30" s="601">
        <v>1</v>
      </c>
      <c r="E30" s="474">
        <v>0</v>
      </c>
      <c r="F30" s="474">
        <f t="shared" si="0"/>
        <v>1</v>
      </c>
      <c r="G30" s="459">
        <f>$O$30/$F$30</f>
        <v>0</v>
      </c>
      <c r="H30" s="459">
        <f>$O$30/$F$30</f>
        <v>0</v>
      </c>
      <c r="I30" s="459">
        <f>$O$30/$F$30</f>
        <v>0</v>
      </c>
      <c r="J30" s="459">
        <f>$O$30/$F$30</f>
        <v>0</v>
      </c>
      <c r="K30" s="456"/>
      <c r="L30" s="459">
        <v>1</v>
      </c>
      <c r="M30" s="879">
        <f>O30/L30</f>
        <v>0</v>
      </c>
      <c r="O30" s="601"/>
      <c r="P30" s="83"/>
      <c r="S30" s="496"/>
    </row>
    <row r="31" spans="1:19" hidden="1" x14ac:dyDescent="0.2">
      <c r="A31" s="887"/>
      <c r="B31" s="874"/>
      <c r="C31" s="874"/>
      <c r="D31" s="601">
        <v>1</v>
      </c>
      <c r="E31" s="474">
        <v>0</v>
      </c>
      <c r="F31" s="474">
        <f t="shared" si="0"/>
        <v>1</v>
      </c>
      <c r="G31" s="459">
        <f>$O$31/$F$31</f>
        <v>0</v>
      </c>
      <c r="H31" s="459">
        <f>$O$31/$F$31</f>
        <v>0</v>
      </c>
      <c r="I31" s="459">
        <f>$O$31/$F$31</f>
        <v>0</v>
      </c>
      <c r="J31" s="459">
        <f>$O$31/$F$31</f>
        <v>0</v>
      </c>
      <c r="K31" s="456"/>
      <c r="L31" s="459">
        <v>1</v>
      </c>
      <c r="M31" s="879"/>
      <c r="O31" s="601"/>
      <c r="P31" s="83"/>
      <c r="S31" s="496"/>
    </row>
    <row r="32" spans="1:19" x14ac:dyDescent="0.2">
      <c r="A32" s="86"/>
      <c r="F32" s="349"/>
      <c r="G32" s="459">
        <f>SUM(G18:G31)</f>
        <v>10.038461538461538</v>
      </c>
      <c r="H32" s="459">
        <f>SUM(H18:H31)</f>
        <v>5.9538461538461531</v>
      </c>
      <c r="I32" s="459">
        <f>SUM(I18:I31)</f>
        <v>7.1999999999999993</v>
      </c>
      <c r="J32" s="459">
        <f>SUM(J18:J31)</f>
        <v>3.115384615384615</v>
      </c>
      <c r="K32" s="935"/>
      <c r="L32" s="935"/>
      <c r="M32" s="935"/>
      <c r="P32" s="83"/>
      <c r="S32" s="496"/>
    </row>
    <row r="33" spans="1:24" x14ac:dyDescent="0.2">
      <c r="A33" s="86"/>
      <c r="C33" s="343"/>
      <c r="D33" s="377"/>
      <c r="E33" s="377"/>
      <c r="F33" s="377"/>
      <c r="G33" s="879">
        <f>ROUND((G15*G32)+(H15*H32)+(I15*I32)+(J15*J32),3)</f>
        <v>8.8759999999999994</v>
      </c>
      <c r="H33" s="879"/>
      <c r="I33" s="879"/>
      <c r="J33" s="879"/>
      <c r="K33" s="936">
        <f>SUM(M18:M31)</f>
        <v>7.2154615384615379</v>
      </c>
      <c r="L33" s="936"/>
      <c r="M33" s="936"/>
      <c r="P33" s="83"/>
      <c r="S33" s="496"/>
      <c r="V33" s="2">
        <f>0.1</f>
        <v>0.1</v>
      </c>
      <c r="W33" s="2">
        <v>0.05</v>
      </c>
      <c r="X33" s="2">
        <f>V33*W33</f>
        <v>5.000000000000001E-3</v>
      </c>
    </row>
    <row r="34" spans="1:24" ht="12.75" customHeight="1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  <c r="S34" s="496"/>
      <c r="V34" s="2">
        <f>0.136</f>
        <v>0.13600000000000001</v>
      </c>
      <c r="W34" s="2">
        <v>6.2E-2</v>
      </c>
      <c r="X34" s="2">
        <f>V34*W34</f>
        <v>8.4320000000000003E-3</v>
      </c>
    </row>
    <row r="35" spans="1:24" ht="15.75" x14ac:dyDescent="0.2">
      <c r="A35" s="86"/>
      <c r="O35" s="350">
        <f>SUM(O18:O31)*1000</f>
        <v>410.00000000000006</v>
      </c>
      <c r="P35" s="382" t="s">
        <v>120</v>
      </c>
      <c r="S35" s="496"/>
      <c r="V35" s="2">
        <f>SUM(V33:V34)</f>
        <v>0.23600000000000002</v>
      </c>
      <c r="W35" s="2">
        <f>X35/V35</f>
        <v>5.6915254237288139E-2</v>
      </c>
      <c r="X35" s="2">
        <f>SUM(X33:X34)</f>
        <v>1.3432000000000001E-2</v>
      </c>
    </row>
    <row r="36" spans="1:24" ht="6.75" customHeight="1" x14ac:dyDescent="0.2">
      <c r="A36" s="86"/>
      <c r="P36" s="83"/>
      <c r="S36" s="496"/>
    </row>
    <row r="37" spans="1:24" ht="21" x14ac:dyDescent="0.2">
      <c r="A37" s="86"/>
      <c r="F37" s="902" t="s">
        <v>93</v>
      </c>
      <c r="G37" s="902"/>
      <c r="H37" s="902"/>
      <c r="I37" s="903">
        <f>ROUND(1/((G33+K33)/2+K5+K7+K6),2)</f>
        <v>0.12</v>
      </c>
      <c r="J37" s="904"/>
      <c r="K37" s="905" t="s">
        <v>306</v>
      </c>
      <c r="L37" s="906"/>
      <c r="P37" s="83"/>
      <c r="S37" s="496"/>
    </row>
    <row r="38" spans="1:24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  <c r="S38" s="497"/>
    </row>
  </sheetData>
  <mergeCells count="64">
    <mergeCell ref="M1:P1"/>
    <mergeCell ref="B3:C3"/>
    <mergeCell ref="D3:O3"/>
    <mergeCell ref="D5:I7"/>
    <mergeCell ref="K5:L5"/>
    <mergeCell ref="K6:L6"/>
    <mergeCell ref="K7:L7"/>
    <mergeCell ref="C11:F12"/>
    <mergeCell ref="G11:H11"/>
    <mergeCell ref="I11:J11"/>
    <mergeCell ref="G12:H12"/>
    <mergeCell ref="I12:J12"/>
    <mergeCell ref="G9:H9"/>
    <mergeCell ref="I9:J9"/>
    <mergeCell ref="C10:F10"/>
    <mergeCell ref="G10:H10"/>
    <mergeCell ref="I10:J10"/>
    <mergeCell ref="A13:B13"/>
    <mergeCell ref="C13:D13"/>
    <mergeCell ref="E13:F13"/>
    <mergeCell ref="G13:J13"/>
    <mergeCell ref="A14:B14"/>
    <mergeCell ref="C14:D14"/>
    <mergeCell ref="A15:F15"/>
    <mergeCell ref="G16:J16"/>
    <mergeCell ref="K16:M16"/>
    <mergeCell ref="B17:C17"/>
    <mergeCell ref="A18:A19"/>
    <mergeCell ref="B18:C18"/>
    <mergeCell ref="B19:C19"/>
    <mergeCell ref="A20:A21"/>
    <mergeCell ref="B20:C20"/>
    <mergeCell ref="L20:L21"/>
    <mergeCell ref="M20:M21"/>
    <mergeCell ref="O20:O21"/>
    <mergeCell ref="B21:C21"/>
    <mergeCell ref="A22:A23"/>
    <mergeCell ref="B22:C22"/>
    <mergeCell ref="L22:L23"/>
    <mergeCell ref="M22:M23"/>
    <mergeCell ref="O22:O23"/>
    <mergeCell ref="B23:C23"/>
    <mergeCell ref="A24:A25"/>
    <mergeCell ref="B24:C24"/>
    <mergeCell ref="L24:L25"/>
    <mergeCell ref="M24:M25"/>
    <mergeCell ref="O24:O25"/>
    <mergeCell ref="B25:C25"/>
    <mergeCell ref="A26:A27"/>
    <mergeCell ref="B26:C26"/>
    <mergeCell ref="B27:C27"/>
    <mergeCell ref="A28:A29"/>
    <mergeCell ref="B28:C28"/>
    <mergeCell ref="B29:C29"/>
    <mergeCell ref="M30:M31"/>
    <mergeCell ref="B31:C31"/>
    <mergeCell ref="K32:M32"/>
    <mergeCell ref="G33:J33"/>
    <mergeCell ref="K33:M33"/>
    <mergeCell ref="F37:H37"/>
    <mergeCell ref="I37:J37"/>
    <mergeCell ref="K37:L37"/>
    <mergeCell ref="A30:A31"/>
    <mergeCell ref="B30:C30"/>
  </mergeCells>
  <dataValidations count="1">
    <dataValidation type="list" allowBlank="1" showInputMessage="1" showErrorMessage="1" sqref="K6:L6" xr:uid="{2AF238FB-718C-47F5-91F8-F035E421C54E}">
      <formula1>"0,0,04,0,0,13"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3454-7ABA-4D1F-A5FA-C46855E4805F}">
  <dimension ref="A1:U53"/>
  <sheetViews>
    <sheetView showGridLines="0" view="pageBreakPreview" zoomScaleNormal="100" zoomScaleSheetLayoutView="100" workbookViewId="0">
      <selection activeCell="N62" sqref="N62"/>
    </sheetView>
  </sheetViews>
  <sheetFormatPr defaultColWidth="9.140625" defaultRowHeight="12.75" x14ac:dyDescent="0.2"/>
  <cols>
    <col min="1" max="1" width="5.28515625" style="2" customWidth="1"/>
    <col min="2" max="2" width="8.140625" style="2" customWidth="1"/>
    <col min="3" max="4" width="7.7109375" style="2" customWidth="1"/>
    <col min="5" max="5" width="10.28515625" style="2" customWidth="1"/>
    <col min="6" max="6" width="10.85546875" style="2" customWidth="1"/>
    <col min="7" max="7" width="10.28515625" style="2" customWidth="1"/>
    <col min="8" max="8" width="11.140625" style="2" customWidth="1"/>
    <col min="9" max="9" width="0.85546875" style="2" customWidth="1"/>
    <col min="10" max="10" width="8.5703125" style="2" customWidth="1"/>
    <col min="11" max="11" width="5.5703125" style="2" customWidth="1"/>
    <col min="12" max="12" width="9.140625" style="335"/>
    <col min="13" max="13" width="20.28515625" style="2" bestFit="1" customWidth="1"/>
    <col min="14" max="16384" width="9.140625" style="2"/>
  </cols>
  <sheetData>
    <row r="1" spans="1:21" ht="30" customHeight="1" x14ac:dyDescent="0.2">
      <c r="H1" s="954"/>
      <c r="I1" s="954"/>
      <c r="J1" s="954"/>
      <c r="K1" s="954"/>
    </row>
    <row r="2" spans="1:21" ht="15.6" customHeight="1" x14ac:dyDescent="0.2">
      <c r="A2" s="385"/>
      <c r="B2" s="99"/>
      <c r="C2" s="99"/>
      <c r="D2" s="99"/>
      <c r="E2" s="99"/>
      <c r="F2" s="99"/>
      <c r="G2" s="99"/>
      <c r="H2" s="99"/>
      <c r="I2" s="99"/>
      <c r="J2" s="99"/>
      <c r="K2" s="81"/>
    </row>
    <row r="3" spans="1:21" ht="27.6" customHeight="1" x14ac:dyDescent="0.2">
      <c r="A3" s="386"/>
      <c r="B3" s="387"/>
      <c r="C3" s="688" t="s">
        <v>736</v>
      </c>
      <c r="D3" s="684">
        <v>1</v>
      </c>
      <c r="E3" s="868" t="s">
        <v>749</v>
      </c>
      <c r="F3" s="868"/>
      <c r="G3" s="868"/>
      <c r="H3" s="868"/>
      <c r="I3" s="868"/>
      <c r="J3" s="869"/>
      <c r="K3" s="83"/>
      <c r="N3" s="2" t="s">
        <v>90</v>
      </c>
      <c r="O3" s="2" t="s">
        <v>91</v>
      </c>
      <c r="P3" s="2" t="s">
        <v>392</v>
      </c>
      <c r="Q3" s="2" t="s">
        <v>393</v>
      </c>
    </row>
    <row r="4" spans="1:21" ht="14.45" customHeight="1" x14ac:dyDescent="0.2">
      <c r="A4" s="354"/>
      <c r="B4" s="341"/>
      <c r="C4" s="341"/>
      <c r="D4" s="341"/>
      <c r="E4" s="341"/>
      <c r="F4" s="341"/>
      <c r="G4" s="341"/>
      <c r="H4" s="341"/>
      <c r="I4" s="341"/>
      <c r="J4" s="341"/>
      <c r="K4" s="83"/>
    </row>
    <row r="5" spans="1:21" ht="15" customHeight="1" x14ac:dyDescent="0.25">
      <c r="A5" s="949" t="s">
        <v>804</v>
      </c>
      <c r="B5" s="950"/>
      <c r="C5" s="950"/>
      <c r="D5" s="950"/>
      <c r="E5" s="950"/>
      <c r="F5" s="341" t="s">
        <v>300</v>
      </c>
      <c r="G5" s="930">
        <v>0.17</v>
      </c>
      <c r="H5" s="930"/>
      <c r="I5" s="930"/>
      <c r="J5" s="359"/>
      <c r="K5" s="83"/>
      <c r="L5" s="335" t="s">
        <v>487</v>
      </c>
      <c r="M5" s="385" t="s">
        <v>430</v>
      </c>
      <c r="N5" s="495">
        <v>3.4000000000000002E-2</v>
      </c>
    </row>
    <row r="6" spans="1:21" ht="15" x14ac:dyDescent="0.25">
      <c r="A6" s="949"/>
      <c r="B6" s="950"/>
      <c r="C6" s="950"/>
      <c r="D6" s="950"/>
      <c r="E6" s="950"/>
      <c r="F6" s="341" t="s">
        <v>301</v>
      </c>
      <c r="G6" s="930">
        <v>0</v>
      </c>
      <c r="H6" s="930"/>
      <c r="I6" s="930"/>
      <c r="J6" s="359"/>
      <c r="K6" s="83"/>
      <c r="L6" s="335">
        <v>2.83</v>
      </c>
      <c r="M6" s="86" t="s">
        <v>386</v>
      </c>
      <c r="N6" s="496">
        <v>3.3000000000000002E-2</v>
      </c>
    </row>
    <row r="7" spans="1:21" ht="9" customHeight="1" x14ac:dyDescent="0.2">
      <c r="A7" s="389"/>
      <c r="B7" s="390"/>
      <c r="C7" s="390"/>
      <c r="D7" s="390"/>
      <c r="E7" s="390"/>
      <c r="F7" s="390"/>
      <c r="G7" s="390"/>
      <c r="H7" s="391"/>
      <c r="I7" s="391"/>
      <c r="J7" s="391"/>
      <c r="K7" s="392"/>
      <c r="M7" s="86" t="s">
        <v>348</v>
      </c>
      <c r="N7" s="496">
        <v>3.5999999999999997E-2</v>
      </c>
      <c r="S7" s="2">
        <v>72</v>
      </c>
      <c r="T7" s="2">
        <v>3.1</v>
      </c>
      <c r="U7" s="2">
        <f>S7*T7</f>
        <v>223.20000000000002</v>
      </c>
    </row>
    <row r="8" spans="1:21" ht="14.25" x14ac:dyDescent="0.25">
      <c r="A8" s="389"/>
      <c r="B8" s="450"/>
      <c r="C8" s="450"/>
      <c r="D8" s="947" t="s">
        <v>755</v>
      </c>
      <c r="E8" s="947"/>
      <c r="F8" s="947"/>
      <c r="G8" s="391" t="s">
        <v>729</v>
      </c>
      <c r="H8" s="585">
        <v>0.47</v>
      </c>
      <c r="I8" s="391"/>
      <c r="J8" s="391"/>
      <c r="K8" s="392"/>
      <c r="M8" s="86" t="s">
        <v>222</v>
      </c>
      <c r="N8" s="496">
        <v>3.3000000000000002E-2</v>
      </c>
      <c r="S8" s="2">
        <v>6.1</v>
      </c>
      <c r="T8" s="2">
        <v>3.1</v>
      </c>
      <c r="U8" s="2">
        <f t="shared" ref="U8:U14" si="0">S8*T8</f>
        <v>18.91</v>
      </c>
    </row>
    <row r="9" spans="1:21" ht="14.25" x14ac:dyDescent="0.2">
      <c r="A9" s="394"/>
      <c r="B9" s="395"/>
      <c r="C9" s="395"/>
      <c r="D9" s="946" t="s">
        <v>757</v>
      </c>
      <c r="E9" s="946"/>
      <c r="F9" s="946"/>
      <c r="G9" s="396" t="s">
        <v>9</v>
      </c>
      <c r="H9" s="565">
        <f>'5.lapa'!E168</f>
        <v>79.09</v>
      </c>
      <c r="I9" s="396"/>
      <c r="K9" s="83"/>
      <c r="L9" s="335">
        <v>0.3</v>
      </c>
      <c r="M9" s="86" t="s">
        <v>429</v>
      </c>
      <c r="N9" s="496">
        <v>3.5000000000000003E-2</v>
      </c>
      <c r="S9" s="2">
        <v>8.8000000000000007</v>
      </c>
      <c r="T9" s="2">
        <v>2.6</v>
      </c>
      <c r="U9" s="2">
        <f t="shared" si="0"/>
        <v>22.880000000000003</v>
      </c>
    </row>
    <row r="10" spans="1:21" ht="14.45" customHeight="1" x14ac:dyDescent="0.2">
      <c r="A10" s="394"/>
      <c r="B10" s="398"/>
      <c r="C10" s="395"/>
      <c r="D10" s="946" t="s">
        <v>758</v>
      </c>
      <c r="E10" s="946"/>
      <c r="F10" s="946"/>
      <c r="G10" s="399" t="s">
        <v>129</v>
      </c>
      <c r="H10" s="465">
        <f>(1.5+0.9+1.5+0.9+2.15+1.05+3.5+1.85)*2</f>
        <v>26.7</v>
      </c>
      <c r="I10" s="399"/>
      <c r="K10" s="83"/>
      <c r="L10" s="335">
        <f>H10/H9</f>
        <v>0.3375900872423821</v>
      </c>
      <c r="M10" s="584" t="s">
        <v>470</v>
      </c>
      <c r="N10" s="496">
        <v>3.4000000000000002E-2</v>
      </c>
      <c r="S10" s="2">
        <v>9</v>
      </c>
      <c r="T10" s="2">
        <v>2.6</v>
      </c>
      <c r="U10" s="2">
        <f t="shared" si="0"/>
        <v>23.400000000000002</v>
      </c>
    </row>
    <row r="11" spans="1:21" x14ac:dyDescent="0.2">
      <c r="A11" s="394"/>
      <c r="B11" s="398"/>
      <c r="C11" s="400"/>
      <c r="D11" s="948" t="s">
        <v>759</v>
      </c>
      <c r="E11" s="948"/>
      <c r="F11" s="948"/>
      <c r="G11" s="399" t="s">
        <v>77</v>
      </c>
      <c r="H11" s="465">
        <f>ROUND(H9/(0.5*H10),2)</f>
        <v>5.92</v>
      </c>
      <c r="I11" s="399"/>
      <c r="K11" s="83"/>
      <c r="M11" s="86" t="s">
        <v>626</v>
      </c>
      <c r="N11" s="496">
        <v>2.1999999999999999E-2</v>
      </c>
      <c r="S11" s="2">
        <v>38.5</v>
      </c>
      <c r="T11" s="2">
        <v>2.6</v>
      </c>
      <c r="U11" s="2">
        <f t="shared" si="0"/>
        <v>100.10000000000001</v>
      </c>
    </row>
    <row r="12" spans="1:21" ht="9" customHeight="1" x14ac:dyDescent="0.2">
      <c r="A12" s="394"/>
      <c r="B12" s="398"/>
      <c r="C12" s="404"/>
      <c r="D12" s="398"/>
      <c r="E12" s="398"/>
      <c r="F12" s="398"/>
      <c r="G12" s="335"/>
      <c r="K12" s="83"/>
      <c r="M12" s="86" t="s">
        <v>444</v>
      </c>
      <c r="N12" s="496">
        <v>0.09</v>
      </c>
      <c r="S12" s="2">
        <v>21.5</v>
      </c>
      <c r="T12" s="2">
        <v>3.1</v>
      </c>
      <c r="U12" s="2">
        <f t="shared" si="0"/>
        <v>66.650000000000006</v>
      </c>
    </row>
    <row r="13" spans="1:21" ht="14.25" x14ac:dyDescent="0.2">
      <c r="A13" s="394"/>
      <c r="B13" s="946" t="s">
        <v>771</v>
      </c>
      <c r="C13" s="946"/>
      <c r="D13" s="946"/>
      <c r="E13" s="946"/>
      <c r="F13" s="946"/>
      <c r="G13" s="418" t="s">
        <v>731</v>
      </c>
      <c r="H13" s="532">
        <v>2</v>
      </c>
      <c r="I13" s="403"/>
      <c r="K13" s="83"/>
      <c r="M13" s="86" t="s">
        <v>264</v>
      </c>
      <c r="N13" s="496">
        <v>0.09</v>
      </c>
      <c r="S13" s="2">
        <v>4.7</v>
      </c>
      <c r="T13" s="2">
        <v>3.1</v>
      </c>
      <c r="U13" s="2">
        <f t="shared" si="0"/>
        <v>14.57</v>
      </c>
    </row>
    <row r="14" spans="1:21" ht="9" customHeight="1" x14ac:dyDescent="0.2">
      <c r="A14" s="86"/>
      <c r="G14" s="762"/>
      <c r="H14" s="762"/>
      <c r="I14" s="335"/>
      <c r="K14" s="83"/>
      <c r="M14" s="86" t="s">
        <v>566</v>
      </c>
      <c r="N14" s="496"/>
      <c r="S14" s="2">
        <v>19.2</v>
      </c>
      <c r="T14" s="2">
        <v>3.1</v>
      </c>
      <c r="U14" s="2">
        <f t="shared" si="0"/>
        <v>59.519999999999996</v>
      </c>
    </row>
    <row r="15" spans="1:21" ht="28.9" customHeight="1" x14ac:dyDescent="0.25">
      <c r="A15" s="339"/>
      <c r="B15" s="961" t="s">
        <v>6</v>
      </c>
      <c r="C15" s="961"/>
      <c r="D15" s="961"/>
      <c r="E15" s="489" t="s">
        <v>797</v>
      </c>
      <c r="F15" s="489" t="s">
        <v>798</v>
      </c>
      <c r="G15" s="489" t="s">
        <v>799</v>
      </c>
      <c r="H15" s="489" t="s">
        <v>800</v>
      </c>
      <c r="I15" s="405"/>
      <c r="J15" s="489" t="s">
        <v>801</v>
      </c>
      <c r="K15" s="83"/>
      <c r="M15" s="86" t="s">
        <v>575</v>
      </c>
      <c r="N15" s="496">
        <v>3.5000000000000003E-2</v>
      </c>
      <c r="S15" s="2">
        <f>SUM(S7:S14)</f>
        <v>179.79999999999995</v>
      </c>
      <c r="T15" s="2">
        <f>U15/S15</f>
        <v>2.9434371523915468</v>
      </c>
      <c r="U15" s="2">
        <f>SUM(U7:U14)</f>
        <v>529.23</v>
      </c>
    </row>
    <row r="16" spans="1:21" x14ac:dyDescent="0.2">
      <c r="A16" s="367"/>
      <c r="B16" s="874" t="s">
        <v>223</v>
      </c>
      <c r="C16" s="874"/>
      <c r="D16" s="874"/>
      <c r="E16" s="459">
        <v>0.26</v>
      </c>
      <c r="F16" s="459">
        <v>0</v>
      </c>
      <c r="G16" s="459">
        <f>E16+F16</f>
        <v>0.26</v>
      </c>
      <c r="H16" s="456">
        <f>ROUND(J16/G16,3)</f>
        <v>7.6999999999999999E-2</v>
      </c>
      <c r="I16" s="335"/>
      <c r="J16" s="459">
        <v>0.02</v>
      </c>
      <c r="K16" s="83"/>
      <c r="M16" s="86" t="s">
        <v>576</v>
      </c>
      <c r="N16" s="496">
        <v>3.6999999999999998E-2</v>
      </c>
      <c r="P16" s="2">
        <f>H10*6.2</f>
        <v>165.54</v>
      </c>
      <c r="R16" s="453"/>
      <c r="T16" s="2">
        <v>29.2</v>
      </c>
    </row>
    <row r="17" spans="1:20" hidden="1" x14ac:dyDescent="0.2">
      <c r="A17" s="367"/>
      <c r="B17" s="874" t="s">
        <v>554</v>
      </c>
      <c r="C17" s="874"/>
      <c r="D17" s="874"/>
      <c r="E17" s="459">
        <v>0.09</v>
      </c>
      <c r="F17" s="459">
        <v>0</v>
      </c>
      <c r="G17" s="459">
        <f>E17+F17</f>
        <v>0.09</v>
      </c>
      <c r="H17" s="456">
        <f t="shared" ref="H17:H22" si="1">ROUND(J17/G17,3)</f>
        <v>0</v>
      </c>
      <c r="I17" s="335"/>
      <c r="J17" s="459">
        <v>0</v>
      </c>
      <c r="K17" s="407"/>
      <c r="M17" s="86" t="s">
        <v>607</v>
      </c>
      <c r="N17" s="496">
        <v>3.5000000000000003E-2</v>
      </c>
      <c r="T17" s="2">
        <v>7.6</v>
      </c>
    </row>
    <row r="18" spans="1:20" hidden="1" x14ac:dyDescent="0.2">
      <c r="A18" s="367"/>
      <c r="B18" s="874" t="s">
        <v>625</v>
      </c>
      <c r="C18" s="874"/>
      <c r="D18" s="874"/>
      <c r="E18" s="459">
        <v>0.5</v>
      </c>
      <c r="F18" s="459">
        <v>0</v>
      </c>
      <c r="G18" s="459">
        <f>F18+E18</f>
        <v>0.5</v>
      </c>
      <c r="H18" s="465">
        <f t="shared" si="1"/>
        <v>0</v>
      </c>
      <c r="I18" s="335"/>
      <c r="J18" s="459">
        <v>0</v>
      </c>
      <c r="K18" s="83"/>
      <c r="M18" s="86" t="s">
        <v>625</v>
      </c>
      <c r="N18" s="496">
        <v>0.5</v>
      </c>
      <c r="P18" s="377"/>
    </row>
    <row r="19" spans="1:20" x14ac:dyDescent="0.2">
      <c r="A19" s="367"/>
      <c r="B19" s="874" t="s">
        <v>386</v>
      </c>
      <c r="C19" s="874"/>
      <c r="D19" s="874"/>
      <c r="E19" s="459">
        <v>3.4000000000000002E-2</v>
      </c>
      <c r="F19" s="459">
        <v>2E-3</v>
      </c>
      <c r="G19" s="459">
        <f>F19+E19</f>
        <v>3.6000000000000004E-2</v>
      </c>
      <c r="H19" s="456">
        <f>ROUND(J19/G19,3)</f>
        <v>2.778</v>
      </c>
      <c r="I19" s="335"/>
      <c r="J19" s="459">
        <v>0.1</v>
      </c>
      <c r="K19" s="83"/>
      <c r="M19" s="86" t="s">
        <v>633</v>
      </c>
      <c r="N19" s="496">
        <v>3.1E-2</v>
      </c>
      <c r="T19" s="2">
        <v>17.2</v>
      </c>
    </row>
    <row r="20" spans="1:20" ht="13.5" hidden="1" customHeight="1" x14ac:dyDescent="0.2">
      <c r="A20" s="367"/>
      <c r="B20" s="874" t="s">
        <v>637</v>
      </c>
      <c r="C20" s="874"/>
      <c r="D20" s="874"/>
      <c r="E20" s="459">
        <v>2</v>
      </c>
      <c r="F20" s="459">
        <v>0</v>
      </c>
      <c r="G20" s="459">
        <f>E20+F20</f>
        <v>2</v>
      </c>
      <c r="H20" s="456">
        <f t="shared" si="1"/>
        <v>0</v>
      </c>
      <c r="I20" s="335"/>
      <c r="J20" s="459">
        <v>0</v>
      </c>
      <c r="K20" s="83"/>
      <c r="M20" s="86" t="s">
        <v>711</v>
      </c>
      <c r="N20" s="496">
        <v>3.5999999999999997E-2</v>
      </c>
      <c r="O20" s="2">
        <v>100</v>
      </c>
    </row>
    <row r="21" spans="1:20" ht="13.5" hidden="1" customHeight="1" x14ac:dyDescent="0.2">
      <c r="A21" s="367"/>
      <c r="B21" s="874" t="s">
        <v>264</v>
      </c>
      <c r="C21" s="874"/>
      <c r="D21" s="874"/>
      <c r="E21" s="459">
        <v>0.09</v>
      </c>
      <c r="F21" s="459">
        <v>0</v>
      </c>
      <c r="G21" s="459">
        <f>F21+E21</f>
        <v>0.09</v>
      </c>
      <c r="H21" s="456">
        <f t="shared" si="1"/>
        <v>0</v>
      </c>
      <c r="I21" s="335"/>
      <c r="J21" s="459">
        <v>0</v>
      </c>
      <c r="K21" s="83"/>
      <c r="M21" s="86"/>
      <c r="N21" s="496">
        <v>3.3000000000000002E-2</v>
      </c>
      <c r="O21" s="2">
        <v>50</v>
      </c>
    </row>
    <row r="22" spans="1:20" ht="13.5" hidden="1" customHeight="1" x14ac:dyDescent="0.2">
      <c r="A22" s="367"/>
      <c r="B22" s="874" t="s">
        <v>522</v>
      </c>
      <c r="C22" s="874"/>
      <c r="D22" s="874"/>
      <c r="E22" s="459">
        <v>2</v>
      </c>
      <c r="F22" s="459">
        <v>0</v>
      </c>
      <c r="G22" s="459">
        <f>E22+F22</f>
        <v>2</v>
      </c>
      <c r="H22" s="456">
        <f t="shared" si="1"/>
        <v>0</v>
      </c>
      <c r="I22" s="406"/>
      <c r="J22" s="459"/>
      <c r="K22" s="83"/>
      <c r="M22" s="87" t="s">
        <v>708</v>
      </c>
      <c r="N22" s="497">
        <v>2.9000000000000001E-2</v>
      </c>
      <c r="O22" s="2">
        <v>2.4E-2</v>
      </c>
      <c r="P22" s="2">
        <f>N22*O22</f>
        <v>6.96E-4</v>
      </c>
      <c r="T22" s="2">
        <v>19.100000000000001</v>
      </c>
    </row>
    <row r="23" spans="1:20" x14ac:dyDescent="0.2">
      <c r="A23" s="339"/>
      <c r="B23" s="960"/>
      <c r="C23" s="960"/>
      <c r="D23" s="960"/>
      <c r="E23" s="960"/>
      <c r="F23" s="960"/>
      <c r="G23" s="960"/>
      <c r="H23" s="335"/>
      <c r="I23" s="335"/>
      <c r="J23" s="343"/>
      <c r="K23" s="83"/>
      <c r="N23" s="2">
        <v>23.39</v>
      </c>
      <c r="O23" s="2">
        <v>7</v>
      </c>
      <c r="P23" s="2">
        <f>N23*O23</f>
        <v>163.73000000000002</v>
      </c>
      <c r="T23" s="2">
        <v>24.6</v>
      </c>
    </row>
    <row r="24" spans="1:20" ht="15" x14ac:dyDescent="0.2">
      <c r="A24" s="339"/>
      <c r="B24" s="411"/>
      <c r="C24" s="411"/>
      <c r="D24" s="411"/>
      <c r="E24" s="411"/>
      <c r="F24" s="411"/>
      <c r="G24" s="411"/>
      <c r="H24" s="335"/>
      <c r="I24" s="335"/>
      <c r="J24" s="462">
        <f>ROUND(SUM(J16:J22)*1000,0)</f>
        <v>120</v>
      </c>
      <c r="K24" s="700" t="s">
        <v>120</v>
      </c>
      <c r="N24" s="2">
        <v>12.9</v>
      </c>
      <c r="O24" s="2">
        <v>27.9</v>
      </c>
      <c r="P24" s="2">
        <f>N24*O24</f>
        <v>359.90999999999997</v>
      </c>
      <c r="T24" s="2">
        <v>5.6</v>
      </c>
    </row>
    <row r="25" spans="1:20" ht="6.6" customHeight="1" x14ac:dyDescent="0.2">
      <c r="A25" s="339"/>
      <c r="B25" s="411"/>
      <c r="C25" s="411"/>
      <c r="D25" s="411"/>
      <c r="E25" s="411"/>
      <c r="F25" s="411"/>
      <c r="G25" s="411"/>
      <c r="H25" s="335"/>
      <c r="I25" s="335"/>
      <c r="K25" s="83"/>
      <c r="M25" s="955">
        <v>1</v>
      </c>
      <c r="P25" s="2">
        <f>SUM(P22:P24)</f>
        <v>523.64069599999993</v>
      </c>
      <c r="T25" s="2">
        <v>8.6999999999999993</v>
      </c>
    </row>
    <row r="26" spans="1:20" ht="14.25" x14ac:dyDescent="0.2">
      <c r="A26" s="951" t="s">
        <v>805</v>
      </c>
      <c r="B26" s="948"/>
      <c r="C26" s="948"/>
      <c r="D26" s="948"/>
      <c r="E26" s="948"/>
      <c r="F26" s="948"/>
      <c r="G26" s="412" t="s">
        <v>730</v>
      </c>
      <c r="H26" s="477">
        <f>SUM(H16:H23)</f>
        <v>2.855</v>
      </c>
      <c r="I26" s="335"/>
      <c r="K26" s="407"/>
      <c r="M26" s="956"/>
      <c r="T26" s="433">
        <f>SUM(T16:T25)</f>
        <v>111.99999999999999</v>
      </c>
    </row>
    <row r="27" spans="1:20" ht="15" customHeight="1" x14ac:dyDescent="0.2">
      <c r="A27" s="446"/>
      <c r="B27" s="948" t="s">
        <v>762</v>
      </c>
      <c r="C27" s="948"/>
      <c r="D27" s="948"/>
      <c r="E27" s="948"/>
      <c r="F27" s="948"/>
      <c r="G27" s="418" t="s">
        <v>728</v>
      </c>
      <c r="H27" s="565">
        <f>H8+(H13*(H26+G5+G6))</f>
        <v>6.52</v>
      </c>
      <c r="I27" s="335"/>
      <c r="K27" s="83"/>
      <c r="M27" s="956"/>
      <c r="O27" s="433"/>
    </row>
    <row r="28" spans="1:20" ht="15" customHeight="1" x14ac:dyDescent="0.2">
      <c r="A28" s="446"/>
      <c r="B28" s="945" t="s">
        <v>772</v>
      </c>
      <c r="C28" s="945"/>
      <c r="D28" s="945"/>
      <c r="E28" s="945"/>
      <c r="F28" s="945"/>
      <c r="G28" s="418" t="s">
        <v>732</v>
      </c>
      <c r="H28" s="477">
        <f>ROUND(IF(H27&gt;=H11,H13/(0.457*H11+H27),(2*H13/((3.14*H11)+H27)))*(LN(((3.14*H11)/H27)+1)),3)*M25</f>
        <v>0.29199999999999998</v>
      </c>
      <c r="I28" s="952"/>
      <c r="J28" s="952"/>
      <c r="K28" s="415"/>
      <c r="M28" s="956"/>
    </row>
    <row r="29" spans="1:20" ht="13.9" hidden="1" customHeight="1" x14ac:dyDescent="0.2">
      <c r="A29" s="339"/>
      <c r="B29" s="953"/>
      <c r="C29" s="953"/>
      <c r="D29" s="953"/>
      <c r="E29" s="953"/>
      <c r="F29" s="953"/>
      <c r="G29" s="953"/>
      <c r="H29" s="953"/>
      <c r="I29" s="417"/>
      <c r="J29" s="417"/>
      <c r="K29" s="415"/>
    </row>
    <row r="30" spans="1:20" ht="15" hidden="1" customHeight="1" x14ac:dyDescent="0.2">
      <c r="A30" s="339"/>
      <c r="B30" s="836" t="s">
        <v>533</v>
      </c>
      <c r="C30" s="836"/>
      <c r="D30" s="836"/>
      <c r="E30" s="836"/>
      <c r="F30" s="836"/>
      <c r="G30" s="418" t="s">
        <v>336</v>
      </c>
      <c r="H30" s="477">
        <v>0</v>
      </c>
      <c r="I30" s="417"/>
      <c r="J30" s="417"/>
      <c r="K30" s="415"/>
    </row>
    <row r="31" spans="1:20" ht="15" hidden="1" customHeight="1" x14ac:dyDescent="0.2">
      <c r="A31" s="339"/>
      <c r="B31" s="836" t="s">
        <v>163</v>
      </c>
      <c r="C31" s="836"/>
      <c r="D31" s="836"/>
      <c r="E31" s="836"/>
      <c r="F31" s="836"/>
      <c r="G31" s="418" t="s">
        <v>337</v>
      </c>
      <c r="H31" s="477">
        <v>3.5999999999999997E-2</v>
      </c>
      <c r="I31" s="417"/>
      <c r="J31" s="417"/>
      <c r="K31" s="415"/>
    </row>
    <row r="32" spans="1:20" ht="15" hidden="1" customHeight="1" x14ac:dyDescent="0.2">
      <c r="A32" s="339"/>
      <c r="B32" s="836" t="s">
        <v>164</v>
      </c>
      <c r="C32" s="836"/>
      <c r="D32" s="836"/>
      <c r="E32" s="836"/>
      <c r="F32" s="836"/>
      <c r="G32" s="418" t="s">
        <v>338</v>
      </c>
      <c r="H32" s="477">
        <v>2E-3</v>
      </c>
      <c r="I32" s="417"/>
      <c r="J32" s="417"/>
      <c r="K32" s="415"/>
    </row>
    <row r="33" spans="1:15" ht="15" hidden="1" customHeight="1" x14ac:dyDescent="0.2">
      <c r="A33" s="339"/>
      <c r="B33" s="836" t="s">
        <v>339</v>
      </c>
      <c r="C33" s="836"/>
      <c r="D33" s="836"/>
      <c r="E33" s="836"/>
      <c r="F33" s="836"/>
      <c r="G33" s="418" t="s">
        <v>340</v>
      </c>
      <c r="H33" s="477">
        <f>H30/(H31+H32)</f>
        <v>0</v>
      </c>
      <c r="I33" s="417"/>
      <c r="J33" s="417"/>
      <c r="K33" s="415"/>
    </row>
    <row r="34" spans="1:15" ht="15" hidden="1" customHeight="1" x14ac:dyDescent="0.2">
      <c r="A34" s="339"/>
      <c r="B34" s="836" t="s">
        <v>341</v>
      </c>
      <c r="C34" s="836"/>
      <c r="D34" s="836"/>
      <c r="E34" s="836"/>
      <c r="F34" s="836"/>
      <c r="G34" s="418" t="s">
        <v>169</v>
      </c>
      <c r="H34" s="477">
        <f>H33-(H30/H13)</f>
        <v>0</v>
      </c>
      <c r="I34" s="417"/>
      <c r="J34" s="417"/>
      <c r="K34" s="415"/>
    </row>
    <row r="35" spans="1:15" ht="13.9" hidden="1" customHeight="1" x14ac:dyDescent="0.2">
      <c r="A35" s="339"/>
      <c r="B35" s="836" t="s">
        <v>170</v>
      </c>
      <c r="C35" s="836"/>
      <c r="D35" s="836"/>
      <c r="E35" s="836"/>
      <c r="F35" s="836"/>
      <c r="G35" s="418" t="s">
        <v>171</v>
      </c>
      <c r="H35" s="477">
        <f>H34*H13</f>
        <v>0</v>
      </c>
      <c r="I35" s="417"/>
      <c r="J35" s="417"/>
      <c r="K35" s="415"/>
    </row>
    <row r="36" spans="1:15" ht="13.9" hidden="1" customHeight="1" x14ac:dyDescent="0.2">
      <c r="A36" s="339"/>
      <c r="B36" s="836" t="s">
        <v>173</v>
      </c>
      <c r="C36" s="836"/>
      <c r="D36" s="836"/>
      <c r="E36" s="836"/>
      <c r="F36" s="836"/>
      <c r="G36" s="418" t="s">
        <v>42</v>
      </c>
      <c r="H36" s="565">
        <v>1.2</v>
      </c>
      <c r="I36" s="417"/>
      <c r="J36" s="417"/>
      <c r="K36" s="415"/>
    </row>
    <row r="37" spans="1:15" ht="13.9" hidden="1" customHeight="1" x14ac:dyDescent="0.2">
      <c r="A37" s="339"/>
      <c r="B37" s="836" t="s">
        <v>176</v>
      </c>
      <c r="C37" s="836"/>
      <c r="D37" s="836"/>
      <c r="E37" s="836"/>
      <c r="F37" s="836"/>
      <c r="G37" s="418" t="s">
        <v>748</v>
      </c>
      <c r="H37" s="477">
        <f>-H13/3.14*((LN((H36/H27)+1)-LN(((H36/(H27+H35))+1))))</f>
        <v>0</v>
      </c>
      <c r="I37" s="417"/>
      <c r="J37" s="417"/>
      <c r="K37" s="415"/>
    </row>
    <row r="38" spans="1:15" ht="13.9" customHeight="1" x14ac:dyDescent="0.2">
      <c r="A38" s="339"/>
      <c r="B38" s="416"/>
      <c r="C38" s="416"/>
      <c r="D38" s="416"/>
      <c r="E38" s="416"/>
      <c r="F38" s="416"/>
      <c r="G38" s="418"/>
      <c r="H38" s="380"/>
      <c r="I38" s="417"/>
      <c r="J38" s="417"/>
      <c r="K38" s="415"/>
      <c r="M38" s="99"/>
    </row>
    <row r="39" spans="1:15" ht="14.25" x14ac:dyDescent="0.2">
      <c r="A39" s="339"/>
      <c r="B39" s="945" t="s">
        <v>773</v>
      </c>
      <c r="C39" s="945"/>
      <c r="D39" s="945"/>
      <c r="E39" s="945"/>
      <c r="F39" s="945"/>
      <c r="G39" s="418" t="s">
        <v>336</v>
      </c>
      <c r="H39" s="477">
        <v>0.1</v>
      </c>
      <c r="I39" s="417"/>
      <c r="J39" s="417"/>
      <c r="K39" s="415"/>
    </row>
    <row r="40" spans="1:15" ht="14.25" x14ac:dyDescent="0.2">
      <c r="A40" s="339"/>
      <c r="B40" s="945" t="s">
        <v>774</v>
      </c>
      <c r="C40" s="945"/>
      <c r="D40" s="945"/>
      <c r="E40" s="945"/>
      <c r="F40" s="945"/>
      <c r="G40" s="418" t="s">
        <v>425</v>
      </c>
      <c r="H40" s="477">
        <v>3.4000000000000002E-2</v>
      </c>
      <c r="I40" s="417"/>
      <c r="J40" s="417"/>
      <c r="K40" s="415"/>
    </row>
    <row r="41" spans="1:15" ht="14.25" x14ac:dyDescent="0.2">
      <c r="A41" s="339"/>
      <c r="B41" s="945" t="s">
        <v>806</v>
      </c>
      <c r="C41" s="945"/>
      <c r="D41" s="945"/>
      <c r="E41" s="945"/>
      <c r="F41" s="945"/>
      <c r="G41" s="418" t="s">
        <v>340</v>
      </c>
      <c r="H41" s="477">
        <f>H39/(H40)</f>
        <v>2.9411764705882351</v>
      </c>
      <c r="I41" s="417"/>
      <c r="J41" s="417"/>
      <c r="K41" s="415"/>
    </row>
    <row r="42" spans="1:15" ht="14.25" x14ac:dyDescent="0.2">
      <c r="A42" s="339"/>
      <c r="B42" s="945" t="s">
        <v>807</v>
      </c>
      <c r="C42" s="945"/>
      <c r="D42" s="945"/>
      <c r="E42" s="945"/>
      <c r="F42" s="945"/>
      <c r="G42" s="418" t="s">
        <v>169</v>
      </c>
      <c r="H42" s="477">
        <f>H41-(H39/H13)</f>
        <v>2.8911764705882352</v>
      </c>
      <c r="I42" s="417"/>
      <c r="J42" s="417"/>
      <c r="K42" s="415"/>
    </row>
    <row r="43" spans="1:15" ht="14.45" customHeight="1" x14ac:dyDescent="0.2">
      <c r="A43" s="339"/>
      <c r="B43" s="945" t="s">
        <v>775</v>
      </c>
      <c r="C43" s="945"/>
      <c r="D43" s="945"/>
      <c r="E43" s="945"/>
      <c r="F43" s="945"/>
      <c r="G43" s="418" t="s">
        <v>171</v>
      </c>
      <c r="H43" s="477">
        <f>H42*H13</f>
        <v>5.7823529411764705</v>
      </c>
      <c r="I43" s="417"/>
      <c r="J43" s="417"/>
      <c r="K43" s="415"/>
      <c r="M43" s="957">
        <v>1</v>
      </c>
    </row>
    <row r="44" spans="1:15" ht="14.45" customHeight="1" x14ac:dyDescent="0.2">
      <c r="A44" s="339"/>
      <c r="B44" s="945" t="s">
        <v>776</v>
      </c>
      <c r="C44" s="945"/>
      <c r="D44" s="945"/>
      <c r="E44" s="945"/>
      <c r="F44" s="945"/>
      <c r="G44" s="418" t="s">
        <v>42</v>
      </c>
      <c r="H44" s="565">
        <v>1</v>
      </c>
      <c r="I44" s="417"/>
      <c r="J44" s="417"/>
      <c r="K44" s="415"/>
      <c r="M44" s="958"/>
    </row>
    <row r="45" spans="1:15" ht="13.9" customHeight="1" x14ac:dyDescent="0.2">
      <c r="A45" s="339"/>
      <c r="B45" s="945" t="s">
        <v>777</v>
      </c>
      <c r="C45" s="945"/>
      <c r="D45" s="945"/>
      <c r="E45" s="945"/>
      <c r="F45" s="945"/>
      <c r="G45" s="418" t="s">
        <v>747</v>
      </c>
      <c r="H45" s="477">
        <f>-H13/3.14*((LN((2*H44/H27)+1)-LN(((2*H44/(H27+H43))+1))))*M43</f>
        <v>-7.4463974487552639E-2</v>
      </c>
      <c r="I45" s="417"/>
      <c r="J45" s="417"/>
      <c r="K45" s="415"/>
      <c r="M45" s="958"/>
    </row>
    <row r="46" spans="1:15" ht="7.15" customHeight="1" x14ac:dyDescent="0.2">
      <c r="A46" s="339"/>
      <c r="B46" s="416"/>
      <c r="C46" s="416"/>
      <c r="D46" s="416"/>
      <c r="E46" s="416"/>
      <c r="F46" s="416"/>
      <c r="G46" s="418"/>
      <c r="H46" s="380"/>
      <c r="I46" s="417"/>
      <c r="J46" s="417"/>
      <c r="K46" s="415"/>
      <c r="M46" s="958"/>
    </row>
    <row r="47" spans="1:15" ht="21" x14ac:dyDescent="0.2">
      <c r="A47" s="339"/>
      <c r="B47" s="416"/>
      <c r="C47" s="416"/>
      <c r="D47" s="416"/>
      <c r="E47" s="416"/>
      <c r="F47" s="416"/>
      <c r="G47" s="699" t="s">
        <v>785</v>
      </c>
      <c r="H47" s="686">
        <f>ROUND(IF(H45&lt;H37,(H28+H45*2/H11),H28+H37*2/H11),2)</f>
        <v>0.27</v>
      </c>
      <c r="I47" s="943" t="s">
        <v>556</v>
      </c>
      <c r="J47" s="944"/>
      <c r="K47" s="415"/>
      <c r="M47" s="959"/>
      <c r="O47" s="2">
        <f>1.5+1.5+2.5+1.5+1.5</f>
        <v>8.5</v>
      </c>
    </row>
    <row r="48" spans="1:15" x14ac:dyDescent="0.2">
      <c r="A48" s="352"/>
      <c r="B48" s="424"/>
      <c r="C48" s="424"/>
      <c r="D48" s="424"/>
      <c r="E48" s="424"/>
      <c r="F48" s="424"/>
      <c r="G48" s="425"/>
      <c r="H48" s="426"/>
      <c r="I48" s="427"/>
      <c r="J48" s="427"/>
      <c r="K48" s="428"/>
    </row>
    <row r="52" spans="13:14" x14ac:dyDescent="0.2">
      <c r="M52" s="2">
        <v>9.35</v>
      </c>
      <c r="N52" s="2">
        <f>18.5+12</f>
        <v>30.5</v>
      </c>
    </row>
    <row r="53" spans="13:14" x14ac:dyDescent="0.2">
      <c r="M53" s="2">
        <f>3.17+1.05+1.76+2.1+1.26</f>
        <v>9.34</v>
      </c>
    </row>
  </sheetData>
  <mergeCells count="43">
    <mergeCell ref="G14:H14"/>
    <mergeCell ref="B15:D15"/>
    <mergeCell ref="H1:K1"/>
    <mergeCell ref="E3:J3"/>
    <mergeCell ref="A5:E6"/>
    <mergeCell ref="G5:I5"/>
    <mergeCell ref="G6:I6"/>
    <mergeCell ref="D8:F8"/>
    <mergeCell ref="B21:D21"/>
    <mergeCell ref="D9:F9"/>
    <mergeCell ref="D10:F10"/>
    <mergeCell ref="D11:F11"/>
    <mergeCell ref="B13:F13"/>
    <mergeCell ref="B16:D16"/>
    <mergeCell ref="B17:D17"/>
    <mergeCell ref="B18:D18"/>
    <mergeCell ref="B19:D19"/>
    <mergeCell ref="B20:D20"/>
    <mergeCell ref="B22:D22"/>
    <mergeCell ref="B23:G23"/>
    <mergeCell ref="M25:M28"/>
    <mergeCell ref="A26:F26"/>
    <mergeCell ref="B27:F27"/>
    <mergeCell ref="B28:F28"/>
    <mergeCell ref="I28:J28"/>
    <mergeCell ref="B41:F41"/>
    <mergeCell ref="B29:H29"/>
    <mergeCell ref="B30:F30"/>
    <mergeCell ref="B31:F31"/>
    <mergeCell ref="B32:F32"/>
    <mergeCell ref="B33:F33"/>
    <mergeCell ref="B34:F34"/>
    <mergeCell ref="B35:F35"/>
    <mergeCell ref="B36:F36"/>
    <mergeCell ref="B37:F37"/>
    <mergeCell ref="B39:F39"/>
    <mergeCell ref="B40:F40"/>
    <mergeCell ref="B42:F42"/>
    <mergeCell ref="B43:F43"/>
    <mergeCell ref="M43:M47"/>
    <mergeCell ref="B44:F44"/>
    <mergeCell ref="B45:F45"/>
    <mergeCell ref="I47:J47"/>
  </mergeCells>
  <dataValidations count="1">
    <dataValidation type="list" allowBlank="1" showInputMessage="1" showErrorMessage="1" sqref="B18:D19 B21:D21" xr:uid="{75F4FC14-E37A-46D2-BE73-23CF6D385674}">
      <formula1>$M$5:$M$22</formula1>
    </dataValidation>
  </dataValidations>
  <printOptions horizontalCentered="1"/>
  <pageMargins left="0.9055118110236221" right="0.51181102362204722" top="0.74803149606299213" bottom="0.74803149606299213" header="0.31496062992125984" footer="0.31496062992125984"/>
  <pageSetup paperSize="9" orientation="portrait" horizontalDpi="200" verticalDpi="200" r:id="rId1"/>
  <headerFooter>
    <oddFooter>&amp;C&amp;A&amp;R&amp;F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showGridLines="0" view="pageBreakPreview" zoomScaleNormal="100" zoomScaleSheetLayoutView="100" workbookViewId="0">
      <selection activeCell="T52" sqref="T52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5.7109375" style="2" customWidth="1"/>
    <col min="17" max="17" width="9.140625" style="2"/>
    <col min="18" max="18" width="19" style="2" customWidth="1"/>
    <col min="19" max="16384" width="9.140625" style="2"/>
  </cols>
  <sheetData>
    <row r="1" spans="1:21" ht="3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4.6" customHeight="1" x14ac:dyDescent="0.2">
      <c r="A3" s="354"/>
      <c r="B3" s="567"/>
      <c r="C3" s="941" t="s">
        <v>518</v>
      </c>
      <c r="D3" s="941"/>
      <c r="E3" s="941"/>
      <c r="F3" s="941"/>
      <c r="G3" s="941"/>
      <c r="H3" s="941"/>
      <c r="I3" s="941"/>
      <c r="J3" s="941"/>
      <c r="K3" s="941"/>
      <c r="L3" s="941"/>
      <c r="M3" s="941"/>
      <c r="N3" s="941"/>
      <c r="O3" s="964"/>
      <c r="P3" s="83"/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</row>
    <row r="5" spans="1:21" ht="15" x14ac:dyDescent="0.25">
      <c r="A5" s="354"/>
      <c r="B5" s="355"/>
      <c r="C5" s="341"/>
      <c r="D5" s="942" t="s">
        <v>307</v>
      </c>
      <c r="E5" s="942"/>
      <c r="F5" s="942"/>
      <c r="G5" s="942"/>
      <c r="H5" s="942"/>
      <c r="I5" s="942"/>
      <c r="J5" s="357" t="s">
        <v>308</v>
      </c>
      <c r="K5" s="930">
        <v>0.1</v>
      </c>
      <c r="L5" s="873"/>
      <c r="M5" s="396"/>
      <c r="P5" s="83"/>
    </row>
    <row r="6" spans="1:21" ht="15" x14ac:dyDescent="0.25">
      <c r="A6" s="354"/>
      <c r="B6" s="355"/>
      <c r="C6" s="341"/>
      <c r="D6" s="341"/>
      <c r="E6" s="341"/>
      <c r="F6" s="341"/>
      <c r="G6" s="341"/>
      <c r="H6" s="341"/>
      <c r="I6" s="341"/>
      <c r="J6" s="357" t="s">
        <v>309</v>
      </c>
      <c r="K6" s="843">
        <v>0.04</v>
      </c>
      <c r="L6" s="928"/>
      <c r="P6" s="83"/>
    </row>
    <row r="7" spans="1:21" ht="14.25" hidden="1" customHeight="1" x14ac:dyDescent="0.2">
      <c r="A7" s="354"/>
      <c r="B7" s="355"/>
      <c r="C7" s="341"/>
      <c r="D7" s="341"/>
      <c r="E7" s="341"/>
      <c r="F7" s="341"/>
      <c r="G7" s="341"/>
      <c r="H7" s="341"/>
      <c r="I7" s="341"/>
      <c r="J7" s="357" t="s">
        <v>310</v>
      </c>
      <c r="K7" s="930">
        <v>0</v>
      </c>
      <c r="L7" s="930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  <c r="R8" s="385" t="s">
        <v>499</v>
      </c>
      <c r="S8" s="81">
        <v>0.15</v>
      </c>
    </row>
    <row r="9" spans="1:21" ht="9.75" customHeight="1" x14ac:dyDescent="0.25">
      <c r="A9" s="354"/>
      <c r="B9" s="355"/>
      <c r="C9" s="341"/>
      <c r="D9" s="341"/>
      <c r="E9" s="341"/>
      <c r="F9" s="341"/>
      <c r="G9" s="892" t="s">
        <v>112</v>
      </c>
      <c r="H9" s="892"/>
      <c r="I9" s="892" t="s">
        <v>113</v>
      </c>
      <c r="J9" s="892"/>
      <c r="K9" s="341"/>
      <c r="L9" s="359"/>
      <c r="P9" s="83"/>
      <c r="R9" s="86" t="s">
        <v>242</v>
      </c>
      <c r="S9" s="83">
        <v>3.6999999999999998E-2</v>
      </c>
    </row>
    <row r="10" spans="1:21" ht="15" customHeight="1" x14ac:dyDescent="0.25">
      <c r="A10" s="354"/>
      <c r="B10" s="355"/>
      <c r="C10" s="882" t="s">
        <v>8</v>
      </c>
      <c r="D10" s="882"/>
      <c r="E10" s="882"/>
      <c r="F10" s="882"/>
      <c r="G10" s="880">
        <v>0.6</v>
      </c>
      <c r="H10" s="880"/>
      <c r="I10" s="880">
        <v>0.6</v>
      </c>
      <c r="J10" s="880"/>
      <c r="K10" s="341"/>
      <c r="L10" s="359"/>
      <c r="P10" s="83"/>
      <c r="R10" s="86" t="s">
        <v>262</v>
      </c>
      <c r="S10" s="83">
        <v>3.5999999999999997E-2</v>
      </c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891"/>
      <c r="G11" s="880">
        <f>G10-G12</f>
        <v>0.54999999999999993</v>
      </c>
      <c r="H11" s="880"/>
      <c r="I11" s="880">
        <f>I10-I12</f>
        <v>0.54999999999999993</v>
      </c>
      <c r="J11" s="880"/>
      <c r="K11" s="341"/>
      <c r="L11" s="359"/>
      <c r="P11" s="83"/>
      <c r="R11" s="86" t="s">
        <v>243</v>
      </c>
      <c r="S11" s="83">
        <v>3.3000000000000002E-2</v>
      </c>
    </row>
    <row r="12" spans="1:21" ht="15" x14ac:dyDescent="0.25">
      <c r="A12" s="354"/>
      <c r="B12" s="355"/>
      <c r="C12" s="891"/>
      <c r="D12" s="891"/>
      <c r="E12" s="891"/>
      <c r="F12" s="891"/>
      <c r="G12" s="880">
        <v>0.05</v>
      </c>
      <c r="H12" s="880"/>
      <c r="I12" s="880">
        <v>0.05</v>
      </c>
      <c r="J12" s="880"/>
      <c r="K12" s="341"/>
      <c r="L12" s="359"/>
      <c r="P12" s="83"/>
      <c r="R12" s="86" t="s">
        <v>424</v>
      </c>
      <c r="S12" s="83">
        <v>3.3000000000000002E-2</v>
      </c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  <c r="R13" s="86" t="s">
        <v>386</v>
      </c>
      <c r="S13" s="83">
        <v>3.5999999999999997E-2</v>
      </c>
    </row>
    <row r="14" spans="1:21" ht="14.25" customHeight="1" x14ac:dyDescent="0.2">
      <c r="A14" s="890"/>
      <c r="B14" s="891"/>
      <c r="C14" s="883"/>
      <c r="D14" s="883"/>
      <c r="E14" s="361"/>
      <c r="F14" s="361"/>
      <c r="G14" s="467" t="s">
        <v>0</v>
      </c>
      <c r="H14" s="467" t="s">
        <v>1</v>
      </c>
      <c r="I14" s="467" t="s">
        <v>2</v>
      </c>
      <c r="J14" s="467" t="s">
        <v>3</v>
      </c>
      <c r="K14" s="466"/>
      <c r="L14" s="364"/>
      <c r="M14" s="364"/>
      <c r="P14" s="83"/>
      <c r="R14" s="496" t="s">
        <v>473</v>
      </c>
      <c r="S14" s="83">
        <v>3.7999999999999999E-2</v>
      </c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888"/>
      <c r="G15" s="476">
        <f>(G11*I11)/(G10*I10)</f>
        <v>0.84027777777777768</v>
      </c>
      <c r="H15" s="476">
        <f>(G11*I12)/(G10*I10)</f>
        <v>7.6388888888888881E-2</v>
      </c>
      <c r="I15" s="476">
        <f>(G12*I11)/(G10*I10)</f>
        <v>7.6388888888888881E-2</v>
      </c>
      <c r="J15" s="476">
        <f>(G12*I12)/(G10*I10)</f>
        <v>6.9444444444444458E-3</v>
      </c>
      <c r="K15" s="457"/>
      <c r="L15" s="364"/>
      <c r="M15" s="364"/>
      <c r="P15" s="83"/>
      <c r="R15" s="86" t="s">
        <v>489</v>
      </c>
      <c r="S15" s="83">
        <v>0.15</v>
      </c>
    </row>
    <row r="16" spans="1:21" ht="14.25" customHeight="1" x14ac:dyDescent="0.2">
      <c r="A16" s="367"/>
      <c r="B16" s="368"/>
      <c r="C16" s="368"/>
      <c r="D16" s="368"/>
      <c r="E16" s="368"/>
      <c r="F16" s="368"/>
      <c r="G16" s="967" t="s">
        <v>313</v>
      </c>
      <c r="H16" s="967"/>
      <c r="I16" s="967"/>
      <c r="J16" s="967"/>
      <c r="K16" s="967" t="s">
        <v>314</v>
      </c>
      <c r="L16" s="967"/>
      <c r="M16" s="967"/>
      <c r="P16" s="83"/>
      <c r="Q16" s="443">
        <f>G15+H15</f>
        <v>0.91666666666666652</v>
      </c>
      <c r="R16" s="86" t="s">
        <v>538</v>
      </c>
      <c r="S16" s="83">
        <v>4.1000000000000002E-2</v>
      </c>
      <c r="U16" s="2">
        <v>0</v>
      </c>
    </row>
    <row r="17" spans="1:19" ht="31.9" customHeight="1" x14ac:dyDescent="0.2">
      <c r="A17" s="369"/>
      <c r="B17" s="907" t="s">
        <v>6</v>
      </c>
      <c r="C17" s="907"/>
      <c r="D17" s="470" t="s">
        <v>512</v>
      </c>
      <c r="E17" s="470" t="s">
        <v>303</v>
      </c>
      <c r="F17" s="470" t="s">
        <v>513</v>
      </c>
      <c r="G17" s="470" t="s">
        <v>317</v>
      </c>
      <c r="H17" s="470" t="s">
        <v>318</v>
      </c>
      <c r="I17" s="470" t="s">
        <v>319</v>
      </c>
      <c r="J17" s="470" t="s">
        <v>320</v>
      </c>
      <c r="K17" s="568" t="s">
        <v>4</v>
      </c>
      <c r="L17" s="470" t="s">
        <v>119</v>
      </c>
      <c r="M17" s="470" t="s">
        <v>321</v>
      </c>
      <c r="O17" s="458" t="s">
        <v>322</v>
      </c>
      <c r="P17" s="83"/>
      <c r="R17" s="86" t="s">
        <v>539</v>
      </c>
      <c r="S17" s="83">
        <v>3.6999999999999998E-2</v>
      </c>
    </row>
    <row r="18" spans="1:19" x14ac:dyDescent="0.2">
      <c r="A18" s="887"/>
      <c r="B18" s="874" t="s">
        <v>402</v>
      </c>
      <c r="C18" s="874"/>
      <c r="D18" s="474">
        <v>0.13</v>
      </c>
      <c r="E18" s="474">
        <v>0</v>
      </c>
      <c r="F18" s="474">
        <f>D18+E18</f>
        <v>0.13</v>
      </c>
      <c r="G18" s="459">
        <f>$O$18/$F$18</f>
        <v>0.26153846153846155</v>
      </c>
      <c r="H18" s="459">
        <f>$O$18/$F$18</f>
        <v>0.26153846153846155</v>
      </c>
      <c r="I18" s="459">
        <f>$O$18/$F$18</f>
        <v>0.26153846153846155</v>
      </c>
      <c r="J18" s="459">
        <f>$O$18/$F$18</f>
        <v>0.26153846153846155</v>
      </c>
      <c r="K18" s="456"/>
      <c r="L18" s="456">
        <f>F18</f>
        <v>0.13</v>
      </c>
      <c r="M18" s="459">
        <f>O18/L18</f>
        <v>0.26153846153846155</v>
      </c>
      <c r="O18" s="474">
        <v>3.4000000000000002E-2</v>
      </c>
      <c r="P18" s="83"/>
      <c r="R18" s="86" t="s">
        <v>715</v>
      </c>
      <c r="S18" s="83">
        <v>3.3000000000000002E-2</v>
      </c>
    </row>
    <row r="19" spans="1:19" hidden="1" x14ac:dyDescent="0.2">
      <c r="A19" s="887"/>
      <c r="B19" s="874" t="s">
        <v>386</v>
      </c>
      <c r="C19" s="874"/>
      <c r="D19" s="474">
        <v>3.5999999999999997E-2</v>
      </c>
      <c r="E19" s="474">
        <v>1E-3</v>
      </c>
      <c r="F19" s="474">
        <v>3.6999999999999998E-2</v>
      </c>
      <c r="G19" s="459">
        <f>$O$19/$F$19</f>
        <v>0</v>
      </c>
      <c r="H19" s="459">
        <f>$O$19/$F$19</f>
        <v>0</v>
      </c>
      <c r="I19" s="459">
        <f t="shared" ref="I19:J19" si="0">$O$19/$F$19</f>
        <v>0</v>
      </c>
      <c r="J19" s="459">
        <f t="shared" si="0"/>
        <v>0</v>
      </c>
      <c r="K19" s="456"/>
      <c r="L19" s="456">
        <f>F19</f>
        <v>3.6999999999999998E-2</v>
      </c>
      <c r="M19" s="459">
        <f>O19/L19</f>
        <v>0</v>
      </c>
      <c r="O19" s="474">
        <v>0</v>
      </c>
      <c r="P19" s="83"/>
      <c r="R19" s="86"/>
      <c r="S19" s="83"/>
    </row>
    <row r="20" spans="1:19" x14ac:dyDescent="0.2">
      <c r="A20" s="887"/>
      <c r="B20" s="874" t="s">
        <v>472</v>
      </c>
      <c r="C20" s="874"/>
      <c r="D20" s="474">
        <v>0.13</v>
      </c>
      <c r="E20" s="474">
        <v>0</v>
      </c>
      <c r="F20" s="474">
        <f t="shared" ref="F20:F30" si="1">D20+E20</f>
        <v>0.13</v>
      </c>
      <c r="G20" s="459"/>
      <c r="H20" s="459"/>
      <c r="I20" s="459">
        <f>O20/F20</f>
        <v>1.6923076923076923</v>
      </c>
      <c r="J20" s="459">
        <f>O20/F20</f>
        <v>1.6923076923076923</v>
      </c>
      <c r="K20" s="459">
        <f>(I12*G10*2)/(I10*G10*2)</f>
        <v>8.3333333333333329E-2</v>
      </c>
      <c r="L20" s="879">
        <f>ROUND((K20*F20)+(K21*F21),3)</f>
        <v>4.4999999999999998E-2</v>
      </c>
      <c r="M20" s="879">
        <f>ROUND(O20/L20,3)</f>
        <v>4.8890000000000002</v>
      </c>
      <c r="O20" s="880">
        <v>0.22</v>
      </c>
      <c r="P20" s="83"/>
      <c r="R20" s="86" t="s">
        <v>613</v>
      </c>
      <c r="S20" s="83">
        <v>3.2000000000000001E-2</v>
      </c>
    </row>
    <row r="21" spans="1:19" x14ac:dyDescent="0.2">
      <c r="A21" s="887"/>
      <c r="B21" s="874" t="s">
        <v>386</v>
      </c>
      <c r="C21" s="874"/>
      <c r="D21" s="474">
        <v>3.5999999999999997E-2</v>
      </c>
      <c r="E21" s="474">
        <v>1E-3</v>
      </c>
      <c r="F21" s="474">
        <f>D21+E21</f>
        <v>3.6999999999999998E-2</v>
      </c>
      <c r="G21" s="459">
        <f>O20/F21</f>
        <v>5.9459459459459465</v>
      </c>
      <c r="H21" s="459">
        <f>O20/F21</f>
        <v>5.9459459459459465</v>
      </c>
      <c r="I21" s="459"/>
      <c r="J21" s="459"/>
      <c r="K21" s="459">
        <f>(I11*G10*2)/(I10*G10*2)</f>
        <v>0.91666666666666663</v>
      </c>
      <c r="L21" s="879"/>
      <c r="M21" s="879"/>
      <c r="O21" s="880"/>
      <c r="P21" s="83"/>
      <c r="R21" s="86" t="s">
        <v>615</v>
      </c>
      <c r="S21" s="83">
        <v>3.1E-2</v>
      </c>
    </row>
    <row r="22" spans="1:19" hidden="1" x14ac:dyDescent="0.2">
      <c r="A22" s="887"/>
      <c r="B22" s="874" t="s">
        <v>472</v>
      </c>
      <c r="C22" s="874"/>
      <c r="D22" s="474">
        <v>0.13</v>
      </c>
      <c r="E22" s="474">
        <v>0</v>
      </c>
      <c r="F22" s="474">
        <f>D22+E22</f>
        <v>0.13</v>
      </c>
      <c r="G22" s="459"/>
      <c r="H22" s="459">
        <f>O22/F22</f>
        <v>0</v>
      </c>
      <c r="I22" s="459"/>
      <c r="J22" s="459">
        <f>$O$22/$F$22</f>
        <v>0</v>
      </c>
      <c r="K22" s="459">
        <f>(G12*G10*2)/(G10*G10*2)</f>
        <v>8.3333333333333329E-2</v>
      </c>
      <c r="L22" s="879">
        <f>ROUND((K22*F22)+(K23*F23),3)</f>
        <v>4.4999999999999998E-2</v>
      </c>
      <c r="M22" s="879">
        <f>ROUND(O22/L22,3)</f>
        <v>0</v>
      </c>
      <c r="O22" s="880">
        <v>0</v>
      </c>
      <c r="P22" s="83"/>
      <c r="R22" s="86" t="s">
        <v>712</v>
      </c>
      <c r="S22" s="83">
        <v>3.5000000000000003E-2</v>
      </c>
    </row>
    <row r="23" spans="1:19" hidden="1" x14ac:dyDescent="0.2">
      <c r="A23" s="887"/>
      <c r="B23" s="874" t="s">
        <v>627</v>
      </c>
      <c r="C23" s="874"/>
      <c r="D23" s="474">
        <v>3.5000000000000003E-2</v>
      </c>
      <c r="E23" s="474">
        <v>2E-3</v>
      </c>
      <c r="F23" s="474">
        <f>D23+E23</f>
        <v>3.7000000000000005E-2</v>
      </c>
      <c r="G23" s="459">
        <f>O22/F23</f>
        <v>0</v>
      </c>
      <c r="H23" s="459"/>
      <c r="I23" s="459">
        <f>O22/F23</f>
        <v>0</v>
      </c>
      <c r="J23" s="459"/>
      <c r="K23" s="459">
        <f>(G11*G10*2)/(G10*G10*2)</f>
        <v>0.91666666666666663</v>
      </c>
      <c r="L23" s="879"/>
      <c r="M23" s="879"/>
      <c r="O23" s="880"/>
      <c r="P23" s="83"/>
      <c r="R23" s="86" t="s">
        <v>716</v>
      </c>
      <c r="S23" s="83">
        <v>3.6999999999999998E-2</v>
      </c>
    </row>
    <row r="24" spans="1:19" x14ac:dyDescent="0.2">
      <c r="A24" s="367"/>
      <c r="B24" s="874" t="s">
        <v>386</v>
      </c>
      <c r="C24" s="874"/>
      <c r="D24" s="474">
        <v>3.5999999999999997E-2</v>
      </c>
      <c r="E24" s="474">
        <v>1E-3</v>
      </c>
      <c r="F24" s="474">
        <f>D24+E24</f>
        <v>3.6999999999999998E-2</v>
      </c>
      <c r="G24" s="459">
        <f>IF($O$24=0,0,0.016)</f>
        <v>1.6E-2</v>
      </c>
      <c r="H24" s="459">
        <f>IF($O$24=0,0,0.016)</f>
        <v>1.6E-2</v>
      </c>
      <c r="I24" s="459">
        <f>IF($O$24=0,0,0.016)</f>
        <v>1.6E-2</v>
      </c>
      <c r="J24" s="459">
        <f>IF($O$24=0,0,0.016)</f>
        <v>1.6E-2</v>
      </c>
      <c r="K24" s="459"/>
      <c r="L24" s="456">
        <f>F24</f>
        <v>3.6999999999999998E-2</v>
      </c>
      <c r="M24" s="459">
        <f>O24/L24</f>
        <v>1.3513513513513515</v>
      </c>
      <c r="O24" s="474">
        <v>0.05</v>
      </c>
      <c r="P24" s="83"/>
      <c r="R24" s="86"/>
      <c r="S24" s="83"/>
    </row>
    <row r="25" spans="1:19" x14ac:dyDescent="0.2">
      <c r="A25" s="887"/>
      <c r="B25" s="874" t="s">
        <v>600</v>
      </c>
      <c r="C25" s="874"/>
      <c r="D25" s="474">
        <v>0.15</v>
      </c>
      <c r="E25" s="474">
        <v>0</v>
      </c>
      <c r="F25" s="474">
        <f t="shared" si="1"/>
        <v>0.15</v>
      </c>
      <c r="G25" s="459">
        <f>$O$25/$D$25</f>
        <v>0.08</v>
      </c>
      <c r="H25" s="459">
        <f>$O$25/$D$25</f>
        <v>0.08</v>
      </c>
      <c r="I25" s="459">
        <f>$O$25/$D$25</f>
        <v>0.08</v>
      </c>
      <c r="J25" s="459">
        <f>$O$25/$D$25</f>
        <v>0.08</v>
      </c>
      <c r="K25" s="459"/>
      <c r="L25" s="477">
        <f>F25</f>
        <v>0.15</v>
      </c>
      <c r="M25" s="459">
        <f>O25/L25</f>
        <v>0.08</v>
      </c>
      <c r="O25" s="474">
        <v>1.2E-2</v>
      </c>
      <c r="P25" s="83"/>
      <c r="R25" s="86" t="s">
        <v>446</v>
      </c>
      <c r="S25" s="83">
        <v>0.23</v>
      </c>
    </row>
    <row r="26" spans="1:19" hidden="1" x14ac:dyDescent="0.2">
      <c r="A26" s="887"/>
      <c r="B26" s="874" t="s">
        <v>402</v>
      </c>
      <c r="C26" s="874"/>
      <c r="D26" s="474">
        <v>0.26</v>
      </c>
      <c r="E26" s="474">
        <v>0</v>
      </c>
      <c r="F26" s="474">
        <f t="shared" si="1"/>
        <v>0.26</v>
      </c>
      <c r="G26" s="459">
        <f>O26/F26</f>
        <v>0</v>
      </c>
      <c r="H26" s="459">
        <f>$O$26/$F$26</f>
        <v>0</v>
      </c>
      <c r="I26" s="459">
        <f>$O$26/$F$26</f>
        <v>0</v>
      </c>
      <c r="J26" s="459">
        <f>$O$26/$F$26</f>
        <v>0</v>
      </c>
      <c r="K26" s="456"/>
      <c r="L26" s="477">
        <f>F26</f>
        <v>0.26</v>
      </c>
      <c r="M26" s="477">
        <f>O26/L26</f>
        <v>0</v>
      </c>
      <c r="O26" s="474">
        <v>0</v>
      </c>
      <c r="P26" s="83"/>
      <c r="R26" s="86" t="s">
        <v>627</v>
      </c>
      <c r="S26" s="2">
        <v>3.5000000000000003E-2</v>
      </c>
    </row>
    <row r="27" spans="1:19" hidden="1" x14ac:dyDescent="0.2">
      <c r="A27" s="887">
        <v>5</v>
      </c>
      <c r="B27" s="874" t="s">
        <v>386</v>
      </c>
      <c r="C27" s="874"/>
      <c r="D27" s="601">
        <v>0</v>
      </c>
      <c r="E27" s="474">
        <v>0</v>
      </c>
      <c r="F27" s="474">
        <v>3.6999999999999998E-2</v>
      </c>
      <c r="G27" s="459">
        <f>$O$27/$F$27</f>
        <v>0</v>
      </c>
      <c r="H27" s="459">
        <f>$O$27/$F$27</f>
        <v>0</v>
      </c>
      <c r="I27" s="459">
        <f>$O$27/$F$27</f>
        <v>0</v>
      </c>
      <c r="J27" s="459">
        <f>$O$27/$F$27</f>
        <v>0</v>
      </c>
      <c r="K27" s="456"/>
      <c r="L27" s="456">
        <f>F27</f>
        <v>3.6999999999999998E-2</v>
      </c>
      <c r="M27" s="823">
        <f>ROUND(O27/L27,3)</f>
        <v>0</v>
      </c>
      <c r="O27" s="474">
        <v>0</v>
      </c>
      <c r="P27" s="83"/>
    </row>
    <row r="28" spans="1:19" hidden="1" x14ac:dyDescent="0.2">
      <c r="A28" s="887"/>
      <c r="B28" s="874"/>
      <c r="C28" s="874"/>
      <c r="D28" s="601">
        <v>1</v>
      </c>
      <c r="E28" s="474">
        <v>0</v>
      </c>
      <c r="F28" s="474">
        <f t="shared" si="1"/>
        <v>1</v>
      </c>
      <c r="G28" s="459">
        <f>$O$28/$F$28</f>
        <v>0</v>
      </c>
      <c r="H28" s="459">
        <f>$O$28/$F$28</f>
        <v>0</v>
      </c>
      <c r="I28" s="459">
        <f>$O$28/$F$28</f>
        <v>0</v>
      </c>
      <c r="J28" s="459">
        <f>$O$28/$F$28</f>
        <v>0</v>
      </c>
      <c r="K28" s="456"/>
      <c r="L28" s="456">
        <v>1</v>
      </c>
      <c r="M28" s="823"/>
      <c r="O28" s="601">
        <v>0</v>
      </c>
      <c r="P28" s="83"/>
    </row>
    <row r="29" spans="1:19" hidden="1" x14ac:dyDescent="0.2">
      <c r="A29" s="887">
        <v>7</v>
      </c>
      <c r="B29" s="874"/>
      <c r="C29" s="874"/>
      <c r="D29" s="601">
        <v>1</v>
      </c>
      <c r="E29" s="474">
        <v>0</v>
      </c>
      <c r="F29" s="474">
        <f t="shared" si="1"/>
        <v>1</v>
      </c>
      <c r="G29" s="459">
        <f>$O$29/$F$29</f>
        <v>0</v>
      </c>
      <c r="H29" s="459">
        <f>$O$29/$F$29</f>
        <v>0</v>
      </c>
      <c r="I29" s="459">
        <f>$O$29/$F$29</f>
        <v>0</v>
      </c>
      <c r="J29" s="459">
        <f>$O$29/$F$29</f>
        <v>0</v>
      </c>
      <c r="K29" s="456"/>
      <c r="L29" s="456">
        <v>1</v>
      </c>
      <c r="M29" s="823">
        <f>O29/L29</f>
        <v>0</v>
      </c>
      <c r="O29" s="601">
        <v>0</v>
      </c>
      <c r="P29" s="83"/>
    </row>
    <row r="30" spans="1:19" hidden="1" x14ac:dyDescent="0.2">
      <c r="A30" s="887"/>
      <c r="B30" s="874"/>
      <c r="C30" s="874"/>
      <c r="D30" s="601">
        <v>1</v>
      </c>
      <c r="E30" s="474">
        <v>0</v>
      </c>
      <c r="F30" s="474">
        <f t="shared" si="1"/>
        <v>1</v>
      </c>
      <c r="G30" s="459">
        <f>$O$30/$F$30</f>
        <v>0</v>
      </c>
      <c r="H30" s="459">
        <f>$O$30/$F$30</f>
        <v>0</v>
      </c>
      <c r="I30" s="459">
        <f>$O$30/$F$30</f>
        <v>0</v>
      </c>
      <c r="J30" s="459">
        <f>$O$30/$F$30</f>
        <v>0</v>
      </c>
      <c r="K30" s="456"/>
      <c r="L30" s="456">
        <v>1</v>
      </c>
      <c r="M30" s="823"/>
      <c r="O30" s="601">
        <v>0</v>
      </c>
      <c r="P30" s="83"/>
    </row>
    <row r="31" spans="1:19" ht="14.45" customHeight="1" x14ac:dyDescent="0.2">
      <c r="A31" s="86"/>
      <c r="F31" s="349"/>
      <c r="G31" s="488">
        <f>SUM(G18:G30)</f>
        <v>6.3034844074844081</v>
      </c>
      <c r="H31" s="488">
        <f>SUM(H18:H30)</f>
        <v>6.3034844074844081</v>
      </c>
      <c r="I31" s="488">
        <f>SUM(I18:I30)</f>
        <v>2.0498461538461537</v>
      </c>
      <c r="J31" s="488">
        <f>SUM(J18:J30)</f>
        <v>2.0498461538461537</v>
      </c>
      <c r="K31" s="895">
        <f>SUM(M18:M30)</f>
        <v>6.5818898128898136</v>
      </c>
      <c r="L31" s="896"/>
      <c r="M31" s="897"/>
      <c r="P31" s="83"/>
      <c r="R31" s="86" t="s">
        <v>402</v>
      </c>
      <c r="S31" s="2">
        <v>0.26</v>
      </c>
    </row>
    <row r="32" spans="1:19" x14ac:dyDescent="0.2">
      <c r="A32" s="86"/>
      <c r="C32" s="343"/>
      <c r="D32" s="377"/>
      <c r="E32" s="377"/>
      <c r="F32" s="377"/>
      <c r="G32" s="879">
        <f>ROUND((((G15*G31)+(H15*H31)+(I15*I31)+(J15*J31))),3)</f>
        <v>5.9489999999999998</v>
      </c>
      <c r="H32" s="879"/>
      <c r="I32" s="879"/>
      <c r="J32" s="879"/>
      <c r="K32" s="898"/>
      <c r="L32" s="899"/>
      <c r="M32" s="900"/>
      <c r="P32" s="83"/>
    </row>
    <row r="33" spans="1:18" ht="15.75" x14ac:dyDescent="0.2">
      <c r="A33" s="86"/>
      <c r="C33" s="378"/>
      <c r="D33" s="379"/>
      <c r="E33" s="377"/>
      <c r="F33" s="377"/>
      <c r="G33" s="380"/>
      <c r="H33" s="380"/>
      <c r="I33" s="380"/>
      <c r="J33" s="380"/>
      <c r="K33" s="380"/>
      <c r="L33" s="380"/>
      <c r="M33" s="380"/>
      <c r="O33" s="343" t="s">
        <v>106</v>
      </c>
      <c r="P33" s="83"/>
      <c r="R33" s="443"/>
    </row>
    <row r="34" spans="1:18" ht="15.75" x14ac:dyDescent="0.25">
      <c r="A34" s="86"/>
      <c r="O34" s="626">
        <f>SUM(O18:O30)*1000</f>
        <v>316</v>
      </c>
      <c r="P34" s="382" t="s">
        <v>120</v>
      </c>
      <c r="R34" s="682">
        <f>(K31+G32)/2</f>
        <v>6.2654449064449071</v>
      </c>
    </row>
    <row r="35" spans="1:18" x14ac:dyDescent="0.2">
      <c r="A35" s="86"/>
      <c r="P35" s="83"/>
    </row>
    <row r="36" spans="1:18" ht="21" x14ac:dyDescent="0.2">
      <c r="A36" s="86"/>
      <c r="F36" s="901" t="s">
        <v>93</v>
      </c>
      <c r="G36" s="901"/>
      <c r="H36" s="901"/>
      <c r="I36" s="875">
        <f>ROUNDDOWN(1/((G32+K31)/2+K5+K6),3)</f>
        <v>0.156</v>
      </c>
      <c r="J36" s="876"/>
      <c r="K36" s="877" t="s">
        <v>555</v>
      </c>
      <c r="L36" s="878"/>
      <c r="P36" s="83"/>
    </row>
    <row r="37" spans="1:18" x14ac:dyDescent="0.2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9"/>
    </row>
  </sheetData>
  <mergeCells count="58">
    <mergeCell ref="K7:L7"/>
    <mergeCell ref="M1:P1"/>
    <mergeCell ref="D5:I5"/>
    <mergeCell ref="K5:L5"/>
    <mergeCell ref="K6:L6"/>
    <mergeCell ref="C3:O3"/>
    <mergeCell ref="C11:F12"/>
    <mergeCell ref="G11:H11"/>
    <mergeCell ref="I11:J11"/>
    <mergeCell ref="G12:H12"/>
    <mergeCell ref="I12:J12"/>
    <mergeCell ref="G9:H9"/>
    <mergeCell ref="I9:J9"/>
    <mergeCell ref="C10:F10"/>
    <mergeCell ref="G10:H10"/>
    <mergeCell ref="I10:J10"/>
    <mergeCell ref="A13:B13"/>
    <mergeCell ref="C13:D13"/>
    <mergeCell ref="E13:F13"/>
    <mergeCell ref="G13:J13"/>
    <mergeCell ref="A14:B14"/>
    <mergeCell ref="C14:D14"/>
    <mergeCell ref="A15:F15"/>
    <mergeCell ref="G16:J16"/>
    <mergeCell ref="K16:M16"/>
    <mergeCell ref="B17:C17"/>
    <mergeCell ref="A18:A19"/>
    <mergeCell ref="B18:C18"/>
    <mergeCell ref="B19:C19"/>
    <mergeCell ref="O22:O23"/>
    <mergeCell ref="B23:C23"/>
    <mergeCell ref="A20:A21"/>
    <mergeCell ref="B20:C20"/>
    <mergeCell ref="L20:L21"/>
    <mergeCell ref="M20:M21"/>
    <mergeCell ref="O20:O21"/>
    <mergeCell ref="B21:C21"/>
    <mergeCell ref="A27:A28"/>
    <mergeCell ref="B27:C27"/>
    <mergeCell ref="M27:M28"/>
    <mergeCell ref="B28:C28"/>
    <mergeCell ref="A22:A23"/>
    <mergeCell ref="B22:C22"/>
    <mergeCell ref="L22:L23"/>
    <mergeCell ref="M22:M23"/>
    <mergeCell ref="A25:A26"/>
    <mergeCell ref="B25:C25"/>
    <mergeCell ref="B26:C26"/>
    <mergeCell ref="B24:C24"/>
    <mergeCell ref="F36:H36"/>
    <mergeCell ref="I36:J36"/>
    <mergeCell ref="K36:L36"/>
    <mergeCell ref="A29:A30"/>
    <mergeCell ref="B29:C29"/>
    <mergeCell ref="K31:M32"/>
    <mergeCell ref="M29:M30"/>
    <mergeCell ref="B30:C30"/>
    <mergeCell ref="G32:J32"/>
  </mergeCells>
  <dataValidations count="2">
    <dataValidation type="list" allowBlank="1" showInputMessage="1" showErrorMessage="1" sqref="B21:C21 B23:C23" xr:uid="{00000000-0002-0000-0200-000000000000}">
      <formula1>$R$8:$R$26</formula1>
    </dataValidation>
    <dataValidation type="list" allowBlank="1" showInputMessage="1" showErrorMessage="1" sqref="B18:C18" xr:uid="{3DFEA085-98FF-489D-B26C-0000DB378E15}">
      <formula1>$R$8:$R$32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1200" r:id="rId1"/>
  <headerFooter>
    <oddFooter>&amp;C&amp;A&amp;R&amp;F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E581-7E89-4F1A-AD8A-5720C8D15186}">
  <dimension ref="A1:R43"/>
  <sheetViews>
    <sheetView showGridLines="0" view="pageBreakPreview" topLeftCell="A2" zoomScaleNormal="100" zoomScaleSheetLayoutView="100" workbookViewId="0">
      <selection activeCell="I20" sqref="I19:J20"/>
    </sheetView>
  </sheetViews>
  <sheetFormatPr defaultColWidth="9.140625" defaultRowHeight="12.75" x14ac:dyDescent="0.2"/>
  <cols>
    <col min="1" max="1" width="4.85546875" style="2" customWidth="1"/>
    <col min="2" max="2" width="8.140625" style="2" customWidth="1"/>
    <col min="3" max="3" width="12.85546875" style="2" customWidth="1"/>
    <col min="4" max="4" width="3.5703125" style="2" customWidth="1"/>
    <col min="5" max="7" width="10.28515625" style="2" customWidth="1"/>
    <col min="8" max="8" width="9.140625" style="2" customWidth="1"/>
    <col min="9" max="9" width="1.140625" style="2" customWidth="1"/>
    <col min="10" max="10" width="8.42578125" style="2" customWidth="1"/>
    <col min="11" max="11" width="5.28515625" style="2" customWidth="1"/>
    <col min="12" max="16384" width="9.140625" style="2"/>
  </cols>
  <sheetData>
    <row r="1" spans="1:15" ht="29.25" hidden="1" customHeight="1" x14ac:dyDescent="0.2">
      <c r="A1" s="864" t="s">
        <v>217</v>
      </c>
      <c r="B1" s="865"/>
      <c r="C1" s="865"/>
      <c r="D1" s="865"/>
      <c r="E1" s="865"/>
      <c r="F1" s="865"/>
      <c r="G1" s="865"/>
      <c r="H1" s="865"/>
      <c r="I1" s="865"/>
      <c r="J1" s="865"/>
      <c r="K1" s="866"/>
      <c r="L1" s="438"/>
      <c r="M1" s="438"/>
      <c r="N1" s="438"/>
    </row>
    <row r="2" spans="1:15" ht="12.6" customHeight="1" x14ac:dyDescent="0.2"/>
    <row r="3" spans="1:15" x14ac:dyDescent="0.2">
      <c r="A3" s="385"/>
      <c r="B3" s="99"/>
      <c r="C3" s="99"/>
      <c r="D3" s="99"/>
      <c r="E3" s="99"/>
      <c r="F3" s="99"/>
      <c r="G3" s="99"/>
      <c r="H3" s="99"/>
      <c r="I3" s="99"/>
      <c r="J3" s="99"/>
      <c r="K3" s="81"/>
    </row>
    <row r="4" spans="1:15" ht="27" customHeight="1" x14ac:dyDescent="0.2">
      <c r="A4" s="386"/>
      <c r="B4" s="566"/>
      <c r="C4" s="689" t="s">
        <v>363</v>
      </c>
      <c r="D4" s="685">
        <v>2</v>
      </c>
      <c r="E4" s="979" t="s">
        <v>750</v>
      </c>
      <c r="F4" s="979"/>
      <c r="G4" s="979"/>
      <c r="H4" s="979"/>
      <c r="I4" s="979"/>
      <c r="J4" s="980"/>
      <c r="K4" s="83"/>
    </row>
    <row r="5" spans="1:15" x14ac:dyDescent="0.2">
      <c r="A5" s="354"/>
      <c r="B5" s="341"/>
      <c r="C5" s="341"/>
      <c r="D5" s="341"/>
      <c r="E5" s="341"/>
      <c r="F5" s="341"/>
      <c r="G5" s="341"/>
      <c r="H5" s="341"/>
      <c r="I5" s="341"/>
      <c r="J5" s="341"/>
      <c r="K5" s="83"/>
    </row>
    <row r="6" spans="1:15" ht="14.45" customHeight="1" x14ac:dyDescent="0.25">
      <c r="A6" s="354"/>
      <c r="B6" s="950" t="s">
        <v>804</v>
      </c>
      <c r="C6" s="950"/>
      <c r="D6" s="950"/>
      <c r="E6" s="950"/>
      <c r="F6" s="357" t="s">
        <v>308</v>
      </c>
      <c r="G6" s="981">
        <v>0.17</v>
      </c>
      <c r="H6" s="981"/>
      <c r="I6" s="981"/>
      <c r="J6" s="359"/>
      <c r="K6" s="83"/>
    </row>
    <row r="7" spans="1:15" ht="15" x14ac:dyDescent="0.25">
      <c r="A7" s="354"/>
      <c r="B7" s="950"/>
      <c r="C7" s="950"/>
      <c r="D7" s="950"/>
      <c r="E7" s="950"/>
      <c r="F7" s="357" t="s">
        <v>309</v>
      </c>
      <c r="G7" s="982">
        <v>0</v>
      </c>
      <c r="H7" s="982"/>
      <c r="I7" s="982"/>
      <c r="J7" s="359"/>
      <c r="K7" s="83"/>
      <c r="N7" s="2">
        <v>9.6</v>
      </c>
      <c r="O7" s="2">
        <v>3.55</v>
      </c>
    </row>
    <row r="8" spans="1:15" ht="6.75" customHeight="1" x14ac:dyDescent="0.2">
      <c r="A8" s="389"/>
      <c r="B8" s="390"/>
      <c r="C8" s="390"/>
      <c r="D8" s="390"/>
      <c r="E8" s="390"/>
      <c r="F8" s="390"/>
      <c r="G8" s="390"/>
      <c r="H8" s="391"/>
      <c r="I8" s="391"/>
      <c r="J8" s="391"/>
      <c r="K8" s="392"/>
      <c r="N8" s="2">
        <v>2.8</v>
      </c>
      <c r="O8" s="2">
        <v>2.8</v>
      </c>
    </row>
    <row r="9" spans="1:15" ht="25.5" x14ac:dyDescent="0.2">
      <c r="A9" s="339"/>
      <c r="B9" s="976" t="s">
        <v>6</v>
      </c>
      <c r="C9" s="976"/>
      <c r="D9" s="976"/>
      <c r="E9" s="713" t="s">
        <v>791</v>
      </c>
      <c r="F9" s="713" t="s">
        <v>790</v>
      </c>
      <c r="G9" s="713" t="s">
        <v>792</v>
      </c>
      <c r="H9" s="713" t="s">
        <v>788</v>
      </c>
      <c r="I9" s="440"/>
      <c r="J9" s="458" t="s">
        <v>789</v>
      </c>
      <c r="K9" s="83"/>
      <c r="N9" s="2">
        <v>4</v>
      </c>
      <c r="O9" s="2">
        <v>2.8</v>
      </c>
    </row>
    <row r="10" spans="1:15" x14ac:dyDescent="0.2">
      <c r="A10" s="367"/>
      <c r="B10" s="874" t="s">
        <v>223</v>
      </c>
      <c r="C10" s="874"/>
      <c r="D10" s="874"/>
      <c r="E10" s="459">
        <v>0.6</v>
      </c>
      <c r="F10" s="459">
        <v>0</v>
      </c>
      <c r="G10" s="459">
        <f>E10+F10</f>
        <v>0.6</v>
      </c>
      <c r="H10" s="456">
        <f>ROUND(J10/G10,3)</f>
        <v>1.7000000000000001E-2</v>
      </c>
      <c r="I10" s="335"/>
      <c r="J10" s="459">
        <v>0.01</v>
      </c>
      <c r="K10" s="83"/>
      <c r="N10" s="2">
        <v>1.5</v>
      </c>
      <c r="O10" s="2">
        <v>3.6</v>
      </c>
    </row>
    <row r="11" spans="1:15" hidden="1" x14ac:dyDescent="0.2">
      <c r="A11" s="367"/>
      <c r="B11" s="874" t="s">
        <v>11</v>
      </c>
      <c r="C11" s="874"/>
      <c r="D11" s="874"/>
      <c r="E11" s="459">
        <v>2</v>
      </c>
      <c r="F11" s="459">
        <v>0</v>
      </c>
      <c r="G11" s="459">
        <f>F11+E11</f>
        <v>2</v>
      </c>
      <c r="H11" s="456">
        <f>ROUND(J11/G11,3)</f>
        <v>0</v>
      </c>
      <c r="I11" s="335"/>
      <c r="J11" s="459">
        <v>0</v>
      </c>
      <c r="K11" s="83"/>
      <c r="N11" s="2">
        <v>9.6</v>
      </c>
      <c r="O11" s="2">
        <v>3.55</v>
      </c>
    </row>
    <row r="12" spans="1:15" x14ac:dyDescent="0.2">
      <c r="A12" s="367"/>
      <c r="B12" s="874" t="s">
        <v>386</v>
      </c>
      <c r="C12" s="874"/>
      <c r="D12" s="874"/>
      <c r="E12" s="459">
        <v>3.5999999999999997E-2</v>
      </c>
      <c r="F12" s="459">
        <v>2E-3</v>
      </c>
      <c r="G12" s="459">
        <f>E12+F12</f>
        <v>3.7999999999999999E-2</v>
      </c>
      <c r="H12" s="456">
        <f>ROUND(J12/G12,3)</f>
        <v>2.6320000000000001</v>
      </c>
      <c r="I12" s="335"/>
      <c r="J12" s="459">
        <v>0.1</v>
      </c>
      <c r="K12" s="83"/>
      <c r="N12" s="2">
        <v>2.8</v>
      </c>
      <c r="O12" s="2">
        <v>2.8</v>
      </c>
    </row>
    <row r="13" spans="1:15" hidden="1" x14ac:dyDescent="0.2">
      <c r="A13" s="367"/>
      <c r="B13" s="874"/>
      <c r="C13" s="874"/>
      <c r="D13" s="874"/>
      <c r="E13" s="459">
        <v>1</v>
      </c>
      <c r="F13" s="459">
        <v>0</v>
      </c>
      <c r="G13" s="459">
        <f>E13+F13</f>
        <v>1</v>
      </c>
      <c r="H13" s="456">
        <f>ROUND(J13/G13,3)</f>
        <v>0</v>
      </c>
      <c r="I13" s="335"/>
      <c r="J13" s="459"/>
      <c r="K13" s="83"/>
      <c r="N13" s="2">
        <v>1.5</v>
      </c>
      <c r="O13" s="2">
        <v>3.6</v>
      </c>
    </row>
    <row r="14" spans="1:15" x14ac:dyDescent="0.2">
      <c r="A14" s="339"/>
      <c r="B14" s="977"/>
      <c r="C14" s="977"/>
      <c r="D14" s="977"/>
      <c r="E14" s="977"/>
      <c r="F14" s="977"/>
      <c r="G14" s="977"/>
      <c r="H14" s="335"/>
      <c r="I14" s="335"/>
      <c r="J14" s="343" t="s">
        <v>106</v>
      </c>
      <c r="K14" s="83"/>
      <c r="N14" s="2">
        <v>9.6</v>
      </c>
      <c r="O14" s="2">
        <v>3.55</v>
      </c>
    </row>
    <row r="15" spans="1:15" ht="15" x14ac:dyDescent="0.2">
      <c r="A15" s="339"/>
      <c r="B15" s="411"/>
      <c r="C15" s="411"/>
      <c r="D15" s="411"/>
      <c r="E15" s="411"/>
      <c r="F15" s="411"/>
      <c r="G15" s="411"/>
      <c r="H15" s="335"/>
      <c r="I15" s="335"/>
      <c r="J15" s="462">
        <f>ROUND(SUM(J10:J13)*1000,0)</f>
        <v>110</v>
      </c>
      <c r="K15" s="700" t="s">
        <v>120</v>
      </c>
      <c r="N15" s="2">
        <v>2.8</v>
      </c>
      <c r="O15" s="2">
        <v>2.8</v>
      </c>
    </row>
    <row r="16" spans="1:15" ht="15.75" x14ac:dyDescent="0.2">
      <c r="A16" s="975" t="s">
        <v>805</v>
      </c>
      <c r="B16" s="945"/>
      <c r="C16" s="945"/>
      <c r="D16" s="945"/>
      <c r="E16" s="945"/>
      <c r="F16" s="945"/>
      <c r="G16" s="412" t="s">
        <v>737</v>
      </c>
      <c r="H16" s="462">
        <f>SUM(H10:H15)</f>
        <v>2.649</v>
      </c>
      <c r="I16" s="335"/>
      <c r="J16" s="442"/>
      <c r="K16" s="83"/>
      <c r="N16" s="2">
        <v>4</v>
      </c>
      <c r="O16" s="2">
        <v>2.8</v>
      </c>
    </row>
    <row r="17" spans="1:18" ht="3.6" customHeight="1" x14ac:dyDescent="0.25">
      <c r="A17" s="446"/>
      <c r="B17" s="448"/>
      <c r="C17" s="448"/>
      <c r="D17" s="448"/>
      <c r="E17" s="448"/>
      <c r="F17" s="448"/>
      <c r="G17" s="448"/>
      <c r="H17" s="461"/>
      <c r="I17" s="335"/>
      <c r="K17" s="83"/>
      <c r="N17" s="2">
        <v>1.5</v>
      </c>
      <c r="O17" s="2">
        <v>3.6</v>
      </c>
    </row>
    <row r="18" spans="1:18" ht="15" x14ac:dyDescent="0.25">
      <c r="A18" s="449"/>
      <c r="B18" s="450"/>
      <c r="C18" s="450"/>
      <c r="D18" s="947" t="s">
        <v>755</v>
      </c>
      <c r="E18" s="947"/>
      <c r="F18" s="947"/>
      <c r="G18" s="405" t="s">
        <v>739</v>
      </c>
      <c r="H18" s="628">
        <v>0.52</v>
      </c>
      <c r="I18" s="391"/>
      <c r="J18" s="391"/>
      <c r="K18" s="392"/>
    </row>
    <row r="19" spans="1:18" ht="14.45" customHeight="1" x14ac:dyDescent="0.25">
      <c r="A19" s="978" t="s">
        <v>778</v>
      </c>
      <c r="B19" s="947"/>
      <c r="C19" s="947"/>
      <c r="D19" s="947"/>
      <c r="E19" s="947"/>
      <c r="F19" s="947"/>
      <c r="G19" s="405" t="s">
        <v>191</v>
      </c>
      <c r="H19" s="629">
        <v>1.2</v>
      </c>
      <c r="I19" s="391"/>
      <c r="J19" s="391"/>
      <c r="K19" s="392"/>
    </row>
    <row r="20" spans="1:18" ht="15" x14ac:dyDescent="0.2">
      <c r="A20" s="451"/>
      <c r="B20" s="395"/>
      <c r="C20" s="395"/>
      <c r="D20" s="946" t="s">
        <v>757</v>
      </c>
      <c r="E20" s="946"/>
      <c r="F20" s="946"/>
      <c r="G20" s="478" t="s">
        <v>9</v>
      </c>
      <c r="H20" s="630">
        <f>'5.lapa'!E169</f>
        <v>0</v>
      </c>
      <c r="I20" s="396"/>
      <c r="K20" s="83"/>
    </row>
    <row r="21" spans="1:18" ht="15" x14ac:dyDescent="0.25">
      <c r="A21" s="451"/>
      <c r="B21" s="398"/>
      <c r="C21" s="395"/>
      <c r="D21" s="946" t="s">
        <v>758</v>
      </c>
      <c r="E21" s="946"/>
      <c r="F21" s="946"/>
      <c r="G21" s="398" t="s">
        <v>129</v>
      </c>
      <c r="H21" s="463">
        <f>(9.62+9.62+6.2+11.9)*2</f>
        <v>74.679999999999993</v>
      </c>
      <c r="I21" s="399"/>
      <c r="K21" s="83"/>
    </row>
    <row r="22" spans="1:18" ht="15" x14ac:dyDescent="0.25">
      <c r="A22" s="451"/>
      <c r="B22" s="398"/>
      <c r="C22" s="400"/>
      <c r="D22" s="948" t="s">
        <v>759</v>
      </c>
      <c r="E22" s="948"/>
      <c r="F22" s="948"/>
      <c r="G22" s="398" t="s">
        <v>77</v>
      </c>
      <c r="H22" s="463">
        <f>ROUND(H20/(0.5*H21),2)</f>
        <v>0</v>
      </c>
      <c r="I22" s="399"/>
      <c r="K22" s="83"/>
    </row>
    <row r="23" spans="1:18" ht="4.9000000000000004" customHeight="1" x14ac:dyDescent="0.25">
      <c r="A23" s="394"/>
      <c r="B23" s="399"/>
      <c r="C23" s="335"/>
      <c r="D23" s="399"/>
      <c r="E23" s="399"/>
      <c r="F23" s="399"/>
      <c r="G23" s="404"/>
      <c r="H23" s="359"/>
      <c r="K23" s="83"/>
    </row>
    <row r="24" spans="1:18" ht="15" x14ac:dyDescent="0.2">
      <c r="A24" s="451"/>
      <c r="B24" s="946" t="s">
        <v>760</v>
      </c>
      <c r="C24" s="946"/>
      <c r="D24" s="946"/>
      <c r="E24" s="946"/>
      <c r="F24" s="946"/>
      <c r="G24" s="412" t="s">
        <v>738</v>
      </c>
      <c r="H24" s="491">
        <v>2</v>
      </c>
      <c r="I24" s="403"/>
      <c r="K24" s="83"/>
    </row>
    <row r="25" spans="1:18" ht="4.9000000000000004" customHeight="1" x14ac:dyDescent="0.2">
      <c r="A25" s="451"/>
      <c r="B25" s="439"/>
      <c r="C25" s="439"/>
      <c r="D25" s="439"/>
      <c r="E25" s="439"/>
      <c r="F25" s="439"/>
      <c r="G25" s="412"/>
      <c r="H25" s="464"/>
      <c r="I25" s="403"/>
      <c r="K25" s="83"/>
    </row>
    <row r="26" spans="1:18" ht="15" x14ac:dyDescent="0.2">
      <c r="A26" s="446"/>
      <c r="B26" s="948" t="s">
        <v>779</v>
      </c>
      <c r="C26" s="948"/>
      <c r="D26" s="948"/>
      <c r="E26" s="948"/>
      <c r="F26" s="948"/>
      <c r="G26" s="412" t="s">
        <v>741</v>
      </c>
      <c r="H26" s="493">
        <f>ROUND(H18+(H24*(H16+G6+G7)),3)</f>
        <v>6.1580000000000004</v>
      </c>
      <c r="I26" s="335"/>
      <c r="K26" s="83"/>
    </row>
    <row r="27" spans="1:18" ht="15" x14ac:dyDescent="0.2">
      <c r="A27" s="975" t="s">
        <v>780</v>
      </c>
      <c r="B27" s="945"/>
      <c r="C27" s="945"/>
      <c r="D27" s="945"/>
      <c r="E27" s="945"/>
      <c r="F27" s="945"/>
      <c r="G27" s="412" t="s">
        <v>742</v>
      </c>
      <c r="H27" s="493">
        <f>ROUND(IF((H26+(0.5*H19))&lt;H22,((2*H24)/((3.14*H22)+H26+(0.5*H19)))*LN((3.14*H22)/((H26+(0.5*H19))+1)),(H24/(0.457*H22+H26+0.5*H19))),3)*L27</f>
        <v>0.29599999999999999</v>
      </c>
      <c r="I27" s="335"/>
      <c r="K27" s="83"/>
      <c r="L27" s="542">
        <v>1</v>
      </c>
    </row>
    <row r="28" spans="1:18" ht="6" customHeight="1" x14ac:dyDescent="0.2">
      <c r="A28" s="445"/>
      <c r="B28" s="368"/>
      <c r="C28" s="368"/>
      <c r="D28" s="368"/>
      <c r="E28" s="368"/>
      <c r="F28" s="368"/>
      <c r="G28" s="441"/>
      <c r="H28" s="457"/>
      <c r="I28" s="417"/>
      <c r="J28" s="417"/>
      <c r="K28" s="415"/>
    </row>
    <row r="29" spans="1:18" ht="3" customHeight="1" x14ac:dyDescent="0.2">
      <c r="A29" s="445"/>
      <c r="B29" s="368"/>
      <c r="C29" s="368"/>
      <c r="D29" s="368"/>
      <c r="E29" s="368"/>
      <c r="F29" s="368"/>
      <c r="G29" s="441"/>
      <c r="H29" s="380"/>
      <c r="I29" s="417"/>
      <c r="J29" s="417"/>
      <c r="K29" s="415"/>
    </row>
    <row r="30" spans="1:18" ht="25.5" x14ac:dyDescent="0.2">
      <c r="A30" s="339"/>
      <c r="B30" s="976" t="s">
        <v>6</v>
      </c>
      <c r="C30" s="976"/>
      <c r="D30" s="976"/>
      <c r="E30" s="713" t="s">
        <v>786</v>
      </c>
      <c r="F30" s="470" t="s">
        <v>790</v>
      </c>
      <c r="G30" s="470" t="s">
        <v>787</v>
      </c>
      <c r="H30" s="470" t="s">
        <v>788</v>
      </c>
      <c r="I30" s="440"/>
      <c r="J30" s="458" t="s">
        <v>789</v>
      </c>
      <c r="K30" s="83"/>
    </row>
    <row r="31" spans="1:18" x14ac:dyDescent="0.2">
      <c r="A31" s="367"/>
      <c r="B31" s="874" t="s">
        <v>402</v>
      </c>
      <c r="C31" s="874"/>
      <c r="D31" s="874"/>
      <c r="E31" s="465">
        <v>0.6</v>
      </c>
      <c r="F31" s="459">
        <v>0</v>
      </c>
      <c r="G31" s="459">
        <f t="shared" ref="G31:G36" si="0">E31+F31</f>
        <v>0.6</v>
      </c>
      <c r="H31" s="456">
        <f t="shared" ref="H31:H36" si="1">ROUND(J31/G31,3)</f>
        <v>1.7000000000000001E-2</v>
      </c>
      <c r="I31" s="335"/>
      <c r="J31" s="459">
        <v>0.01</v>
      </c>
      <c r="K31" s="83"/>
      <c r="R31" s="433"/>
    </row>
    <row r="32" spans="1:18" hidden="1" x14ac:dyDescent="0.2">
      <c r="A32" s="367"/>
      <c r="B32" s="874" t="s">
        <v>386</v>
      </c>
      <c r="C32" s="874"/>
      <c r="D32" s="874"/>
      <c r="E32" s="459">
        <v>3.5999999999999997E-2</v>
      </c>
      <c r="F32" s="459">
        <v>1E-3</v>
      </c>
      <c r="G32" s="459">
        <f>E32+F32</f>
        <v>3.6999999999999998E-2</v>
      </c>
      <c r="H32" s="456">
        <f t="shared" si="1"/>
        <v>0</v>
      </c>
      <c r="I32" s="335"/>
      <c r="J32" s="459">
        <v>0</v>
      </c>
      <c r="K32" s="407"/>
    </row>
    <row r="33" spans="1:14" x14ac:dyDescent="0.2">
      <c r="A33" s="367"/>
      <c r="B33" s="874" t="s">
        <v>404</v>
      </c>
      <c r="C33" s="874"/>
      <c r="D33" s="874"/>
      <c r="E33" s="465">
        <v>0.64</v>
      </c>
      <c r="F33" s="459">
        <v>0</v>
      </c>
      <c r="G33" s="459">
        <f t="shared" si="0"/>
        <v>0.64</v>
      </c>
      <c r="H33" s="465">
        <f t="shared" si="1"/>
        <v>0.79700000000000004</v>
      </c>
      <c r="I33" s="335"/>
      <c r="J33" s="459">
        <v>0.51</v>
      </c>
      <c r="K33" s="83"/>
      <c r="L33" s="377"/>
    </row>
    <row r="34" spans="1:14" ht="13.15" hidden="1" customHeight="1" x14ac:dyDescent="0.2">
      <c r="A34" s="367"/>
      <c r="B34" s="874" t="s">
        <v>11</v>
      </c>
      <c r="C34" s="874"/>
      <c r="D34" s="874"/>
      <c r="E34" s="465">
        <v>2</v>
      </c>
      <c r="F34" s="459">
        <v>0</v>
      </c>
      <c r="G34" s="459">
        <f t="shared" si="0"/>
        <v>2</v>
      </c>
      <c r="H34" s="456">
        <f t="shared" si="1"/>
        <v>0</v>
      </c>
      <c r="I34" s="335"/>
      <c r="J34" s="459"/>
      <c r="K34" s="83"/>
    </row>
    <row r="35" spans="1:14" ht="13.15" hidden="1" customHeight="1" x14ac:dyDescent="0.2">
      <c r="A35" s="367"/>
      <c r="B35" s="874"/>
      <c r="C35" s="874"/>
      <c r="D35" s="874"/>
      <c r="E35" s="455">
        <v>1</v>
      </c>
      <c r="F35" s="460">
        <v>0</v>
      </c>
      <c r="G35" s="460">
        <f t="shared" si="0"/>
        <v>1</v>
      </c>
      <c r="H35" s="456">
        <f t="shared" si="1"/>
        <v>0</v>
      </c>
      <c r="I35" s="335"/>
      <c r="J35" s="459"/>
      <c r="K35" s="83"/>
    </row>
    <row r="36" spans="1:14" ht="13.15" hidden="1" customHeight="1" x14ac:dyDescent="0.2">
      <c r="A36" s="367"/>
      <c r="B36" s="874"/>
      <c r="C36" s="874"/>
      <c r="D36" s="874"/>
      <c r="E36" s="455">
        <v>1</v>
      </c>
      <c r="F36" s="460">
        <v>0</v>
      </c>
      <c r="G36" s="460">
        <f t="shared" si="0"/>
        <v>1</v>
      </c>
      <c r="H36" s="456">
        <f t="shared" si="1"/>
        <v>0</v>
      </c>
      <c r="I36" s="335"/>
      <c r="J36" s="459"/>
      <c r="K36" s="83"/>
    </row>
    <row r="37" spans="1:14" ht="13.15" customHeight="1" thickBot="1" x14ac:dyDescent="0.25">
      <c r="A37" s="339"/>
      <c r="B37" s="977"/>
      <c r="C37" s="977"/>
      <c r="D37" s="977"/>
      <c r="E37" s="977"/>
      <c r="F37" s="977"/>
      <c r="G37" s="977"/>
      <c r="H37" s="335"/>
      <c r="I37" s="335"/>
      <c r="J37" s="343"/>
      <c r="K37" s="83"/>
    </row>
    <row r="38" spans="1:14" ht="13.15" customHeight="1" x14ac:dyDescent="0.2">
      <c r="A38" s="975" t="s">
        <v>781</v>
      </c>
      <c r="B38" s="945"/>
      <c r="C38" s="945"/>
      <c r="D38" s="945"/>
      <c r="E38" s="945"/>
      <c r="F38" s="945"/>
      <c r="G38" s="412" t="s">
        <v>740</v>
      </c>
      <c r="H38" s="462">
        <f>SUM(H31:H37)</f>
        <v>0.81400000000000006</v>
      </c>
      <c r="I38" s="335"/>
      <c r="J38" s="442"/>
      <c r="K38" s="83"/>
      <c r="M38" s="968">
        <v>1</v>
      </c>
      <c r="N38" s="969"/>
    </row>
    <row r="39" spans="1:14" ht="15" x14ac:dyDescent="0.2">
      <c r="A39" s="446"/>
      <c r="B39" s="948" t="s">
        <v>782</v>
      </c>
      <c r="C39" s="948"/>
      <c r="D39" s="948"/>
      <c r="E39" s="948"/>
      <c r="F39" s="948"/>
      <c r="G39" s="412" t="s">
        <v>744</v>
      </c>
      <c r="H39" s="462">
        <f>H24*(0.13+0.04+H38)</f>
        <v>1.9680000000000002</v>
      </c>
      <c r="I39" s="335"/>
      <c r="K39" s="83"/>
      <c r="M39" s="970"/>
      <c r="N39" s="971"/>
    </row>
    <row r="40" spans="1:14" ht="15" x14ac:dyDescent="0.2">
      <c r="A40" s="446"/>
      <c r="B40" s="945" t="s">
        <v>783</v>
      </c>
      <c r="C40" s="945"/>
      <c r="D40" s="945"/>
      <c r="E40" s="945"/>
      <c r="F40" s="945"/>
      <c r="G40" s="412" t="s">
        <v>743</v>
      </c>
      <c r="H40" s="493">
        <f>ROUND(IF(H39&gt;=H26,((2*H24)/(3.14*H19))*(1+(0.5*H26)/(H26+H19))*LN(H19/H39+1),(2*H24)/(3.14*H19)*(1+(0.5*H39)/(H39+H19))*LN(H19/H39+1)),3)</f>
        <v>0.66200000000000003</v>
      </c>
      <c r="I40" s="335"/>
      <c r="K40" s="83"/>
      <c r="L40" s="580">
        <v>1</v>
      </c>
      <c r="M40" s="970"/>
      <c r="N40" s="971"/>
    </row>
    <row r="41" spans="1:14" ht="13.15" customHeight="1" x14ac:dyDescent="0.2">
      <c r="A41" s="339"/>
      <c r="B41" s="416"/>
      <c r="C41" s="416"/>
      <c r="D41" s="416"/>
      <c r="E41" s="416"/>
      <c r="F41" s="416"/>
      <c r="G41" s="418"/>
      <c r="H41" s="380"/>
      <c r="I41" s="417"/>
      <c r="J41" s="417"/>
      <c r="K41" s="415"/>
      <c r="M41" s="970"/>
      <c r="N41" s="971"/>
    </row>
    <row r="42" spans="1:14" ht="21.75" thickBot="1" x14ac:dyDescent="0.25">
      <c r="A42" s="339"/>
      <c r="B42" s="416"/>
      <c r="C42" s="416"/>
      <c r="D42" s="416"/>
      <c r="E42" s="416"/>
      <c r="F42" s="416"/>
      <c r="G42" s="698" t="s">
        <v>784</v>
      </c>
      <c r="H42" s="687">
        <f>ROUND(((H20*H27)+(H19*H21*H40))/(H20+(H19*H21)),2)*M38</f>
        <v>0.66</v>
      </c>
      <c r="I42" s="974" t="s">
        <v>342</v>
      </c>
      <c r="J42" s="952"/>
      <c r="K42" s="415"/>
      <c r="M42" s="972"/>
      <c r="N42" s="973"/>
    </row>
    <row r="43" spans="1:14" x14ac:dyDescent="0.2">
      <c r="A43" s="352"/>
      <c r="B43" s="424"/>
      <c r="C43" s="424"/>
      <c r="D43" s="424"/>
      <c r="E43" s="424"/>
      <c r="F43" s="424"/>
      <c r="G43" s="425"/>
      <c r="H43" s="426"/>
      <c r="I43" s="427"/>
      <c r="J43" s="427"/>
      <c r="K43" s="428"/>
    </row>
  </sheetData>
  <mergeCells count="33">
    <mergeCell ref="B9:D9"/>
    <mergeCell ref="A1:K1"/>
    <mergeCell ref="E4:J4"/>
    <mergeCell ref="B6:E7"/>
    <mergeCell ref="G6:I6"/>
    <mergeCell ref="G7:I7"/>
    <mergeCell ref="B24:F24"/>
    <mergeCell ref="B10:D10"/>
    <mergeCell ref="B11:D11"/>
    <mergeCell ref="B12:D12"/>
    <mergeCell ref="B13:D13"/>
    <mergeCell ref="B14:G14"/>
    <mergeCell ref="A16:F16"/>
    <mergeCell ref="D18:F18"/>
    <mergeCell ref="A19:F19"/>
    <mergeCell ref="D20:F20"/>
    <mergeCell ref="D21:F21"/>
    <mergeCell ref="D22:F22"/>
    <mergeCell ref="M38:N42"/>
    <mergeCell ref="B39:F39"/>
    <mergeCell ref="B40:F40"/>
    <mergeCell ref="I42:J42"/>
    <mergeCell ref="B26:F26"/>
    <mergeCell ref="A27:F27"/>
    <mergeCell ref="B30:D30"/>
    <mergeCell ref="B31:D31"/>
    <mergeCell ref="B32:D32"/>
    <mergeCell ref="B33:D33"/>
    <mergeCell ref="B34:D34"/>
    <mergeCell ref="B35:D35"/>
    <mergeCell ref="B36:D36"/>
    <mergeCell ref="B37:G37"/>
    <mergeCell ref="A38:F38"/>
  </mergeCells>
  <pageMargins left="0.9055118110236221" right="0.70866141732283472" top="0.74803149606299213" bottom="0.74803149606299213" header="0.31496062992125984" footer="0.31496062992125984"/>
  <pageSetup paperSize="9" orientation="portrait" r:id="rId1"/>
  <headerFooter>
    <oddFooter>&amp;C&amp;A&amp;R&amp;[File)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1B4-0389-4A95-9FC1-DAA385E9C352}">
  <dimension ref="A1:P61"/>
  <sheetViews>
    <sheetView showGridLines="0" view="pageBreakPreview" topLeftCell="A2" zoomScaleNormal="100" zoomScaleSheetLayoutView="100" workbookViewId="0">
      <selection activeCell="O48" sqref="O48"/>
    </sheetView>
  </sheetViews>
  <sheetFormatPr defaultColWidth="9.140625" defaultRowHeight="12.75" x14ac:dyDescent="0.2"/>
  <cols>
    <col min="1" max="1" width="5" style="2" customWidth="1"/>
    <col min="2" max="2" width="8.140625" style="2" customWidth="1"/>
    <col min="3" max="3" width="10.7109375" style="2" customWidth="1"/>
    <col min="4" max="4" width="8.5703125" style="2" customWidth="1"/>
    <col min="5" max="7" width="9.7109375" style="2" customWidth="1"/>
    <col min="8" max="8" width="10.42578125" style="2" customWidth="1"/>
    <col min="9" max="9" width="0.85546875" style="2" customWidth="1"/>
    <col min="10" max="10" width="8.140625" style="2" customWidth="1"/>
    <col min="11" max="11" width="3.42578125" style="2" customWidth="1"/>
    <col min="12" max="16384" width="9.140625" style="2"/>
  </cols>
  <sheetData>
    <row r="1" spans="1:14" ht="29.25" hidden="1" customHeight="1" x14ac:dyDescent="0.2">
      <c r="A1" s="864" t="s">
        <v>217</v>
      </c>
      <c r="B1" s="865"/>
      <c r="C1" s="865"/>
      <c r="D1" s="865"/>
      <c r="E1" s="865"/>
      <c r="F1" s="865"/>
      <c r="G1" s="865"/>
      <c r="H1" s="865"/>
      <c r="I1" s="865"/>
      <c r="J1" s="865"/>
      <c r="K1" s="866"/>
      <c r="L1" s="438"/>
      <c r="M1" s="438"/>
      <c r="N1" s="438"/>
    </row>
    <row r="3" spans="1:14" x14ac:dyDescent="0.2">
      <c r="A3" s="385"/>
      <c r="B3" s="99"/>
      <c r="C3" s="99"/>
      <c r="D3" s="99"/>
      <c r="E3" s="99"/>
      <c r="F3" s="99"/>
      <c r="G3" s="99"/>
      <c r="H3" s="99"/>
      <c r="I3" s="99"/>
      <c r="J3" s="99"/>
      <c r="K3" s="81"/>
    </row>
    <row r="4" spans="1:14" ht="30" customHeight="1" x14ac:dyDescent="0.2">
      <c r="A4" s="386"/>
      <c r="B4" s="566"/>
      <c r="C4" s="689" t="s">
        <v>363</v>
      </c>
      <c r="D4" s="685">
        <v>1</v>
      </c>
      <c r="E4" s="979" t="s">
        <v>751</v>
      </c>
      <c r="F4" s="979"/>
      <c r="G4" s="979"/>
      <c r="H4" s="979"/>
      <c r="I4" s="979"/>
      <c r="J4" s="980"/>
      <c r="K4" s="83"/>
    </row>
    <row r="5" spans="1:14" x14ac:dyDescent="0.2">
      <c r="A5" s="354"/>
      <c r="B5" s="341"/>
      <c r="C5" s="341"/>
      <c r="D5" s="341"/>
      <c r="E5" s="341"/>
      <c r="F5" s="341"/>
      <c r="G5" s="341"/>
      <c r="H5" s="341"/>
      <c r="I5" s="341"/>
      <c r="J5" s="341"/>
      <c r="K5" s="83"/>
    </row>
    <row r="6" spans="1:14" ht="15" customHeight="1" x14ac:dyDescent="0.25">
      <c r="A6" s="354"/>
      <c r="B6" s="950" t="s">
        <v>804</v>
      </c>
      <c r="C6" s="950"/>
      <c r="D6" s="950"/>
      <c r="E6" s="950"/>
      <c r="F6" s="341" t="s">
        <v>300</v>
      </c>
      <c r="G6" s="843">
        <v>0.17</v>
      </c>
      <c r="H6" s="843"/>
      <c r="I6" s="843"/>
      <c r="J6" s="359"/>
      <c r="K6" s="83"/>
    </row>
    <row r="7" spans="1:14" ht="15" x14ac:dyDescent="0.25">
      <c r="A7" s="354"/>
      <c r="B7" s="950"/>
      <c r="C7" s="950"/>
      <c r="D7" s="950"/>
      <c r="E7" s="950"/>
      <c r="F7" s="341" t="s">
        <v>301</v>
      </c>
      <c r="G7" s="843">
        <v>0.04</v>
      </c>
      <c r="H7" s="843"/>
      <c r="I7" s="843"/>
      <c r="J7" s="359"/>
      <c r="K7" s="83"/>
    </row>
    <row r="8" spans="1:14" x14ac:dyDescent="0.2">
      <c r="A8" s="389"/>
      <c r="B8" s="390"/>
      <c r="C8" s="390"/>
      <c r="D8" s="390"/>
      <c r="E8" s="390"/>
      <c r="F8" s="390"/>
      <c r="G8" s="390"/>
      <c r="H8" s="391"/>
      <c r="I8" s="391"/>
      <c r="J8" s="391"/>
      <c r="K8" s="392"/>
    </row>
    <row r="9" spans="1:14" ht="26.25" x14ac:dyDescent="0.25">
      <c r="A9" s="339"/>
      <c r="B9" s="976" t="s">
        <v>6</v>
      </c>
      <c r="C9" s="976"/>
      <c r="D9" s="976"/>
      <c r="E9" s="458" t="s">
        <v>793</v>
      </c>
      <c r="F9" s="458" t="s">
        <v>794</v>
      </c>
      <c r="G9" s="458" t="s">
        <v>795</v>
      </c>
      <c r="H9" s="458" t="s">
        <v>796</v>
      </c>
      <c r="I9" s="440"/>
      <c r="J9" s="458" t="s">
        <v>789</v>
      </c>
      <c r="K9" s="83"/>
    </row>
    <row r="10" spans="1:14" x14ac:dyDescent="0.2">
      <c r="A10" s="367"/>
      <c r="B10" s="874" t="s">
        <v>223</v>
      </c>
      <c r="C10" s="874"/>
      <c r="D10" s="874"/>
      <c r="E10" s="459">
        <v>0.13</v>
      </c>
      <c r="F10" s="459">
        <v>0</v>
      </c>
      <c r="G10" s="459">
        <f t="shared" ref="G10:G16" si="0">E10+F10</f>
        <v>0.13</v>
      </c>
      <c r="H10" s="456">
        <f>ROUND(J10/G10,3)</f>
        <v>0.154</v>
      </c>
      <c r="I10" s="335"/>
      <c r="J10" s="459">
        <v>0.02</v>
      </c>
      <c r="K10" s="83"/>
    </row>
    <row r="11" spans="1:14" hidden="1" x14ac:dyDescent="0.2">
      <c r="A11" s="367"/>
      <c r="B11" s="874" t="s">
        <v>150</v>
      </c>
      <c r="C11" s="874"/>
      <c r="D11" s="874"/>
      <c r="E11" s="459">
        <v>0.09</v>
      </c>
      <c r="F11" s="459">
        <v>0</v>
      </c>
      <c r="G11" s="459">
        <f t="shared" si="0"/>
        <v>0.09</v>
      </c>
      <c r="H11" s="456">
        <f t="shared" ref="H11:H16" si="1">ROUND(J11/G11,3)</f>
        <v>0</v>
      </c>
      <c r="I11" s="335"/>
      <c r="J11" s="459">
        <v>0</v>
      </c>
      <c r="K11" s="407"/>
    </row>
    <row r="12" spans="1:14" x14ac:dyDescent="0.2">
      <c r="A12" s="367"/>
      <c r="B12" s="874" t="s">
        <v>386</v>
      </c>
      <c r="C12" s="874"/>
      <c r="D12" s="874"/>
      <c r="E12" s="459">
        <v>3.4000000000000002E-2</v>
      </c>
      <c r="F12" s="459">
        <v>2E-3</v>
      </c>
      <c r="G12" s="459">
        <f t="shared" si="0"/>
        <v>3.6000000000000004E-2</v>
      </c>
      <c r="H12" s="456">
        <f t="shared" si="1"/>
        <v>4.1669999999999998</v>
      </c>
      <c r="I12" s="335"/>
      <c r="J12" s="459">
        <v>0.15</v>
      </c>
      <c r="K12" s="83"/>
    </row>
    <row r="13" spans="1:14" hidden="1" x14ac:dyDescent="0.2">
      <c r="A13" s="367"/>
      <c r="B13" s="874" t="s">
        <v>386</v>
      </c>
      <c r="C13" s="874"/>
      <c r="D13" s="874"/>
      <c r="E13" s="459">
        <v>3.6999999999999998E-2</v>
      </c>
      <c r="F13" s="459">
        <v>1E-3</v>
      </c>
      <c r="G13" s="459">
        <f t="shared" si="0"/>
        <v>3.7999999999999999E-2</v>
      </c>
      <c r="H13" s="456">
        <f t="shared" si="1"/>
        <v>0</v>
      </c>
      <c r="I13" s="335"/>
      <c r="J13" s="459">
        <v>0</v>
      </c>
      <c r="K13" s="83"/>
    </row>
    <row r="14" spans="1:14" hidden="1" x14ac:dyDescent="0.2">
      <c r="A14" s="367"/>
      <c r="B14" s="874" t="s">
        <v>202</v>
      </c>
      <c r="C14" s="874"/>
      <c r="D14" s="874"/>
      <c r="E14" s="459">
        <v>2</v>
      </c>
      <c r="F14" s="459">
        <v>0</v>
      </c>
      <c r="G14" s="459">
        <f t="shared" si="0"/>
        <v>2</v>
      </c>
      <c r="H14" s="456">
        <f t="shared" si="1"/>
        <v>0</v>
      </c>
      <c r="I14" s="335"/>
      <c r="J14" s="459">
        <v>0</v>
      </c>
      <c r="K14" s="83"/>
    </row>
    <row r="15" spans="1:14" ht="13.9" hidden="1" customHeight="1" x14ac:dyDescent="0.2">
      <c r="A15" s="367">
        <v>6</v>
      </c>
      <c r="B15" s="1001"/>
      <c r="C15" s="1001"/>
      <c r="D15" s="1001"/>
      <c r="E15" s="572">
        <v>1</v>
      </c>
      <c r="F15" s="573">
        <v>0</v>
      </c>
      <c r="G15" s="574">
        <f t="shared" si="0"/>
        <v>1</v>
      </c>
      <c r="H15" s="535">
        <f t="shared" si="1"/>
        <v>0</v>
      </c>
      <c r="I15" s="406"/>
      <c r="J15" s="575"/>
      <c r="K15" s="83"/>
    </row>
    <row r="16" spans="1:14" ht="13.9" hidden="1" customHeight="1" x14ac:dyDescent="0.2">
      <c r="A16" s="367">
        <v>7</v>
      </c>
      <c r="B16" s="1000"/>
      <c r="C16" s="1000"/>
      <c r="D16" s="1000"/>
      <c r="E16" s="408">
        <v>1</v>
      </c>
      <c r="F16" s="409">
        <v>0</v>
      </c>
      <c r="G16" s="410">
        <f t="shared" si="0"/>
        <v>1</v>
      </c>
      <c r="H16" s="375">
        <f t="shared" si="1"/>
        <v>0</v>
      </c>
      <c r="I16" s="406"/>
      <c r="J16" s="353"/>
      <c r="K16" s="83"/>
    </row>
    <row r="17" spans="1:16" x14ac:dyDescent="0.2">
      <c r="A17" s="339"/>
      <c r="B17" s="977"/>
      <c r="C17" s="977"/>
      <c r="D17" s="977"/>
      <c r="E17" s="977"/>
      <c r="F17" s="977"/>
      <c r="G17" s="977"/>
      <c r="H17" s="335"/>
      <c r="I17" s="335"/>
      <c r="J17" s="343" t="s">
        <v>106</v>
      </c>
      <c r="K17" s="83"/>
    </row>
    <row r="18" spans="1:16" ht="15" x14ac:dyDescent="0.2">
      <c r="A18" s="339"/>
      <c r="B18" s="411"/>
      <c r="C18" s="411"/>
      <c r="D18" s="411"/>
      <c r="E18" s="411"/>
      <c r="F18" s="411"/>
      <c r="G18" s="411"/>
      <c r="H18" s="335"/>
      <c r="I18" s="335"/>
      <c r="J18" s="462">
        <f>ROUND(SUM(J10:J16)*1000,0)</f>
        <v>170</v>
      </c>
      <c r="K18" s="700" t="s">
        <v>120</v>
      </c>
    </row>
    <row r="19" spans="1:16" ht="15.75" x14ac:dyDescent="0.2">
      <c r="A19" s="975" t="s">
        <v>753</v>
      </c>
      <c r="B19" s="945"/>
      <c r="C19" s="945"/>
      <c r="D19" s="945"/>
      <c r="E19" s="945"/>
      <c r="F19" s="945"/>
      <c r="G19" s="418" t="s">
        <v>735</v>
      </c>
      <c r="H19" s="492">
        <f>ROUND(((SUM(H10:H14))+G5+G6),3)</f>
        <v>4.4909999999999997</v>
      </c>
      <c r="I19" s="335"/>
      <c r="J19" s="442"/>
      <c r="K19" s="83"/>
    </row>
    <row r="20" spans="1:16" ht="15.75" x14ac:dyDescent="0.2">
      <c r="A20" s="975" t="s">
        <v>754</v>
      </c>
      <c r="B20" s="945"/>
      <c r="C20" s="945"/>
      <c r="D20" s="945"/>
      <c r="E20" s="945"/>
      <c r="F20" s="945"/>
      <c r="G20" s="418" t="s">
        <v>733</v>
      </c>
      <c r="H20" s="477">
        <f>ROUND(1/H19,3)</f>
        <v>0.223</v>
      </c>
      <c r="I20" s="335"/>
      <c r="J20" s="442"/>
      <c r="K20" s="83"/>
    </row>
    <row r="21" spans="1:16" x14ac:dyDescent="0.2">
      <c r="A21" s="446"/>
      <c r="B21" s="448"/>
      <c r="C21" s="448"/>
      <c r="D21" s="448"/>
      <c r="E21" s="448"/>
      <c r="F21" s="448"/>
      <c r="G21" s="411"/>
      <c r="H21" s="335"/>
      <c r="I21" s="335"/>
      <c r="K21" s="83"/>
      <c r="P21" s="2">
        <v>4.6399999999999997E-2</v>
      </c>
    </row>
    <row r="22" spans="1:16" ht="14.25" x14ac:dyDescent="0.25">
      <c r="A22" s="449"/>
      <c r="B22" s="450"/>
      <c r="C22" s="450"/>
      <c r="D22" s="947" t="s">
        <v>755</v>
      </c>
      <c r="E22" s="947"/>
      <c r="F22" s="947"/>
      <c r="G22" s="391" t="s">
        <v>729</v>
      </c>
      <c r="H22" s="675">
        <v>0.39</v>
      </c>
      <c r="I22" s="391"/>
      <c r="J22" s="391"/>
      <c r="K22" s="392"/>
    </row>
    <row r="23" spans="1:16" x14ac:dyDescent="0.2">
      <c r="A23" s="449"/>
      <c r="B23" s="947" t="s">
        <v>756</v>
      </c>
      <c r="C23" s="947"/>
      <c r="D23" s="947"/>
      <c r="E23" s="947"/>
      <c r="F23" s="947"/>
      <c r="G23" s="697" t="s">
        <v>191</v>
      </c>
      <c r="H23" s="675">
        <v>1.5</v>
      </c>
      <c r="I23" s="391"/>
      <c r="J23" s="697" t="s">
        <v>746</v>
      </c>
      <c r="K23" s="392"/>
    </row>
    <row r="24" spans="1:16" ht="14.25" x14ac:dyDescent="0.2">
      <c r="A24" s="451"/>
      <c r="B24" s="395"/>
      <c r="C24" s="395"/>
      <c r="D24" s="946" t="s">
        <v>757</v>
      </c>
      <c r="E24" s="946"/>
      <c r="F24" s="946"/>
      <c r="G24" s="396" t="s">
        <v>9</v>
      </c>
      <c r="H24" s="558">
        <f>'5.lapa'!E169</f>
        <v>0</v>
      </c>
      <c r="I24" s="396"/>
      <c r="K24" s="83"/>
    </row>
    <row r="25" spans="1:16" x14ac:dyDescent="0.2">
      <c r="A25" s="451"/>
      <c r="B25" s="398"/>
      <c r="C25" s="395"/>
      <c r="D25" s="946" t="s">
        <v>758</v>
      </c>
      <c r="E25" s="946"/>
      <c r="F25" s="946"/>
      <c r="G25" s="399" t="s">
        <v>129</v>
      </c>
      <c r="H25" s="481">
        <f>(57.092-9.092+12.2+1.8+1.3+1.4+1.4)*2</f>
        <v>132.20000000000002</v>
      </c>
      <c r="I25" s="399"/>
      <c r="K25" s="83"/>
    </row>
    <row r="26" spans="1:16" x14ac:dyDescent="0.2">
      <c r="A26" s="451"/>
      <c r="B26" s="398"/>
      <c r="C26" s="400"/>
      <c r="D26" s="948" t="s">
        <v>759</v>
      </c>
      <c r="E26" s="948"/>
      <c r="F26" s="948"/>
      <c r="G26" s="399" t="s">
        <v>77</v>
      </c>
      <c r="H26" s="465">
        <f>ROUND(H24/(0.5*H25),2)</f>
        <v>0</v>
      </c>
      <c r="I26" s="399"/>
      <c r="K26" s="83"/>
    </row>
    <row r="27" spans="1:16" ht="5.25" customHeight="1" x14ac:dyDescent="0.2">
      <c r="A27" s="451"/>
      <c r="B27" s="398"/>
      <c r="C27" s="404"/>
      <c r="D27" s="398"/>
      <c r="E27" s="398"/>
      <c r="F27" s="398"/>
      <c r="G27" s="335"/>
      <c r="K27" s="83"/>
    </row>
    <row r="28" spans="1:16" ht="14.25" x14ac:dyDescent="0.2">
      <c r="A28" s="451"/>
      <c r="B28" s="946" t="s">
        <v>760</v>
      </c>
      <c r="C28" s="946"/>
      <c r="D28" s="946"/>
      <c r="E28" s="946"/>
      <c r="F28" s="946"/>
      <c r="G28" s="418" t="s">
        <v>731</v>
      </c>
      <c r="H28" s="532">
        <v>2</v>
      </c>
      <c r="I28" s="403"/>
      <c r="K28" s="83"/>
    </row>
    <row r="29" spans="1:16" ht="6" customHeight="1" x14ac:dyDescent="0.2">
      <c r="A29" s="394"/>
      <c r="B29" s="439"/>
      <c r="C29" s="439"/>
      <c r="D29" s="439"/>
      <c r="E29" s="439"/>
      <c r="F29" s="439"/>
      <c r="G29" s="418"/>
      <c r="H29" s="403"/>
      <c r="I29" s="403"/>
      <c r="K29" s="83"/>
    </row>
    <row r="30" spans="1:16" ht="26.25" x14ac:dyDescent="0.25">
      <c r="A30" s="339"/>
      <c r="B30" s="976" t="s">
        <v>6</v>
      </c>
      <c r="C30" s="976"/>
      <c r="D30" s="976"/>
      <c r="E30" s="458" t="s">
        <v>791</v>
      </c>
      <c r="F30" s="458" t="s">
        <v>790</v>
      </c>
      <c r="G30" s="458" t="s">
        <v>795</v>
      </c>
      <c r="H30" s="458" t="s">
        <v>788</v>
      </c>
      <c r="I30" s="440"/>
      <c r="J30" s="458" t="s">
        <v>789</v>
      </c>
      <c r="K30" s="83"/>
    </row>
    <row r="31" spans="1:16" x14ac:dyDescent="0.2">
      <c r="A31" s="367"/>
      <c r="B31" s="874" t="s">
        <v>11</v>
      </c>
      <c r="C31" s="874"/>
      <c r="D31" s="874"/>
      <c r="E31" s="459">
        <v>2</v>
      </c>
      <c r="F31" s="459">
        <v>0</v>
      </c>
      <c r="G31" s="459">
        <f>E31+F31</f>
        <v>2</v>
      </c>
      <c r="H31" s="456">
        <f>ROUND(J31/G31,3)</f>
        <v>0.1</v>
      </c>
      <c r="I31" s="335"/>
      <c r="J31" s="459">
        <v>0.2</v>
      </c>
      <c r="K31" s="83"/>
    </row>
    <row r="32" spans="1:16" hidden="1" x14ac:dyDescent="0.2">
      <c r="A32" s="367"/>
      <c r="B32" s="874" t="s">
        <v>386</v>
      </c>
      <c r="C32" s="874"/>
      <c r="D32" s="874"/>
      <c r="E32" s="459">
        <v>3.4000000000000002E-2</v>
      </c>
      <c r="F32" s="459">
        <v>2E-3</v>
      </c>
      <c r="G32" s="459">
        <f>E32+F32</f>
        <v>3.6000000000000004E-2</v>
      </c>
      <c r="H32" s="456">
        <f>ROUND(J32/G32,3)</f>
        <v>0</v>
      </c>
      <c r="I32" s="335"/>
      <c r="J32" s="459">
        <v>0</v>
      </c>
      <c r="K32" s="407"/>
    </row>
    <row r="33" spans="1:14" hidden="1" x14ac:dyDescent="0.2">
      <c r="A33" s="367"/>
      <c r="B33" s="874" t="s">
        <v>386</v>
      </c>
      <c r="C33" s="874"/>
      <c r="D33" s="874"/>
      <c r="E33" s="459">
        <v>1</v>
      </c>
      <c r="F33" s="459">
        <v>0</v>
      </c>
      <c r="G33" s="459">
        <f>E33+F33</f>
        <v>1</v>
      </c>
      <c r="H33" s="456">
        <f>ROUND(J33/G33,3)</f>
        <v>0</v>
      </c>
      <c r="I33" s="335"/>
      <c r="J33" s="459">
        <v>0</v>
      </c>
      <c r="K33" s="83"/>
    </row>
    <row r="34" spans="1:14" ht="13.5" hidden="1" customHeight="1" x14ac:dyDescent="0.2">
      <c r="A34" s="367"/>
      <c r="B34" s="874" t="s">
        <v>727</v>
      </c>
      <c r="C34" s="874"/>
      <c r="D34" s="874"/>
      <c r="E34" s="459">
        <v>1</v>
      </c>
      <c r="F34" s="459">
        <v>0</v>
      </c>
      <c r="G34" s="459">
        <f>E34+F34</f>
        <v>1</v>
      </c>
      <c r="H34" s="456">
        <f>ROUND(J34/G34,3)</f>
        <v>0</v>
      </c>
      <c r="I34" s="335"/>
      <c r="J34" s="459">
        <v>0</v>
      </c>
      <c r="K34" s="83"/>
    </row>
    <row r="35" spans="1:14" ht="5.25" customHeight="1" x14ac:dyDescent="0.2">
      <c r="A35" s="367"/>
      <c r="B35" s="411"/>
      <c r="C35" s="411"/>
      <c r="D35" s="411"/>
      <c r="F35" s="443"/>
      <c r="G35" s="443"/>
      <c r="H35" s="335"/>
      <c r="I35" s="335"/>
      <c r="J35" s="444"/>
      <c r="K35" s="83"/>
    </row>
    <row r="36" spans="1:14" ht="14.25" x14ac:dyDescent="0.2">
      <c r="A36" s="951" t="s">
        <v>761</v>
      </c>
      <c r="B36" s="948"/>
      <c r="C36" s="948"/>
      <c r="D36" s="948"/>
      <c r="E36" s="948"/>
      <c r="F36" s="948"/>
      <c r="G36" s="418" t="s">
        <v>734</v>
      </c>
      <c r="H36" s="492">
        <f>SUM(H31:H34)</f>
        <v>0.1</v>
      </c>
      <c r="I36" s="335"/>
      <c r="K36" s="407"/>
    </row>
    <row r="37" spans="1:14" ht="14.25" x14ac:dyDescent="0.2">
      <c r="A37" s="446"/>
      <c r="B37" s="948" t="s">
        <v>762</v>
      </c>
      <c r="C37" s="948"/>
      <c r="D37" s="948"/>
      <c r="E37" s="948"/>
      <c r="F37" s="948"/>
      <c r="G37" s="418" t="s">
        <v>375</v>
      </c>
      <c r="H37" s="492">
        <f>H22+(H28*(H36+G6+G7))</f>
        <v>1.01</v>
      </c>
      <c r="I37" s="335"/>
      <c r="K37" s="83"/>
      <c r="M37" s="994">
        <v>1</v>
      </c>
      <c r="N37" s="995"/>
    </row>
    <row r="38" spans="1:14" ht="15" x14ac:dyDescent="0.2">
      <c r="A38" s="975" t="s">
        <v>780</v>
      </c>
      <c r="B38" s="945"/>
      <c r="C38" s="945"/>
      <c r="D38" s="945"/>
      <c r="E38" s="945"/>
      <c r="F38" s="945"/>
      <c r="G38" s="412" t="s">
        <v>742</v>
      </c>
      <c r="H38" s="493" t="e">
        <f>ROUND(((2*H28)/((3.14*H26)+H37+(0.5*H23)))*LN((3.14*H26)/((H37+(0.5*H23))+1)),3)</f>
        <v>#NUM!</v>
      </c>
      <c r="I38" s="335"/>
      <c r="K38" s="83"/>
      <c r="L38" s="542"/>
      <c r="M38" s="996"/>
      <c r="N38" s="997"/>
    </row>
    <row r="39" spans="1:14" ht="15" x14ac:dyDescent="0.2">
      <c r="A39" s="446"/>
      <c r="B39" s="948" t="s">
        <v>782</v>
      </c>
      <c r="C39" s="948"/>
      <c r="D39" s="948"/>
      <c r="E39" s="948"/>
      <c r="F39" s="948"/>
      <c r="G39" s="412" t="s">
        <v>744</v>
      </c>
      <c r="H39" s="493">
        <f>H28*(0.13+0.04+H55)</f>
        <v>0.82000000000000006</v>
      </c>
      <c r="I39" s="335"/>
      <c r="K39" s="83"/>
      <c r="M39" s="996"/>
      <c r="N39" s="997"/>
    </row>
    <row r="40" spans="1:14" ht="15" x14ac:dyDescent="0.2">
      <c r="A40" s="446"/>
      <c r="B40" s="945" t="s">
        <v>783</v>
      </c>
      <c r="C40" s="945"/>
      <c r="D40" s="945"/>
      <c r="E40" s="945"/>
      <c r="F40" s="945"/>
      <c r="G40" s="412" t="s">
        <v>743</v>
      </c>
      <c r="H40" s="493">
        <f>ROUND(((2*H28)/(3.14*H23))*(1+(0.5*H37)/(H37+H23))*LN(H23/H39+1),3)</f>
        <v>1.0609999999999999</v>
      </c>
      <c r="I40" s="335"/>
      <c r="K40" s="83"/>
      <c r="L40" s="580"/>
      <c r="M40" s="996"/>
      <c r="N40" s="997"/>
    </row>
    <row r="41" spans="1:14" ht="14.25" x14ac:dyDescent="0.2">
      <c r="A41" s="446"/>
      <c r="B41" s="945" t="s">
        <v>763</v>
      </c>
      <c r="C41" s="945"/>
      <c r="D41" s="945"/>
      <c r="E41" s="945"/>
      <c r="F41" s="945"/>
      <c r="G41" s="418" t="s">
        <v>376</v>
      </c>
      <c r="H41" s="477" t="e">
        <f>ROUND(H38+((H23*H25*H40)/H24),3)*M37</f>
        <v>#NUM!</v>
      </c>
      <c r="I41" s="952"/>
      <c r="J41" s="952"/>
      <c r="K41" s="415"/>
      <c r="M41" s="998"/>
      <c r="N41" s="999"/>
    </row>
    <row r="42" spans="1:14" ht="6" customHeight="1" x14ac:dyDescent="0.2">
      <c r="A42" s="339"/>
      <c r="B42" s="416"/>
      <c r="C42" s="416"/>
      <c r="D42" s="416"/>
      <c r="E42" s="416"/>
      <c r="F42" s="416"/>
      <c r="G42" s="418"/>
      <c r="H42" s="380"/>
      <c r="I42" s="417"/>
      <c r="J42" s="417"/>
      <c r="K42" s="415"/>
    </row>
    <row r="43" spans="1:14" x14ac:dyDescent="0.2">
      <c r="A43" s="446"/>
      <c r="B43" s="945" t="s">
        <v>764</v>
      </c>
      <c r="C43" s="945"/>
      <c r="D43" s="945"/>
      <c r="E43" s="945"/>
      <c r="F43" s="945"/>
      <c r="G43" s="418" t="s">
        <v>194</v>
      </c>
      <c r="H43" s="565">
        <v>1.1000000000000001</v>
      </c>
      <c r="I43" s="417"/>
      <c r="J43" s="417"/>
      <c r="K43" s="415"/>
    </row>
    <row r="44" spans="1:14" ht="15" customHeight="1" x14ac:dyDescent="0.2">
      <c r="A44" s="992" t="s">
        <v>765</v>
      </c>
      <c r="B44" s="993"/>
      <c r="C44" s="993"/>
      <c r="D44" s="993"/>
      <c r="E44" s="993"/>
      <c r="F44" s="993"/>
      <c r="G44" s="418" t="s">
        <v>195</v>
      </c>
      <c r="H44" s="477">
        <v>1E-3</v>
      </c>
      <c r="I44" s="417"/>
      <c r="J44" s="417"/>
      <c r="K44" s="415"/>
    </row>
    <row r="45" spans="1:14" x14ac:dyDescent="0.2">
      <c r="A45" s="446"/>
      <c r="B45" s="945" t="s">
        <v>766</v>
      </c>
      <c r="C45" s="945"/>
      <c r="D45" s="945"/>
      <c r="E45" s="945"/>
      <c r="F45" s="945"/>
      <c r="G45" s="418" t="s">
        <v>196</v>
      </c>
      <c r="H45" s="532">
        <v>2</v>
      </c>
      <c r="I45" s="417"/>
      <c r="J45" s="417"/>
      <c r="K45" s="415"/>
    </row>
    <row r="46" spans="1:14" ht="14.25" x14ac:dyDescent="0.2">
      <c r="A46" s="446"/>
      <c r="B46" s="945" t="s">
        <v>808</v>
      </c>
      <c r="C46" s="945"/>
      <c r="D46" s="945"/>
      <c r="E46" s="945"/>
      <c r="F46" s="945"/>
      <c r="G46" s="418" t="s">
        <v>377</v>
      </c>
      <c r="H46" s="565">
        <v>0.05</v>
      </c>
      <c r="I46" s="417"/>
      <c r="J46" s="417"/>
      <c r="K46" s="415"/>
    </row>
    <row r="47" spans="1:14" ht="5.45" customHeight="1" x14ac:dyDescent="0.2">
      <c r="A47" s="445"/>
      <c r="B47" s="368"/>
      <c r="C47" s="368"/>
      <c r="D47" s="368"/>
      <c r="E47" s="368"/>
      <c r="F47" s="368"/>
      <c r="G47" s="441"/>
      <c r="H47" s="380"/>
      <c r="I47" s="417"/>
      <c r="J47" s="417"/>
      <c r="K47" s="415"/>
    </row>
    <row r="48" spans="1:14" ht="25.5" x14ac:dyDescent="0.2">
      <c r="A48" s="339"/>
      <c r="B48" s="976" t="s">
        <v>6</v>
      </c>
      <c r="C48" s="976"/>
      <c r="D48" s="976"/>
      <c r="E48" s="458" t="s">
        <v>793</v>
      </c>
      <c r="F48" s="458" t="s">
        <v>790</v>
      </c>
      <c r="G48" s="458" t="s">
        <v>795</v>
      </c>
      <c r="H48" s="458" t="s">
        <v>788</v>
      </c>
      <c r="I48" s="440"/>
      <c r="J48" s="458" t="s">
        <v>789</v>
      </c>
      <c r="K48" s="83"/>
    </row>
    <row r="49" spans="1:14" x14ac:dyDescent="0.2">
      <c r="A49" s="367"/>
      <c r="B49" s="874" t="s">
        <v>203</v>
      </c>
      <c r="C49" s="874"/>
      <c r="D49" s="874"/>
      <c r="E49" s="459">
        <v>2</v>
      </c>
      <c r="F49" s="459">
        <v>0</v>
      </c>
      <c r="G49" s="459">
        <f t="shared" ref="G49:G54" si="2">E49+F49</f>
        <v>2</v>
      </c>
      <c r="H49" s="456">
        <f>ROUND(J49/G49,3)</f>
        <v>0.2</v>
      </c>
      <c r="I49" s="335"/>
      <c r="J49" s="459">
        <v>0.4</v>
      </c>
      <c r="K49" s="83"/>
    </row>
    <row r="50" spans="1:14" hidden="1" x14ac:dyDescent="0.2">
      <c r="A50" s="367"/>
      <c r="B50" s="874" t="s">
        <v>386</v>
      </c>
      <c r="C50" s="874"/>
      <c r="D50" s="874"/>
      <c r="E50" s="459">
        <v>3.4000000000000002E-2</v>
      </c>
      <c r="F50" s="459">
        <v>2E-3</v>
      </c>
      <c r="G50" s="459">
        <f t="shared" si="2"/>
        <v>3.6000000000000004E-2</v>
      </c>
      <c r="H50" s="456">
        <f t="shared" ref="H50:H54" si="3">ROUND(J50/G50,3)</f>
        <v>0</v>
      </c>
      <c r="I50" s="335"/>
      <c r="J50" s="459">
        <v>0</v>
      </c>
      <c r="K50" s="407"/>
    </row>
    <row r="51" spans="1:14" x14ac:dyDescent="0.2">
      <c r="A51" s="367"/>
      <c r="B51" s="874" t="s">
        <v>73</v>
      </c>
      <c r="C51" s="874"/>
      <c r="D51" s="874"/>
      <c r="E51" s="459">
        <v>0.25</v>
      </c>
      <c r="F51" s="459">
        <v>0</v>
      </c>
      <c r="G51" s="459">
        <f t="shared" si="2"/>
        <v>0.25</v>
      </c>
      <c r="H51" s="456">
        <f t="shared" si="3"/>
        <v>0.04</v>
      </c>
      <c r="I51" s="335"/>
      <c r="J51" s="459">
        <v>0.01</v>
      </c>
      <c r="K51" s="83"/>
    </row>
    <row r="52" spans="1:14" hidden="1" x14ac:dyDescent="0.2">
      <c r="A52" s="367">
        <v>4</v>
      </c>
      <c r="B52" s="989" t="s">
        <v>151</v>
      </c>
      <c r="C52" s="989"/>
      <c r="D52" s="989"/>
      <c r="E52" s="533">
        <v>3.5999999999999997E-2</v>
      </c>
      <c r="F52" s="533">
        <v>0.01</v>
      </c>
      <c r="G52" s="534">
        <f t="shared" si="2"/>
        <v>4.5999999999999999E-2</v>
      </c>
      <c r="H52" s="535">
        <f t="shared" si="3"/>
        <v>0</v>
      </c>
      <c r="I52" s="406"/>
      <c r="J52" s="533">
        <v>0</v>
      </c>
      <c r="K52" s="83"/>
    </row>
    <row r="53" spans="1:14" hidden="1" x14ac:dyDescent="0.2">
      <c r="A53" s="367">
        <v>5</v>
      </c>
      <c r="B53" s="990" t="s">
        <v>11</v>
      </c>
      <c r="C53" s="990"/>
      <c r="D53" s="990"/>
      <c r="E53" s="346">
        <v>2</v>
      </c>
      <c r="F53" s="346">
        <v>0</v>
      </c>
      <c r="G53" s="374">
        <f t="shared" si="2"/>
        <v>2</v>
      </c>
      <c r="H53" s="375">
        <f t="shared" si="3"/>
        <v>0</v>
      </c>
      <c r="I53" s="406"/>
      <c r="J53" s="346">
        <v>0</v>
      </c>
      <c r="K53" s="83"/>
    </row>
    <row r="54" spans="1:14" hidden="1" x14ac:dyDescent="0.2">
      <c r="A54" s="367">
        <v>6</v>
      </c>
      <c r="B54" s="991"/>
      <c r="C54" s="991"/>
      <c r="D54" s="991"/>
      <c r="E54" s="692">
        <v>1</v>
      </c>
      <c r="F54" s="693">
        <v>0</v>
      </c>
      <c r="G54" s="694">
        <f t="shared" si="2"/>
        <v>1</v>
      </c>
      <c r="H54" s="695">
        <f t="shared" si="3"/>
        <v>0</v>
      </c>
      <c r="I54" s="406"/>
      <c r="J54" s="696"/>
      <c r="K54" s="83"/>
    </row>
    <row r="55" spans="1:14" x14ac:dyDescent="0.2">
      <c r="A55" s="367"/>
      <c r="B55" s="977"/>
      <c r="C55" s="977"/>
      <c r="D55" s="977"/>
      <c r="F55" s="443"/>
      <c r="G55" s="443"/>
      <c r="H55" s="456">
        <f>SUM(H49:H54)</f>
        <v>0.24000000000000002</v>
      </c>
      <c r="I55" s="335"/>
      <c r="J55" s="444"/>
      <c r="K55" s="83"/>
    </row>
    <row r="56" spans="1:14" ht="6.6" customHeight="1" x14ac:dyDescent="0.2">
      <c r="A56" s="339"/>
      <c r="B56" s="977"/>
      <c r="C56" s="977"/>
      <c r="D56" s="977"/>
      <c r="E56" s="977"/>
      <c r="F56" s="977"/>
      <c r="G56" s="977"/>
      <c r="H56" s="335"/>
      <c r="I56" s="335"/>
      <c r="J56" s="343"/>
      <c r="K56" s="83"/>
    </row>
    <row r="57" spans="1:14" ht="15.6" customHeight="1" x14ac:dyDescent="0.2">
      <c r="A57" s="975" t="s">
        <v>768</v>
      </c>
      <c r="B57" s="945"/>
      <c r="C57" s="945"/>
      <c r="D57" s="945"/>
      <c r="E57" s="945"/>
      <c r="F57" s="945"/>
      <c r="G57" s="418" t="s">
        <v>378</v>
      </c>
      <c r="H57" s="477">
        <f>ROUND(1/SUM(H49:H56)+0.13+0.04,3)</f>
        <v>2.2530000000000001</v>
      </c>
      <c r="I57" s="335"/>
      <c r="J57" s="442"/>
      <c r="K57" s="83"/>
      <c r="M57" s="983"/>
      <c r="N57" s="984"/>
    </row>
    <row r="58" spans="1:14" ht="15.6" customHeight="1" x14ac:dyDescent="0.2">
      <c r="A58" s="975" t="s">
        <v>769</v>
      </c>
      <c r="B58" s="945"/>
      <c r="C58" s="945"/>
      <c r="D58" s="945"/>
      <c r="E58" s="945"/>
      <c r="F58" s="945"/>
      <c r="G58" s="418" t="s">
        <v>379</v>
      </c>
      <c r="H58" s="477" t="e">
        <f>ROUND(((2*H43*H57)/H26)+((1450*H44*H45*H46)/H26),3)</f>
        <v>#DIV/0!</v>
      </c>
      <c r="I58" s="335"/>
      <c r="J58" s="442"/>
      <c r="K58" s="83"/>
      <c r="M58" s="985"/>
      <c r="N58" s="986"/>
    </row>
    <row r="59" spans="1:14" ht="13.9" customHeight="1" x14ac:dyDescent="0.2">
      <c r="A59" s="339"/>
      <c r="B59" s="416"/>
      <c r="C59" s="416"/>
      <c r="D59" s="416"/>
      <c r="E59" s="416"/>
      <c r="F59" s="416"/>
      <c r="G59" s="418"/>
      <c r="H59" s="380"/>
      <c r="I59" s="417"/>
      <c r="J59" s="417"/>
      <c r="K59" s="415"/>
      <c r="M59" s="983"/>
      <c r="N59" s="984"/>
    </row>
    <row r="60" spans="1:14" ht="21" x14ac:dyDescent="0.2">
      <c r="A60" s="339"/>
      <c r="B60" s="416"/>
      <c r="C60" s="416"/>
      <c r="D60" s="416"/>
      <c r="E60" s="416"/>
      <c r="F60" s="987" t="s">
        <v>770</v>
      </c>
      <c r="G60" s="988"/>
      <c r="H60" s="687" t="e">
        <f>ROUNDDOWN(1/(((1/H20)+(1/(H41+H58)))),2)</f>
        <v>#NUM!</v>
      </c>
      <c r="I60" s="974" t="s">
        <v>342</v>
      </c>
      <c r="J60" s="952"/>
      <c r="K60" s="415"/>
      <c r="M60" s="985"/>
      <c r="N60" s="986"/>
    </row>
    <row r="61" spans="1:14" ht="13.9" customHeight="1" x14ac:dyDescent="0.2">
      <c r="A61" s="352"/>
      <c r="B61" s="424"/>
      <c r="C61" s="424"/>
      <c r="D61" s="424"/>
      <c r="E61" s="424"/>
      <c r="F61" s="424"/>
      <c r="G61" s="425"/>
      <c r="H61" s="426"/>
      <c r="I61" s="427"/>
      <c r="J61" s="427"/>
      <c r="K61" s="428"/>
      <c r="M61" s="578"/>
      <c r="N61" s="579"/>
    </row>
  </sheetData>
  <mergeCells count="54">
    <mergeCell ref="B15:D15"/>
    <mergeCell ref="A1:K1"/>
    <mergeCell ref="E4:J4"/>
    <mergeCell ref="B6:E7"/>
    <mergeCell ref="G6:I6"/>
    <mergeCell ref="G7:I7"/>
    <mergeCell ref="B9:D9"/>
    <mergeCell ref="B10:D10"/>
    <mergeCell ref="B11:D11"/>
    <mergeCell ref="B12:D12"/>
    <mergeCell ref="B13:D13"/>
    <mergeCell ref="B14:D14"/>
    <mergeCell ref="B31:D31"/>
    <mergeCell ref="B16:D16"/>
    <mergeCell ref="B17:G17"/>
    <mergeCell ref="A19:F19"/>
    <mergeCell ref="A20:F20"/>
    <mergeCell ref="D22:F22"/>
    <mergeCell ref="B23:F23"/>
    <mergeCell ref="D24:F24"/>
    <mergeCell ref="D25:F25"/>
    <mergeCell ref="D26:F26"/>
    <mergeCell ref="B28:F28"/>
    <mergeCell ref="B30:D30"/>
    <mergeCell ref="M37:N41"/>
    <mergeCell ref="A38:F38"/>
    <mergeCell ref="B39:F39"/>
    <mergeCell ref="B40:F40"/>
    <mergeCell ref="B41:F41"/>
    <mergeCell ref="I41:J41"/>
    <mergeCell ref="B48:D48"/>
    <mergeCell ref="B32:D32"/>
    <mergeCell ref="B33:D33"/>
    <mergeCell ref="B34:D34"/>
    <mergeCell ref="A36:F36"/>
    <mergeCell ref="B37:F37"/>
    <mergeCell ref="B43:F43"/>
    <mergeCell ref="A44:F44"/>
    <mergeCell ref="B45:F45"/>
    <mergeCell ref="B46:F46"/>
    <mergeCell ref="M59:N60"/>
    <mergeCell ref="F60:G60"/>
    <mergeCell ref="I60:J60"/>
    <mergeCell ref="B49:D49"/>
    <mergeCell ref="B50:D50"/>
    <mergeCell ref="B51:D51"/>
    <mergeCell ref="B52:D52"/>
    <mergeCell ref="B53:D53"/>
    <mergeCell ref="B54:D54"/>
    <mergeCell ref="B55:D55"/>
    <mergeCell ref="B56:G56"/>
    <mergeCell ref="A57:F57"/>
    <mergeCell ref="M57:N58"/>
    <mergeCell ref="A58:F58"/>
  </mergeCells>
  <pageMargins left="0.9055118110236221" right="0.70866141732283472" top="0.74803149606299213" bottom="0.74803149606299213" header="0.31496062992125984" footer="0.31496062992125984"/>
  <pageSetup paperSize="9" orientation="portrait" horizontalDpi="1200" verticalDpi="1200" r:id="rId1"/>
  <headerFooter>
    <oddFooter>&amp;C&amp;A&amp;R&amp;F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8"/>
  <sheetViews>
    <sheetView showGridLines="0" view="pageBreakPreview" topLeftCell="A2" zoomScaleNormal="100" zoomScaleSheetLayoutView="100" workbookViewId="0">
      <selection activeCell="N40" sqref="N40"/>
    </sheetView>
  </sheetViews>
  <sheetFormatPr defaultColWidth="9.140625" defaultRowHeight="12.75" x14ac:dyDescent="0.2"/>
  <cols>
    <col min="1" max="1" width="4.140625" style="2" customWidth="1"/>
    <col min="2" max="2" width="8.140625" style="2" customWidth="1"/>
    <col min="3" max="3" width="10.7109375" style="2" customWidth="1"/>
    <col min="4" max="4" width="8.5703125" style="2" customWidth="1"/>
    <col min="5" max="7" width="10.28515625" style="2" customWidth="1"/>
    <col min="8" max="8" width="9.140625" style="2" customWidth="1"/>
    <col min="9" max="9" width="1.140625" style="2" customWidth="1"/>
    <col min="10" max="10" width="7.140625" style="2" customWidth="1"/>
    <col min="11" max="11" width="4.28515625" style="2" customWidth="1"/>
    <col min="12" max="16384" width="9.140625" style="2"/>
  </cols>
  <sheetData>
    <row r="1" spans="1:14" ht="29.25" hidden="1" customHeight="1" x14ac:dyDescent="0.2">
      <c r="A1" s="864" t="s">
        <v>217</v>
      </c>
      <c r="B1" s="865"/>
      <c r="C1" s="865"/>
      <c r="D1" s="865"/>
      <c r="E1" s="865"/>
      <c r="F1" s="865"/>
      <c r="G1" s="865"/>
      <c r="H1" s="865"/>
      <c r="I1" s="865"/>
      <c r="J1" s="865"/>
      <c r="K1" s="866"/>
      <c r="L1" s="438"/>
      <c r="M1" s="438"/>
      <c r="N1" s="438"/>
    </row>
    <row r="3" spans="1:14" x14ac:dyDescent="0.2">
      <c r="A3" s="385"/>
      <c r="B3" s="99"/>
      <c r="C3" s="99"/>
      <c r="D3" s="99"/>
      <c r="E3" s="99"/>
      <c r="F3" s="99"/>
      <c r="G3" s="99"/>
      <c r="H3" s="99"/>
      <c r="I3" s="99"/>
      <c r="J3" s="99"/>
      <c r="K3" s="81"/>
    </row>
    <row r="4" spans="1:14" ht="30" customHeight="1" x14ac:dyDescent="0.2">
      <c r="A4" s="386"/>
      <c r="B4" s="566"/>
      <c r="C4" s="689" t="s">
        <v>363</v>
      </c>
      <c r="D4" s="685">
        <v>2</v>
      </c>
      <c r="E4" s="979" t="s">
        <v>752</v>
      </c>
      <c r="F4" s="979"/>
      <c r="G4" s="979"/>
      <c r="H4" s="979"/>
      <c r="I4" s="979"/>
      <c r="J4" s="980"/>
      <c r="K4" s="83"/>
    </row>
    <row r="5" spans="1:14" x14ac:dyDescent="0.2">
      <c r="A5" s="354"/>
      <c r="B5" s="341"/>
      <c r="C5" s="341"/>
      <c r="D5" s="341"/>
      <c r="E5" s="341"/>
      <c r="F5" s="341"/>
      <c r="G5" s="341"/>
      <c r="H5" s="341"/>
      <c r="I5" s="341"/>
      <c r="J5" s="341"/>
      <c r="K5" s="83"/>
    </row>
    <row r="6" spans="1:14" ht="15" customHeight="1" x14ac:dyDescent="0.25">
      <c r="A6" s="354"/>
      <c r="B6" s="950" t="s">
        <v>804</v>
      </c>
      <c r="C6" s="950"/>
      <c r="D6" s="950"/>
      <c r="E6" s="950"/>
      <c r="F6" s="341" t="s">
        <v>300</v>
      </c>
      <c r="G6" s="843">
        <v>0.17</v>
      </c>
      <c r="H6" s="843"/>
      <c r="I6" s="843"/>
      <c r="J6" s="359"/>
      <c r="K6" s="83"/>
    </row>
    <row r="7" spans="1:14" ht="15" x14ac:dyDescent="0.25">
      <c r="A7" s="354"/>
      <c r="B7" s="950"/>
      <c r="C7" s="950"/>
      <c r="D7" s="950"/>
      <c r="E7" s="950"/>
      <c r="F7" s="341" t="s">
        <v>301</v>
      </c>
      <c r="G7" s="843">
        <v>0.04</v>
      </c>
      <c r="H7" s="843"/>
      <c r="I7" s="843"/>
      <c r="J7" s="359"/>
      <c r="K7" s="83"/>
    </row>
    <row r="8" spans="1:14" x14ac:dyDescent="0.2">
      <c r="A8" s="389"/>
      <c r="B8" s="390"/>
      <c r="C8" s="390"/>
      <c r="D8" s="390"/>
      <c r="E8" s="390"/>
      <c r="F8" s="390"/>
      <c r="G8" s="390"/>
      <c r="H8" s="391"/>
      <c r="I8" s="391"/>
      <c r="J8" s="391"/>
      <c r="K8" s="392"/>
    </row>
    <row r="9" spans="1:14" ht="26.25" x14ac:dyDescent="0.25">
      <c r="A9" s="339"/>
      <c r="B9" s="976" t="s">
        <v>6</v>
      </c>
      <c r="C9" s="976"/>
      <c r="D9" s="976"/>
      <c r="E9" s="458" t="s">
        <v>802</v>
      </c>
      <c r="F9" s="458" t="s">
        <v>790</v>
      </c>
      <c r="G9" s="458" t="s">
        <v>795</v>
      </c>
      <c r="H9" s="458" t="s">
        <v>788</v>
      </c>
      <c r="I9" s="440"/>
      <c r="J9" s="458" t="s">
        <v>789</v>
      </c>
      <c r="K9" s="83"/>
    </row>
    <row r="10" spans="1:14" hidden="1" x14ac:dyDescent="0.2">
      <c r="A10" s="367"/>
      <c r="B10" s="874" t="s">
        <v>223</v>
      </c>
      <c r="C10" s="874"/>
      <c r="D10" s="874"/>
      <c r="E10" s="459">
        <v>0.26</v>
      </c>
      <c r="F10" s="459">
        <v>0</v>
      </c>
      <c r="G10" s="459">
        <f t="shared" ref="G10:G16" si="0">E10+F10</f>
        <v>0.26</v>
      </c>
      <c r="H10" s="456">
        <f>ROUND(J10/G10,3)</f>
        <v>0</v>
      </c>
      <c r="I10" s="335"/>
      <c r="J10" s="459">
        <v>0</v>
      </c>
      <c r="K10" s="83"/>
    </row>
    <row r="11" spans="1:14" x14ac:dyDescent="0.2">
      <c r="A11" s="367"/>
      <c r="B11" s="874" t="s">
        <v>150</v>
      </c>
      <c r="C11" s="874"/>
      <c r="D11" s="874"/>
      <c r="E11" s="459">
        <v>2</v>
      </c>
      <c r="F11" s="459">
        <v>0</v>
      </c>
      <c r="G11" s="459">
        <f t="shared" si="0"/>
        <v>2</v>
      </c>
      <c r="H11" s="456">
        <f t="shared" ref="H11:H16" si="1">ROUND(J11/G11,3)</f>
        <v>7.4999999999999997E-2</v>
      </c>
      <c r="I11" s="335"/>
      <c r="J11" s="459">
        <v>0.15</v>
      </c>
      <c r="K11" s="407"/>
    </row>
    <row r="12" spans="1:14" x14ac:dyDescent="0.2">
      <c r="A12" s="367"/>
      <c r="B12" s="874" t="s">
        <v>386</v>
      </c>
      <c r="C12" s="874"/>
      <c r="D12" s="874"/>
      <c r="E12" s="459">
        <v>3.4000000000000002E-2</v>
      </c>
      <c r="F12" s="459">
        <v>1E-3</v>
      </c>
      <c r="G12" s="459">
        <f t="shared" si="0"/>
        <v>3.5000000000000003E-2</v>
      </c>
      <c r="H12" s="456">
        <f t="shared" si="1"/>
        <v>3.4289999999999998</v>
      </c>
      <c r="I12" s="335"/>
      <c r="J12" s="459">
        <v>0.12</v>
      </c>
      <c r="K12" s="83"/>
    </row>
    <row r="13" spans="1:14" hidden="1" x14ac:dyDescent="0.2">
      <c r="A13" s="367"/>
      <c r="B13" s="874" t="s">
        <v>386</v>
      </c>
      <c r="C13" s="874"/>
      <c r="D13" s="874"/>
      <c r="E13" s="459">
        <v>3.6999999999999998E-2</v>
      </c>
      <c r="F13" s="459">
        <v>1E-3</v>
      </c>
      <c r="G13" s="459">
        <f t="shared" si="0"/>
        <v>3.7999999999999999E-2</v>
      </c>
      <c r="H13" s="456">
        <f t="shared" si="1"/>
        <v>0</v>
      </c>
      <c r="I13" s="335"/>
      <c r="J13" s="459">
        <v>0</v>
      </c>
      <c r="K13" s="83"/>
    </row>
    <row r="14" spans="1:14" x14ac:dyDescent="0.2">
      <c r="A14" s="367"/>
      <c r="B14" s="874" t="s">
        <v>202</v>
      </c>
      <c r="C14" s="874"/>
      <c r="D14" s="874"/>
      <c r="E14" s="459">
        <v>2</v>
      </c>
      <c r="F14" s="459">
        <v>0</v>
      </c>
      <c r="G14" s="459">
        <f t="shared" si="0"/>
        <v>2</v>
      </c>
      <c r="H14" s="456">
        <f t="shared" si="1"/>
        <v>0.11</v>
      </c>
      <c r="I14" s="335"/>
      <c r="J14" s="459">
        <v>0.22</v>
      </c>
      <c r="K14" s="83"/>
    </row>
    <row r="15" spans="1:14" ht="13.9" hidden="1" customHeight="1" x14ac:dyDescent="0.2">
      <c r="A15" s="367">
        <v>6</v>
      </c>
      <c r="B15" s="1001"/>
      <c r="C15" s="1001"/>
      <c r="D15" s="1001"/>
      <c r="E15" s="572">
        <v>1</v>
      </c>
      <c r="F15" s="573">
        <v>0</v>
      </c>
      <c r="G15" s="574">
        <f t="shared" si="0"/>
        <v>1</v>
      </c>
      <c r="H15" s="535">
        <f t="shared" si="1"/>
        <v>0</v>
      </c>
      <c r="I15" s="406"/>
      <c r="J15" s="575"/>
      <c r="K15" s="83"/>
    </row>
    <row r="16" spans="1:14" ht="13.9" hidden="1" customHeight="1" x14ac:dyDescent="0.2">
      <c r="A16" s="367">
        <v>7</v>
      </c>
      <c r="B16" s="1000"/>
      <c r="C16" s="1000"/>
      <c r="D16" s="1000"/>
      <c r="E16" s="408">
        <v>1</v>
      </c>
      <c r="F16" s="409">
        <v>0</v>
      </c>
      <c r="G16" s="410">
        <f t="shared" si="0"/>
        <v>1</v>
      </c>
      <c r="H16" s="375">
        <f t="shared" si="1"/>
        <v>0</v>
      </c>
      <c r="I16" s="406"/>
      <c r="J16" s="353"/>
      <c r="K16" s="83"/>
    </row>
    <row r="17" spans="1:16" x14ac:dyDescent="0.2">
      <c r="A17" s="339"/>
      <c r="B17" s="977"/>
      <c r="C17" s="977"/>
      <c r="D17" s="977"/>
      <c r="E17" s="977"/>
      <c r="F17" s="977"/>
      <c r="G17" s="977"/>
      <c r="H17" s="335"/>
      <c r="I17" s="335"/>
      <c r="J17" s="343" t="s">
        <v>106</v>
      </c>
      <c r="K17" s="83"/>
    </row>
    <row r="18" spans="1:16" ht="15" x14ac:dyDescent="0.2">
      <c r="A18" s="339"/>
      <c r="B18" s="411"/>
      <c r="C18" s="411"/>
      <c r="D18" s="411"/>
      <c r="E18" s="411"/>
      <c r="F18" s="411"/>
      <c r="G18" s="411"/>
      <c r="H18" s="335"/>
      <c r="I18" s="335"/>
      <c r="J18" s="462">
        <f>ROUND(SUM(J10:J16)*1000,0)</f>
        <v>490</v>
      </c>
      <c r="K18" s="700" t="s">
        <v>120</v>
      </c>
    </row>
    <row r="19" spans="1:16" ht="15.75" x14ac:dyDescent="0.2">
      <c r="A19" s="975" t="s">
        <v>753</v>
      </c>
      <c r="B19" s="945"/>
      <c r="C19" s="945"/>
      <c r="D19" s="945"/>
      <c r="E19" s="945"/>
      <c r="F19" s="945"/>
      <c r="G19" s="418" t="s">
        <v>735</v>
      </c>
      <c r="H19" s="492">
        <f>ROUND(((SUM(H10:H14))+G5+G6),3)</f>
        <v>3.7839999999999998</v>
      </c>
      <c r="I19" s="335"/>
      <c r="J19" s="442"/>
      <c r="K19" s="83"/>
    </row>
    <row r="20" spans="1:16" ht="15.75" x14ac:dyDescent="0.2">
      <c r="A20" s="975" t="s">
        <v>754</v>
      </c>
      <c r="B20" s="945"/>
      <c r="C20" s="945"/>
      <c r="D20" s="945"/>
      <c r="E20" s="945"/>
      <c r="F20" s="945"/>
      <c r="G20" s="418" t="s">
        <v>733</v>
      </c>
      <c r="H20" s="477">
        <f>ROUND(1/H19,3)</f>
        <v>0.26400000000000001</v>
      </c>
      <c r="I20" s="335"/>
      <c r="J20" s="442"/>
      <c r="K20" s="83"/>
    </row>
    <row r="21" spans="1:16" x14ac:dyDescent="0.2">
      <c r="A21" s="446"/>
      <c r="B21" s="448"/>
      <c r="C21" s="448"/>
      <c r="D21" s="448"/>
      <c r="E21" s="448"/>
      <c r="F21" s="448"/>
      <c r="G21" s="411"/>
      <c r="H21" s="335"/>
      <c r="I21" s="335"/>
      <c r="K21" s="83"/>
      <c r="P21" s="2">
        <v>4.6399999999999997E-2</v>
      </c>
    </row>
    <row r="22" spans="1:16" ht="14.25" x14ac:dyDescent="0.25">
      <c r="A22" s="449"/>
      <c r="B22" s="450"/>
      <c r="C22" s="450"/>
      <c r="D22" s="947" t="s">
        <v>755</v>
      </c>
      <c r="E22" s="947"/>
      <c r="F22" s="947"/>
      <c r="G22" s="391" t="s">
        <v>729</v>
      </c>
      <c r="H22" s="675">
        <v>0.63</v>
      </c>
      <c r="I22" s="391"/>
      <c r="J22" s="391"/>
      <c r="K22" s="392"/>
    </row>
    <row r="23" spans="1:16" ht="12.75" customHeight="1" x14ac:dyDescent="0.2">
      <c r="A23" s="449"/>
      <c r="B23" s="947" t="s">
        <v>756</v>
      </c>
      <c r="C23" s="947"/>
      <c r="D23" s="947"/>
      <c r="E23" s="947"/>
      <c r="F23" s="947"/>
      <c r="G23" s="697" t="s">
        <v>191</v>
      </c>
      <c r="H23" s="675">
        <v>0.45</v>
      </c>
      <c r="I23" s="391"/>
      <c r="J23" s="697" t="s">
        <v>745</v>
      </c>
      <c r="K23" s="392"/>
    </row>
    <row r="24" spans="1:16" ht="14.25" x14ac:dyDescent="0.2">
      <c r="A24" s="451"/>
      <c r="B24" s="395"/>
      <c r="C24" s="395"/>
      <c r="D24" s="946" t="s">
        <v>757</v>
      </c>
      <c r="E24" s="946"/>
      <c r="F24" s="946"/>
      <c r="G24" s="396" t="s">
        <v>9</v>
      </c>
      <c r="H24" s="558">
        <v>63.8</v>
      </c>
      <c r="I24" s="396"/>
      <c r="K24" s="83"/>
    </row>
    <row r="25" spans="1:16" x14ac:dyDescent="0.2">
      <c r="A25" s="451"/>
      <c r="B25" s="398"/>
      <c r="C25" s="395"/>
      <c r="D25" s="946" t="s">
        <v>758</v>
      </c>
      <c r="E25" s="946"/>
      <c r="F25" s="946"/>
      <c r="G25" s="399" t="s">
        <v>129</v>
      </c>
      <c r="H25" s="481">
        <f>(9.97+9.92)*2</f>
        <v>39.78</v>
      </c>
      <c r="I25" s="399"/>
      <c r="K25" s="83"/>
    </row>
    <row r="26" spans="1:16" x14ac:dyDescent="0.2">
      <c r="A26" s="451"/>
      <c r="B26" s="398"/>
      <c r="C26" s="400"/>
      <c r="D26" s="948" t="s">
        <v>759</v>
      </c>
      <c r="E26" s="948"/>
      <c r="F26" s="948"/>
      <c r="G26" s="399" t="s">
        <v>77</v>
      </c>
      <c r="H26" s="465">
        <f>ROUND(H24/(0.5*H25),2)</f>
        <v>3.21</v>
      </c>
      <c r="I26" s="399"/>
      <c r="K26" s="83"/>
    </row>
    <row r="27" spans="1:16" ht="5.25" customHeight="1" x14ac:dyDescent="0.2">
      <c r="A27" s="451"/>
      <c r="B27" s="398"/>
      <c r="C27" s="404"/>
      <c r="D27" s="398"/>
      <c r="E27" s="398"/>
      <c r="F27" s="398"/>
      <c r="G27" s="335"/>
      <c r="K27" s="83"/>
    </row>
    <row r="28" spans="1:16" ht="14.25" x14ac:dyDescent="0.2">
      <c r="A28" s="451"/>
      <c r="B28" s="946" t="s">
        <v>760</v>
      </c>
      <c r="C28" s="946"/>
      <c r="D28" s="946"/>
      <c r="E28" s="946"/>
      <c r="F28" s="946"/>
      <c r="G28" s="418" t="s">
        <v>731</v>
      </c>
      <c r="H28" s="532">
        <v>2</v>
      </c>
      <c r="I28" s="403"/>
      <c r="K28" s="83"/>
    </row>
    <row r="29" spans="1:16" ht="6" customHeight="1" x14ac:dyDescent="0.2">
      <c r="A29" s="394"/>
      <c r="B29" s="439"/>
      <c r="C29" s="439"/>
      <c r="D29" s="439"/>
      <c r="E29" s="439"/>
      <c r="F29" s="439"/>
      <c r="G29" s="418"/>
      <c r="H29" s="403"/>
      <c r="I29" s="403"/>
      <c r="K29" s="83"/>
    </row>
    <row r="30" spans="1:16" ht="25.5" x14ac:dyDescent="0.2">
      <c r="A30" s="339"/>
      <c r="B30" s="976" t="s">
        <v>6</v>
      </c>
      <c r="C30" s="976"/>
      <c r="D30" s="976"/>
      <c r="E30" s="458" t="s">
        <v>793</v>
      </c>
      <c r="F30" s="458" t="s">
        <v>790</v>
      </c>
      <c r="G30" s="458" t="s">
        <v>795</v>
      </c>
      <c r="H30" s="458" t="s">
        <v>788</v>
      </c>
      <c r="I30" s="440"/>
      <c r="J30" s="458" t="s">
        <v>789</v>
      </c>
      <c r="K30" s="83"/>
    </row>
    <row r="31" spans="1:16" x14ac:dyDescent="0.2">
      <c r="A31" s="367"/>
      <c r="B31" s="874" t="s">
        <v>11</v>
      </c>
      <c r="C31" s="874"/>
      <c r="D31" s="874"/>
      <c r="E31" s="459">
        <v>2</v>
      </c>
      <c r="F31" s="459">
        <v>0</v>
      </c>
      <c r="G31" s="459">
        <f>E31+F31</f>
        <v>2</v>
      </c>
      <c r="H31" s="456">
        <f>ROUND(J31/G31,3)</f>
        <v>0.05</v>
      </c>
      <c r="I31" s="335"/>
      <c r="J31" s="459">
        <v>0.1</v>
      </c>
      <c r="K31" s="83"/>
    </row>
    <row r="32" spans="1:16" x14ac:dyDescent="0.2">
      <c r="A32" s="367"/>
      <c r="B32" s="874" t="s">
        <v>386</v>
      </c>
      <c r="C32" s="874"/>
      <c r="D32" s="874"/>
      <c r="E32" s="459">
        <v>3.4000000000000002E-2</v>
      </c>
      <c r="F32" s="459">
        <v>2E-3</v>
      </c>
      <c r="G32" s="459">
        <f>E32+F32</f>
        <v>3.6000000000000004E-2</v>
      </c>
      <c r="H32" s="456">
        <f>ROUND(J32/G32,3)</f>
        <v>1.389</v>
      </c>
      <c r="I32" s="335"/>
      <c r="J32" s="459">
        <v>0.05</v>
      </c>
      <c r="K32" s="407"/>
    </row>
    <row r="33" spans="1:14" hidden="1" x14ac:dyDescent="0.2">
      <c r="A33" s="367"/>
      <c r="B33" s="874" t="s">
        <v>386</v>
      </c>
      <c r="C33" s="874"/>
      <c r="D33" s="874"/>
      <c r="E33" s="459">
        <v>1</v>
      </c>
      <c r="F33" s="459">
        <v>0</v>
      </c>
      <c r="G33" s="459">
        <f>E33+F33</f>
        <v>1</v>
      </c>
      <c r="H33" s="456">
        <f>ROUND(J33/G33,3)</f>
        <v>0</v>
      </c>
      <c r="I33" s="335"/>
      <c r="J33" s="459">
        <v>0</v>
      </c>
      <c r="K33" s="83"/>
    </row>
    <row r="34" spans="1:14" ht="13.5" hidden="1" customHeight="1" x14ac:dyDescent="0.2">
      <c r="A34" s="367"/>
      <c r="B34" s="874" t="s">
        <v>727</v>
      </c>
      <c r="C34" s="874"/>
      <c r="D34" s="874"/>
      <c r="E34" s="459">
        <v>1</v>
      </c>
      <c r="F34" s="459">
        <v>0</v>
      </c>
      <c r="G34" s="459">
        <f>E34+F34</f>
        <v>1</v>
      </c>
      <c r="H34" s="456">
        <f>ROUND(J34/G34,3)</f>
        <v>0</v>
      </c>
      <c r="I34" s="335"/>
      <c r="J34" s="459">
        <v>0</v>
      </c>
      <c r="K34" s="83"/>
    </row>
    <row r="35" spans="1:14" ht="5.25" customHeight="1" x14ac:dyDescent="0.2">
      <c r="A35" s="367"/>
      <c r="B35" s="411"/>
      <c r="C35" s="411"/>
      <c r="D35" s="411"/>
      <c r="F35" s="443"/>
      <c r="G35" s="443"/>
      <c r="H35" s="335"/>
      <c r="I35" s="335"/>
      <c r="J35" s="444"/>
      <c r="K35" s="83"/>
    </row>
    <row r="36" spans="1:14" ht="14.25" x14ac:dyDescent="0.2">
      <c r="A36" s="951" t="s">
        <v>761</v>
      </c>
      <c r="B36" s="948"/>
      <c r="C36" s="948"/>
      <c r="D36" s="948"/>
      <c r="E36" s="948"/>
      <c r="F36" s="948"/>
      <c r="G36" s="418" t="s">
        <v>734</v>
      </c>
      <c r="H36" s="492">
        <f>SUM(H31:H34)</f>
        <v>1.4390000000000001</v>
      </c>
      <c r="I36" s="335"/>
      <c r="K36" s="407"/>
    </row>
    <row r="37" spans="1:14" ht="14.25" x14ac:dyDescent="0.2">
      <c r="A37" s="446"/>
      <c r="B37" s="948" t="s">
        <v>762</v>
      </c>
      <c r="C37" s="948"/>
      <c r="D37" s="948"/>
      <c r="E37" s="948"/>
      <c r="F37" s="948"/>
      <c r="G37" s="418" t="s">
        <v>375</v>
      </c>
      <c r="H37" s="492">
        <f>H22+(H28*(H36+G6+G7))</f>
        <v>3.9279999999999999</v>
      </c>
      <c r="I37" s="335"/>
      <c r="K37" s="83"/>
      <c r="M37" s="994">
        <v>1</v>
      </c>
      <c r="N37" s="995"/>
    </row>
    <row r="38" spans="1:14" ht="14.25" x14ac:dyDescent="0.2">
      <c r="A38" s="446"/>
      <c r="B38" s="945" t="s">
        <v>763</v>
      </c>
      <c r="C38" s="945"/>
      <c r="D38" s="945"/>
      <c r="E38" s="945"/>
      <c r="F38" s="945"/>
      <c r="G38" s="418" t="s">
        <v>376</v>
      </c>
      <c r="H38" s="477">
        <f>ROUND(((2*H28)/((3.14*H26)+H37))*LN(((3.14*H26)/H37)+1),3)*M37</f>
        <v>0.36299999999999999</v>
      </c>
      <c r="I38" s="952"/>
      <c r="J38" s="952"/>
      <c r="K38" s="415"/>
      <c r="M38" s="998"/>
      <c r="N38" s="999"/>
    </row>
    <row r="39" spans="1:14" x14ac:dyDescent="0.2">
      <c r="A39" s="339"/>
      <c r="B39" s="416"/>
      <c r="C39" s="416"/>
      <c r="D39" s="416"/>
      <c r="E39" s="416"/>
      <c r="F39" s="416"/>
      <c r="G39" s="418"/>
      <c r="H39" s="380"/>
      <c r="I39" s="417"/>
      <c r="J39" s="417"/>
      <c r="K39" s="415"/>
    </row>
    <row r="40" spans="1:14" x14ac:dyDescent="0.2">
      <c r="A40" s="446"/>
      <c r="B40" s="945" t="s">
        <v>764</v>
      </c>
      <c r="C40" s="945"/>
      <c r="D40" s="945"/>
      <c r="E40" s="945"/>
      <c r="F40" s="945"/>
      <c r="G40" s="418" t="s">
        <v>194</v>
      </c>
      <c r="H40" s="565">
        <v>1.8</v>
      </c>
      <c r="I40" s="417"/>
      <c r="J40" s="417"/>
      <c r="K40" s="415"/>
    </row>
    <row r="41" spans="1:14" ht="15" customHeight="1" x14ac:dyDescent="0.2">
      <c r="A41" s="992" t="s">
        <v>765</v>
      </c>
      <c r="B41" s="993"/>
      <c r="C41" s="993"/>
      <c r="D41" s="993"/>
      <c r="E41" s="993"/>
      <c r="F41" s="993"/>
      <c r="G41" s="418" t="s">
        <v>195</v>
      </c>
      <c r="H41" s="477">
        <v>1E-3</v>
      </c>
      <c r="I41" s="417"/>
      <c r="J41" s="417"/>
      <c r="K41" s="415"/>
    </row>
    <row r="42" spans="1:14" x14ac:dyDescent="0.2">
      <c r="A42" s="446"/>
      <c r="B42" s="945" t="s">
        <v>766</v>
      </c>
      <c r="C42" s="945"/>
      <c r="D42" s="945"/>
      <c r="E42" s="945"/>
      <c r="F42" s="945"/>
      <c r="G42" s="418" t="s">
        <v>196</v>
      </c>
      <c r="H42" s="532">
        <v>2</v>
      </c>
      <c r="I42" s="417"/>
      <c r="J42" s="417"/>
      <c r="K42" s="415"/>
    </row>
    <row r="43" spans="1:14" ht="14.25" x14ac:dyDescent="0.2">
      <c r="A43" s="446"/>
      <c r="B43" s="945" t="s">
        <v>767</v>
      </c>
      <c r="C43" s="945"/>
      <c r="D43" s="945"/>
      <c r="E43" s="945"/>
      <c r="F43" s="945"/>
      <c r="G43" s="418" t="s">
        <v>377</v>
      </c>
      <c r="H43" s="565">
        <v>0.05</v>
      </c>
      <c r="I43" s="417"/>
      <c r="J43" s="417"/>
      <c r="K43" s="415"/>
    </row>
    <row r="44" spans="1:14" x14ac:dyDescent="0.2">
      <c r="A44" s="445"/>
      <c r="B44" s="368"/>
      <c r="C44" s="368"/>
      <c r="D44" s="368"/>
      <c r="E44" s="368"/>
      <c r="F44" s="368"/>
      <c r="G44" s="441"/>
      <c r="H44" s="380"/>
      <c r="I44" s="417"/>
      <c r="J44" s="417"/>
      <c r="K44" s="415"/>
    </row>
    <row r="45" spans="1:14" ht="26.25" x14ac:dyDescent="0.25">
      <c r="A45" s="339"/>
      <c r="B45" s="976" t="s">
        <v>6</v>
      </c>
      <c r="C45" s="976"/>
      <c r="D45" s="976"/>
      <c r="E45" s="458" t="s">
        <v>803</v>
      </c>
      <c r="F45" s="458" t="s">
        <v>790</v>
      </c>
      <c r="G45" s="458" t="s">
        <v>795</v>
      </c>
      <c r="H45" s="458" t="s">
        <v>788</v>
      </c>
      <c r="I45" s="440"/>
      <c r="J45" s="458" t="s">
        <v>789</v>
      </c>
      <c r="K45" s="83"/>
    </row>
    <row r="46" spans="1:14" x14ac:dyDescent="0.2">
      <c r="A46" s="367"/>
      <c r="B46" s="874" t="s">
        <v>203</v>
      </c>
      <c r="C46" s="874"/>
      <c r="D46" s="874"/>
      <c r="E46" s="459">
        <v>2</v>
      </c>
      <c r="F46" s="459">
        <v>0</v>
      </c>
      <c r="G46" s="459">
        <f t="shared" ref="G46:G52" si="2">E46+F46</f>
        <v>2</v>
      </c>
      <c r="H46" s="456">
        <f>ROUND(J46/G46,3)</f>
        <v>0.2</v>
      </c>
      <c r="I46" s="335"/>
      <c r="J46" s="459">
        <v>0.4</v>
      </c>
      <c r="K46" s="83"/>
    </row>
    <row r="47" spans="1:14" x14ac:dyDescent="0.2">
      <c r="A47" s="367"/>
      <c r="B47" s="874" t="s">
        <v>386</v>
      </c>
      <c r="C47" s="874"/>
      <c r="D47" s="874"/>
      <c r="E47" s="459">
        <v>3.4000000000000002E-2</v>
      </c>
      <c r="F47" s="459">
        <v>1E-3</v>
      </c>
      <c r="G47" s="459">
        <f t="shared" si="2"/>
        <v>3.5000000000000003E-2</v>
      </c>
      <c r="H47" s="456">
        <f t="shared" ref="H47:H52" si="3">ROUND(J47/G47,3)</f>
        <v>2.286</v>
      </c>
      <c r="I47" s="335"/>
      <c r="J47" s="459">
        <v>0.08</v>
      </c>
      <c r="K47" s="407"/>
    </row>
    <row r="48" spans="1:14" x14ac:dyDescent="0.2">
      <c r="A48" s="367"/>
      <c r="B48" s="874" t="s">
        <v>73</v>
      </c>
      <c r="C48" s="874"/>
      <c r="D48" s="874"/>
      <c r="E48" s="459">
        <v>0.25</v>
      </c>
      <c r="F48" s="459">
        <v>0</v>
      </c>
      <c r="G48" s="459">
        <f t="shared" si="2"/>
        <v>0.25</v>
      </c>
      <c r="H48" s="456">
        <f t="shared" si="3"/>
        <v>0.08</v>
      </c>
      <c r="I48" s="335"/>
      <c r="J48" s="459">
        <v>0.02</v>
      </c>
      <c r="K48" s="83"/>
    </row>
    <row r="49" spans="1:14" hidden="1" x14ac:dyDescent="0.2">
      <c r="A49" s="367">
        <v>4</v>
      </c>
      <c r="B49" s="989" t="s">
        <v>151</v>
      </c>
      <c r="C49" s="989"/>
      <c r="D49" s="989"/>
      <c r="E49" s="533">
        <v>3.5999999999999997E-2</v>
      </c>
      <c r="F49" s="533">
        <v>0.01</v>
      </c>
      <c r="G49" s="534">
        <f t="shared" si="2"/>
        <v>4.5999999999999999E-2</v>
      </c>
      <c r="H49" s="535">
        <f t="shared" si="3"/>
        <v>0</v>
      </c>
      <c r="I49" s="406"/>
      <c r="J49" s="533">
        <v>0</v>
      </c>
      <c r="K49" s="83"/>
    </row>
    <row r="50" spans="1:14" hidden="1" x14ac:dyDescent="0.2">
      <c r="A50" s="367">
        <v>5</v>
      </c>
      <c r="B50" s="990" t="s">
        <v>11</v>
      </c>
      <c r="C50" s="990"/>
      <c r="D50" s="990"/>
      <c r="E50" s="346">
        <v>2</v>
      </c>
      <c r="F50" s="346">
        <v>0</v>
      </c>
      <c r="G50" s="374">
        <f t="shared" si="2"/>
        <v>2</v>
      </c>
      <c r="H50" s="375">
        <f t="shared" si="3"/>
        <v>0</v>
      </c>
      <c r="I50" s="406"/>
      <c r="J50" s="346">
        <v>0</v>
      </c>
      <c r="K50" s="83"/>
    </row>
    <row r="51" spans="1:14" hidden="1" x14ac:dyDescent="0.2">
      <c r="A51" s="367">
        <v>6</v>
      </c>
      <c r="B51" s="1000"/>
      <c r="C51" s="1000"/>
      <c r="D51" s="1000"/>
      <c r="E51" s="408">
        <v>1</v>
      </c>
      <c r="F51" s="409">
        <v>0</v>
      </c>
      <c r="G51" s="410">
        <f t="shared" si="2"/>
        <v>1</v>
      </c>
      <c r="H51" s="375">
        <f t="shared" si="3"/>
        <v>0</v>
      </c>
      <c r="I51" s="406"/>
      <c r="J51" s="353"/>
      <c r="K51" s="83"/>
    </row>
    <row r="52" spans="1:14" hidden="1" x14ac:dyDescent="0.2">
      <c r="A52" s="367">
        <v>7</v>
      </c>
      <c r="B52" s="1000"/>
      <c r="C52" s="1000"/>
      <c r="D52" s="1000"/>
      <c r="E52" s="408">
        <v>1</v>
      </c>
      <c r="F52" s="409">
        <v>0</v>
      </c>
      <c r="G52" s="410">
        <f t="shared" si="2"/>
        <v>1</v>
      </c>
      <c r="H52" s="375">
        <f t="shared" si="3"/>
        <v>0</v>
      </c>
      <c r="I52" s="406"/>
      <c r="J52" s="353"/>
      <c r="K52" s="83"/>
    </row>
    <row r="53" spans="1:14" x14ac:dyDescent="0.2">
      <c r="A53" s="339"/>
      <c r="B53" s="977"/>
      <c r="C53" s="977"/>
      <c r="D53" s="977"/>
      <c r="E53" s="977"/>
      <c r="F53" s="977"/>
      <c r="G53" s="977"/>
      <c r="H53" s="335"/>
      <c r="I53" s="335"/>
      <c r="J53" s="343"/>
      <c r="K53" s="83"/>
    </row>
    <row r="54" spans="1:14" ht="15.6" customHeight="1" x14ac:dyDescent="0.2">
      <c r="A54" s="975" t="s">
        <v>768</v>
      </c>
      <c r="B54" s="945"/>
      <c r="C54" s="945"/>
      <c r="D54" s="945"/>
      <c r="E54" s="945"/>
      <c r="F54" s="945"/>
      <c r="G54" s="418" t="s">
        <v>378</v>
      </c>
      <c r="H54" s="477">
        <f>ROUND(1/SUM(H46:H53)+0.13+0.04,3)</f>
        <v>0.56000000000000005</v>
      </c>
      <c r="I54" s="335"/>
      <c r="J54" s="442"/>
      <c r="K54" s="83"/>
      <c r="M54" s="983">
        <v>1</v>
      </c>
      <c r="N54" s="984"/>
    </row>
    <row r="55" spans="1:14" ht="15.6" customHeight="1" x14ac:dyDescent="0.2">
      <c r="A55" s="975" t="s">
        <v>769</v>
      </c>
      <c r="B55" s="945"/>
      <c r="C55" s="945"/>
      <c r="D55" s="945"/>
      <c r="E55" s="945"/>
      <c r="F55" s="945"/>
      <c r="G55" s="418" t="s">
        <v>379</v>
      </c>
      <c r="H55" s="477">
        <f>ROUND(((2*H40*H54)/H26)+((1450*H41*H42*H43)/H26),3)*M54</f>
        <v>0.67300000000000004</v>
      </c>
      <c r="I55" s="335"/>
      <c r="J55" s="442"/>
      <c r="K55" s="83"/>
      <c r="M55" s="985"/>
      <c r="N55" s="986"/>
    </row>
    <row r="56" spans="1:14" ht="13.9" customHeight="1" x14ac:dyDescent="0.2">
      <c r="A56" s="339"/>
      <c r="B56" s="416"/>
      <c r="C56" s="416"/>
      <c r="D56" s="416"/>
      <c r="E56" s="416"/>
      <c r="F56" s="416"/>
      <c r="G56" s="418"/>
      <c r="H56" s="380"/>
      <c r="I56" s="417"/>
      <c r="J56" s="417"/>
      <c r="K56" s="415"/>
      <c r="M56" s="983">
        <v>1</v>
      </c>
      <c r="N56" s="984"/>
    </row>
    <row r="57" spans="1:14" ht="21" x14ac:dyDescent="0.2">
      <c r="A57" s="339"/>
      <c r="B57" s="416"/>
      <c r="C57" s="416"/>
      <c r="D57" s="416"/>
      <c r="E57" s="416"/>
      <c r="F57" s="987" t="s">
        <v>770</v>
      </c>
      <c r="G57" s="988"/>
      <c r="H57" s="687">
        <f>ROUND(1/(((1/H20)+(1/(H38+H55)))),2)</f>
        <v>0.21</v>
      </c>
      <c r="I57" s="974" t="s">
        <v>342</v>
      </c>
      <c r="J57" s="952"/>
      <c r="K57" s="415"/>
      <c r="M57" s="985"/>
      <c r="N57" s="986"/>
    </row>
    <row r="58" spans="1:14" ht="13.9" customHeight="1" x14ac:dyDescent="0.2">
      <c r="A58" s="352"/>
      <c r="B58" s="424"/>
      <c r="C58" s="424"/>
      <c r="D58" s="424"/>
      <c r="E58" s="424"/>
      <c r="F58" s="424"/>
      <c r="G58" s="425"/>
      <c r="H58" s="426"/>
      <c r="I58" s="427"/>
      <c r="J58" s="427"/>
      <c r="K58" s="428"/>
      <c r="M58" s="578"/>
      <c r="N58" s="579"/>
    </row>
  </sheetData>
  <mergeCells count="51">
    <mergeCell ref="E4:J4"/>
    <mergeCell ref="A1:K1"/>
    <mergeCell ref="I57:J57"/>
    <mergeCell ref="B53:G53"/>
    <mergeCell ref="A54:F54"/>
    <mergeCell ref="A55:F55"/>
    <mergeCell ref="B23:F23"/>
    <mergeCell ref="B49:D49"/>
    <mergeCell ref="B50:D50"/>
    <mergeCell ref="B51:D51"/>
    <mergeCell ref="B52:D52"/>
    <mergeCell ref="I38:J38"/>
    <mergeCell ref="B40:F40"/>
    <mergeCell ref="B33:D33"/>
    <mergeCell ref="B46:D46"/>
    <mergeCell ref="B38:F38"/>
    <mergeCell ref="M37:N38"/>
    <mergeCell ref="M54:N55"/>
    <mergeCell ref="M56:N57"/>
    <mergeCell ref="B47:D47"/>
    <mergeCell ref="B48:D48"/>
    <mergeCell ref="F57:G57"/>
    <mergeCell ref="B16:D16"/>
    <mergeCell ref="B17:G17"/>
    <mergeCell ref="A36:F36"/>
    <mergeCell ref="B37:F37"/>
    <mergeCell ref="A20:F20"/>
    <mergeCell ref="B30:D30"/>
    <mergeCell ref="B31:D31"/>
    <mergeCell ref="D22:F22"/>
    <mergeCell ref="D24:F24"/>
    <mergeCell ref="D25:F25"/>
    <mergeCell ref="D26:F26"/>
    <mergeCell ref="B28:F28"/>
    <mergeCell ref="B34:D34"/>
    <mergeCell ref="B9:D9"/>
    <mergeCell ref="B43:F43"/>
    <mergeCell ref="B45:D45"/>
    <mergeCell ref="G6:I6"/>
    <mergeCell ref="G7:I7"/>
    <mergeCell ref="B42:F42"/>
    <mergeCell ref="B10:D10"/>
    <mergeCell ref="B11:D11"/>
    <mergeCell ref="B12:D12"/>
    <mergeCell ref="B13:D13"/>
    <mergeCell ref="B14:D14"/>
    <mergeCell ref="A41:F41"/>
    <mergeCell ref="B32:D32"/>
    <mergeCell ref="B6:E7"/>
    <mergeCell ref="A19:F19"/>
    <mergeCell ref="B15:D15"/>
  </mergeCells>
  <printOptions horizontalCentered="1"/>
  <pageMargins left="0.9055118110236221" right="0.70866141732283472" top="0.74803149606299213" bottom="0.74803149606299213" header="0.31496062992125984" footer="0.31496062992125984"/>
  <pageSetup paperSize="9" orientation="portrait" r:id="rId1"/>
  <headerFooter>
    <oddFooter>&amp;C&amp;A&amp;R&amp;F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L49"/>
  <sheetViews>
    <sheetView workbookViewId="0">
      <selection activeCell="S4" sqref="S4:S6"/>
    </sheetView>
  </sheetViews>
  <sheetFormatPr defaultRowHeight="15" x14ac:dyDescent="0.25"/>
  <cols>
    <col min="1" max="1" width="3.140625" customWidth="1"/>
    <col min="4" max="18" width="4.28515625" bestFit="1" customWidth="1"/>
    <col min="26" max="26" width="5.7109375" customWidth="1"/>
    <col min="27" max="27" width="5.42578125" customWidth="1"/>
    <col min="28" max="28" width="18.5703125" customWidth="1"/>
    <col min="29" max="29" width="6.85546875" customWidth="1"/>
    <col min="30" max="30" width="6" customWidth="1"/>
    <col min="32" max="32" width="9.140625" hidden="1" customWidth="1"/>
    <col min="34" max="34" width="1" customWidth="1"/>
    <col min="36" max="36" width="1.42578125" customWidth="1"/>
    <col min="37" max="37" width="8.140625" customWidth="1"/>
    <col min="38" max="38" width="6" customWidth="1"/>
  </cols>
  <sheetData>
    <row r="1" spans="2:38" x14ac:dyDescent="0.25">
      <c r="S1" s="1002" t="s">
        <v>688</v>
      </c>
      <c r="T1" s="1003"/>
      <c r="U1" s="1004" t="s">
        <v>689</v>
      </c>
      <c r="V1" s="1005"/>
      <c r="W1" s="1006" t="s">
        <v>495</v>
      </c>
      <c r="X1" s="1007"/>
    </row>
    <row r="2" spans="2:38" x14ac:dyDescent="0.25">
      <c r="R2">
        <f>'4.lapa'!M2</f>
        <v>19</v>
      </c>
      <c r="S2" s="520">
        <f>R2</f>
        <v>19</v>
      </c>
      <c r="T2" s="521">
        <f>R2</f>
        <v>19</v>
      </c>
      <c r="U2" s="520">
        <f>R2</f>
        <v>19</v>
      </c>
      <c r="V2" s="521">
        <f>R2</f>
        <v>19</v>
      </c>
      <c r="W2" s="1008">
        <f>R2</f>
        <v>19</v>
      </c>
      <c r="X2" s="1009"/>
    </row>
    <row r="3" spans="2:38" ht="45" customHeight="1" x14ac:dyDescent="0.25">
      <c r="B3" s="1025" t="s">
        <v>29</v>
      </c>
      <c r="C3" s="1025"/>
      <c r="D3" s="785" t="s">
        <v>690</v>
      </c>
      <c r="E3" s="786"/>
      <c r="F3" s="786"/>
      <c r="G3" s="787"/>
      <c r="H3" s="659">
        <v>19</v>
      </c>
      <c r="I3" s="785" t="s">
        <v>691</v>
      </c>
      <c r="J3" s="786"/>
      <c r="K3" s="786"/>
      <c r="L3" s="787"/>
      <c r="M3" s="659">
        <v>19</v>
      </c>
      <c r="N3" s="785" t="s">
        <v>692</v>
      </c>
      <c r="O3" s="786"/>
      <c r="P3" s="786"/>
      <c r="Q3" s="786"/>
      <c r="R3" s="659">
        <v>19</v>
      </c>
      <c r="S3" s="522" t="s">
        <v>693</v>
      </c>
      <c r="T3" s="523" t="s">
        <v>694</v>
      </c>
      <c r="U3" s="524" t="s">
        <v>695</v>
      </c>
      <c r="V3" s="525" t="s">
        <v>696</v>
      </c>
      <c r="W3" s="524" t="s">
        <v>695</v>
      </c>
      <c r="X3" s="525" t="s">
        <v>696</v>
      </c>
      <c r="Y3" s="632" t="s">
        <v>34</v>
      </c>
      <c r="Z3" s="785" t="s">
        <v>26</v>
      </c>
      <c r="AA3" s="1032"/>
      <c r="AB3" s="1025" t="s">
        <v>15</v>
      </c>
      <c r="AC3" s="1025" t="s">
        <v>32</v>
      </c>
      <c r="AD3" s="1025"/>
      <c r="AE3" s="1025" t="s">
        <v>33</v>
      </c>
      <c r="AF3" s="1025"/>
      <c r="AG3" s="1025"/>
      <c r="AH3" s="1025"/>
      <c r="AI3" s="1025"/>
      <c r="AJ3" s="1025"/>
      <c r="AK3" s="1025"/>
      <c r="AL3" s="1025"/>
    </row>
    <row r="4" spans="2:38" ht="15" customHeight="1" x14ac:dyDescent="0.25">
      <c r="B4" s="1056" t="s">
        <v>28</v>
      </c>
      <c r="C4" s="1057"/>
      <c r="D4" s="1039">
        <v>0.2</v>
      </c>
      <c r="E4" s="1041">
        <v>0.25</v>
      </c>
      <c r="F4" s="1036">
        <v>0.15</v>
      </c>
      <c r="G4" s="1037">
        <v>0.2</v>
      </c>
      <c r="H4" s="1060">
        <v>0.2</v>
      </c>
      <c r="I4" s="1039">
        <v>0.25</v>
      </c>
      <c r="J4" s="1041">
        <v>0.35</v>
      </c>
      <c r="K4" s="1036">
        <v>0.2</v>
      </c>
      <c r="L4" s="1037">
        <v>0.25</v>
      </c>
      <c r="M4" s="1060">
        <v>0.23</v>
      </c>
      <c r="N4" s="1039">
        <v>0.35</v>
      </c>
      <c r="O4" s="1041">
        <v>0.5</v>
      </c>
      <c r="P4" s="1036">
        <v>0.25</v>
      </c>
      <c r="Q4" s="1063">
        <v>0.35</v>
      </c>
      <c r="R4" s="1060">
        <v>0.25</v>
      </c>
      <c r="S4" s="1049">
        <f>IF($S$2=1,E4*Y12,G4*Y12)</f>
        <v>0.19600000000000001</v>
      </c>
      <c r="T4" s="1011">
        <f>IF(T2=1,D4*Y12,F4*Y12)</f>
        <v>0.14699999999999999</v>
      </c>
      <c r="U4" s="1054">
        <f>IF($U$2=1,J4*$Y$12,L4*$Y$12)</f>
        <v>0.245</v>
      </c>
      <c r="V4" s="1011">
        <f>IF($V$2=1,I4*$Y$12,K4*$Y$12)</f>
        <v>0.19600000000000001</v>
      </c>
      <c r="W4" s="1013">
        <f>IF($W$2=1,U4,S4)</f>
        <v>0.19600000000000001</v>
      </c>
      <c r="X4" s="1010">
        <f>IF($W$2=1,V4,T4)</f>
        <v>0.14699999999999999</v>
      </c>
      <c r="Y4" s="9" t="s">
        <v>35</v>
      </c>
      <c r="Z4" s="798" t="s">
        <v>27</v>
      </c>
      <c r="AA4" s="800"/>
      <c r="AB4" s="1025"/>
      <c r="AC4" s="1025"/>
      <c r="AD4" s="1025"/>
      <c r="AE4" s="1026">
        <v>20</v>
      </c>
      <c r="AF4" s="1026"/>
      <c r="AG4" s="1026">
        <v>21</v>
      </c>
      <c r="AH4" s="1026"/>
      <c r="AI4" s="1026">
        <v>22</v>
      </c>
      <c r="AJ4" s="1026"/>
      <c r="AK4" s="431">
        <v>23</v>
      </c>
      <c r="AL4" s="431">
        <v>24</v>
      </c>
    </row>
    <row r="5" spans="2:38" ht="15" customHeight="1" x14ac:dyDescent="0.25">
      <c r="B5" s="1058"/>
      <c r="C5" s="1059"/>
      <c r="D5" s="1040"/>
      <c r="E5" s="1042"/>
      <c r="F5" s="1033"/>
      <c r="G5" s="1038"/>
      <c r="H5" s="1061"/>
      <c r="I5" s="1040"/>
      <c r="J5" s="1042"/>
      <c r="K5" s="1033"/>
      <c r="L5" s="1038"/>
      <c r="M5" s="1061"/>
      <c r="N5" s="1040"/>
      <c r="O5" s="1042"/>
      <c r="P5" s="1033"/>
      <c r="Q5" s="1064"/>
      <c r="R5" s="1061"/>
      <c r="S5" s="1049"/>
      <c r="T5" s="1011"/>
      <c r="U5" s="1054"/>
      <c r="V5" s="1011"/>
      <c r="W5" s="1013"/>
      <c r="X5" s="1010"/>
      <c r="Y5" s="1047">
        <v>1</v>
      </c>
      <c r="Z5" s="1018">
        <v>205</v>
      </c>
      <c r="AA5" s="1019"/>
      <c r="AB5" s="5" t="s">
        <v>16</v>
      </c>
      <c r="AC5" s="1029">
        <v>-0.5</v>
      </c>
      <c r="AD5" s="1030"/>
      <c r="AE5" s="1031">
        <v>0.93</v>
      </c>
      <c r="AF5" s="1031"/>
      <c r="AG5" s="1031">
        <v>0.88</v>
      </c>
      <c r="AH5" s="1031"/>
      <c r="AI5" s="1031">
        <v>0.84</v>
      </c>
      <c r="AJ5" s="1031"/>
      <c r="AK5" s="640">
        <v>0.81</v>
      </c>
      <c r="AL5" s="641">
        <v>0.78</v>
      </c>
    </row>
    <row r="6" spans="2:38" ht="15" customHeight="1" x14ac:dyDescent="0.25">
      <c r="B6" s="1058"/>
      <c r="C6" s="1059"/>
      <c r="D6" s="1040"/>
      <c r="E6" s="1042"/>
      <c r="F6" s="1033"/>
      <c r="G6" s="1038"/>
      <c r="H6" s="1061"/>
      <c r="I6" s="1040"/>
      <c r="J6" s="1042"/>
      <c r="K6" s="1033"/>
      <c r="L6" s="1038"/>
      <c r="M6" s="1061"/>
      <c r="N6" s="1040"/>
      <c r="O6" s="1042"/>
      <c r="P6" s="1033"/>
      <c r="Q6" s="1064"/>
      <c r="R6" s="1061"/>
      <c r="S6" s="1049"/>
      <c r="T6" s="1011"/>
      <c r="U6" s="1054"/>
      <c r="V6" s="1011"/>
      <c r="W6" s="1013"/>
      <c r="X6" s="1010"/>
      <c r="Y6" s="1048"/>
      <c r="Z6" s="1016">
        <v>214</v>
      </c>
      <c r="AA6" s="1017"/>
      <c r="AB6" s="3" t="s">
        <v>17</v>
      </c>
      <c r="AC6" s="1020">
        <v>-1.9</v>
      </c>
      <c r="AD6" s="1021"/>
      <c r="AE6" s="1024">
        <v>0.87</v>
      </c>
      <c r="AF6" s="1024"/>
      <c r="AG6" s="1024">
        <v>0.83</v>
      </c>
      <c r="AH6" s="1024"/>
      <c r="AI6" s="1024">
        <v>0.79</v>
      </c>
      <c r="AJ6" s="1024"/>
      <c r="AK6" s="637">
        <v>0.76</v>
      </c>
      <c r="AL6" s="6">
        <v>0.73</v>
      </c>
    </row>
    <row r="7" spans="2:38" ht="15" customHeight="1" x14ac:dyDescent="0.25">
      <c r="B7" s="1027" t="s">
        <v>30</v>
      </c>
      <c r="C7" s="1028"/>
      <c r="D7" s="633">
        <v>0.25</v>
      </c>
      <c r="E7" s="635">
        <v>0.35</v>
      </c>
      <c r="F7" s="642">
        <v>0.15</v>
      </c>
      <c r="G7" s="643">
        <v>0.2</v>
      </c>
      <c r="H7" s="660">
        <v>0.2</v>
      </c>
      <c r="I7" s="633">
        <v>0.35</v>
      </c>
      <c r="J7" s="635">
        <v>0.5</v>
      </c>
      <c r="K7" s="642">
        <v>0.2</v>
      </c>
      <c r="L7" s="643">
        <v>0.25</v>
      </c>
      <c r="M7" s="660">
        <v>0.25</v>
      </c>
      <c r="N7" s="633">
        <v>0.5</v>
      </c>
      <c r="O7" s="635">
        <v>0.7</v>
      </c>
      <c r="P7" s="642">
        <v>0.3</v>
      </c>
      <c r="Q7" s="644">
        <v>0.4</v>
      </c>
      <c r="R7" s="660">
        <v>0.35</v>
      </c>
      <c r="S7" s="645">
        <f>IF(S2=1,E7*Y12,G7*Y12)</f>
        <v>0.19600000000000001</v>
      </c>
      <c r="T7" s="646">
        <f>IF(T2=1,D7*Y12,F7*Y12)</f>
        <v>0.14699999999999999</v>
      </c>
      <c r="U7" s="647">
        <f t="shared" ref="U7:U15" si="0">IF($U$2=1,J7*$Y$12,L7*$Y$12)</f>
        <v>0.245</v>
      </c>
      <c r="V7" s="646">
        <f t="shared" ref="V7:V15" si="1">IF($V$2=1,I7*$Y$12,K7*$Y$12)</f>
        <v>0.19600000000000001</v>
      </c>
      <c r="W7" s="638">
        <f>IF($W$2=1,U7,S7)</f>
        <v>0.19600000000000001</v>
      </c>
      <c r="X7" s="639">
        <f>IF($W$2=1,V7,T7)</f>
        <v>0.14699999999999999</v>
      </c>
      <c r="Y7" s="1048"/>
      <c r="Z7" s="1016">
        <v>205</v>
      </c>
      <c r="AA7" s="1017"/>
      <c r="AB7" s="3" t="s">
        <v>18</v>
      </c>
      <c r="AC7" s="1020">
        <v>-1.3</v>
      </c>
      <c r="AD7" s="1021"/>
      <c r="AE7" s="1024">
        <v>0.89</v>
      </c>
      <c r="AF7" s="1024"/>
      <c r="AG7" s="1024">
        <v>0.85</v>
      </c>
      <c r="AH7" s="1024"/>
      <c r="AI7" s="1024">
        <v>0.82</v>
      </c>
      <c r="AJ7" s="1024"/>
      <c r="AK7" s="637">
        <v>0.78</v>
      </c>
      <c r="AL7" s="6">
        <v>0.75</v>
      </c>
    </row>
    <row r="8" spans="2:38" ht="15" customHeight="1" x14ac:dyDescent="0.25">
      <c r="B8" s="1027" t="s">
        <v>701</v>
      </c>
      <c r="C8" s="1028"/>
      <c r="D8" s="633"/>
      <c r="E8" s="635"/>
      <c r="F8" s="642"/>
      <c r="G8" s="643"/>
      <c r="H8" s="660">
        <v>0.3</v>
      </c>
      <c r="I8" s="633"/>
      <c r="J8" s="635"/>
      <c r="K8" s="642"/>
      <c r="L8" s="643"/>
      <c r="M8" s="660">
        <v>0.35</v>
      </c>
      <c r="N8" s="633"/>
      <c r="O8" s="635"/>
      <c r="P8" s="642"/>
      <c r="Q8" s="644"/>
      <c r="R8" s="660">
        <v>0.4</v>
      </c>
      <c r="S8" s="645">
        <f>IF(S3=1,E8*Y13,G8*Y13)</f>
        <v>0</v>
      </c>
      <c r="T8" s="646">
        <f>IF(T3=1,D8*Y13,F8*Y13)</f>
        <v>0</v>
      </c>
      <c r="U8" s="647">
        <f t="shared" si="0"/>
        <v>0</v>
      </c>
      <c r="V8" s="646">
        <f t="shared" si="1"/>
        <v>0</v>
      </c>
      <c r="W8" s="638">
        <f>IF($W$2=1,U8,S8)</f>
        <v>0</v>
      </c>
      <c r="X8" s="639">
        <f>IF($W$2=1,V8,T8)</f>
        <v>0</v>
      </c>
      <c r="Y8" s="1048"/>
      <c r="Z8" s="1016">
        <v>205</v>
      </c>
      <c r="AA8" s="1017"/>
      <c r="AB8" s="3" t="s">
        <v>18</v>
      </c>
      <c r="AC8" s="1020">
        <v>-1.3</v>
      </c>
      <c r="AD8" s="1021"/>
      <c r="AE8" s="1024">
        <v>0.89</v>
      </c>
      <c r="AF8" s="1024"/>
      <c r="AG8" s="1024">
        <v>0.85</v>
      </c>
      <c r="AH8" s="1024"/>
      <c r="AI8" s="1024">
        <v>0.82</v>
      </c>
      <c r="AJ8" s="1024"/>
      <c r="AK8" s="637">
        <v>0.78</v>
      </c>
      <c r="AL8" s="6">
        <v>0.75</v>
      </c>
    </row>
    <row r="9" spans="2:38" ht="15" customHeight="1" x14ac:dyDescent="0.25">
      <c r="B9" s="1027" t="s">
        <v>12</v>
      </c>
      <c r="C9" s="1028"/>
      <c r="D9" s="1040">
        <v>0.25</v>
      </c>
      <c r="E9" s="1042">
        <v>0.3</v>
      </c>
      <c r="F9" s="1033">
        <v>0.18</v>
      </c>
      <c r="G9" s="1038">
        <v>0.23</v>
      </c>
      <c r="H9" s="1061">
        <v>0.23</v>
      </c>
      <c r="I9" s="1040">
        <v>0.35</v>
      </c>
      <c r="J9" s="1042">
        <v>0.4</v>
      </c>
      <c r="K9" s="1033">
        <v>0.2</v>
      </c>
      <c r="L9" s="1038">
        <v>0.25</v>
      </c>
      <c r="M9" s="1061">
        <v>0.25</v>
      </c>
      <c r="N9" s="1040">
        <v>0.45</v>
      </c>
      <c r="O9" s="1042">
        <v>0.5</v>
      </c>
      <c r="P9" s="1033">
        <v>0.25</v>
      </c>
      <c r="Q9" s="1064">
        <v>0.35</v>
      </c>
      <c r="R9" s="1061">
        <v>0.3</v>
      </c>
      <c r="S9" s="1049">
        <f>IF(S2=1,E9*Y12,G9*Y12)</f>
        <v>0.22540000000000002</v>
      </c>
      <c r="T9" s="1011">
        <f>IF(T2=1,D9*Y12,F9*Y12)</f>
        <v>0.1764</v>
      </c>
      <c r="U9" s="1050">
        <f t="shared" si="0"/>
        <v>0.245</v>
      </c>
      <c r="V9" s="648">
        <f t="shared" si="1"/>
        <v>0.19600000000000001</v>
      </c>
      <c r="W9" s="1013">
        <f t="shared" ref="W9:X15" si="2">IF($W$2=1,U9,S9)</f>
        <v>0.22540000000000002</v>
      </c>
      <c r="X9" s="1010">
        <f t="shared" si="2"/>
        <v>0.1764</v>
      </c>
      <c r="Y9" s="1048"/>
      <c r="Z9" s="1016">
        <v>204</v>
      </c>
      <c r="AA9" s="1017"/>
      <c r="AB9" s="3" t="s">
        <v>19</v>
      </c>
      <c r="AC9" s="1020">
        <v>-0.4</v>
      </c>
      <c r="AD9" s="1021"/>
      <c r="AE9" s="1024">
        <v>0.93</v>
      </c>
      <c r="AF9" s="1024"/>
      <c r="AG9" s="1024">
        <v>0.89</v>
      </c>
      <c r="AH9" s="1024"/>
      <c r="AI9" s="1024">
        <v>0.85</v>
      </c>
      <c r="AJ9" s="1024"/>
      <c r="AK9" s="637">
        <v>0.81</v>
      </c>
      <c r="AL9" s="6">
        <v>0.78</v>
      </c>
    </row>
    <row r="10" spans="2:38" ht="15" customHeight="1" x14ac:dyDescent="0.25">
      <c r="B10" s="1023" t="s">
        <v>697</v>
      </c>
      <c r="C10" s="1020"/>
      <c r="D10" s="1040"/>
      <c r="E10" s="1042"/>
      <c r="F10" s="1033"/>
      <c r="G10" s="1038"/>
      <c r="H10" s="1061"/>
      <c r="I10" s="1040"/>
      <c r="J10" s="1042"/>
      <c r="K10" s="1033"/>
      <c r="L10" s="1038"/>
      <c r="M10" s="1061"/>
      <c r="N10" s="1040"/>
      <c r="O10" s="1042"/>
      <c r="P10" s="1033"/>
      <c r="Q10" s="1064"/>
      <c r="R10" s="1061"/>
      <c r="S10" s="1049"/>
      <c r="T10" s="1011"/>
      <c r="U10" s="1051">
        <f t="shared" si="0"/>
        <v>0</v>
      </c>
      <c r="V10" s="649">
        <f t="shared" si="1"/>
        <v>0</v>
      </c>
      <c r="W10" s="1013">
        <f t="shared" si="2"/>
        <v>0</v>
      </c>
      <c r="X10" s="1010">
        <f t="shared" si="2"/>
        <v>0</v>
      </c>
      <c r="Y10" s="1048"/>
      <c r="Z10" s="1016">
        <v>193</v>
      </c>
      <c r="AA10" s="1017"/>
      <c r="AB10" s="3" t="s">
        <v>20</v>
      </c>
      <c r="AC10" s="1020">
        <v>0.6</v>
      </c>
      <c r="AD10" s="1021"/>
      <c r="AE10" s="1024">
        <v>0.98</v>
      </c>
      <c r="AF10" s="1024"/>
      <c r="AG10" s="1024">
        <v>0.93</v>
      </c>
      <c r="AH10" s="1024"/>
      <c r="AI10" s="1024">
        <v>0.89</v>
      </c>
      <c r="AJ10" s="1024"/>
      <c r="AK10" s="637">
        <v>0.85</v>
      </c>
      <c r="AL10" s="6">
        <v>0.81</v>
      </c>
    </row>
    <row r="11" spans="2:38" ht="15" customHeight="1" x14ac:dyDescent="0.25">
      <c r="B11" s="1023" t="s">
        <v>698</v>
      </c>
      <c r="C11" s="1020"/>
      <c r="D11" s="633">
        <v>0.3</v>
      </c>
      <c r="E11" s="635">
        <v>0.4</v>
      </c>
      <c r="F11" s="642">
        <v>0.18</v>
      </c>
      <c r="G11" s="643">
        <v>0.65</v>
      </c>
      <c r="H11" s="660">
        <v>0.65</v>
      </c>
      <c r="I11" s="633">
        <v>0.4</v>
      </c>
      <c r="J11" s="635">
        <v>0.5</v>
      </c>
      <c r="K11" s="642">
        <v>0.2</v>
      </c>
      <c r="L11" s="643">
        <v>0.65</v>
      </c>
      <c r="M11" s="660">
        <v>0.65</v>
      </c>
      <c r="N11" s="633">
        <v>0.5</v>
      </c>
      <c r="O11" s="635">
        <v>0.6</v>
      </c>
      <c r="P11" s="642">
        <v>0.25</v>
      </c>
      <c r="Q11" s="644">
        <v>0.35</v>
      </c>
      <c r="R11" s="660">
        <v>0.65</v>
      </c>
      <c r="S11" s="645">
        <f>G11*Y12</f>
        <v>0.63700000000000001</v>
      </c>
      <c r="T11" s="646">
        <f>IF(T2=1,D11*Y12,F11*Y12)</f>
        <v>0.1764</v>
      </c>
      <c r="U11" s="647">
        <f t="shared" si="0"/>
        <v>0.63700000000000001</v>
      </c>
      <c r="V11" s="646">
        <f t="shared" si="1"/>
        <v>0.19600000000000001</v>
      </c>
      <c r="W11" s="638">
        <f t="shared" si="2"/>
        <v>0.63700000000000001</v>
      </c>
      <c r="X11" s="639">
        <f t="shared" si="2"/>
        <v>0.1764</v>
      </c>
      <c r="Y11" s="436" t="s">
        <v>38</v>
      </c>
      <c r="Z11" s="1016">
        <v>211</v>
      </c>
      <c r="AA11" s="1017"/>
      <c r="AB11" s="3" t="s">
        <v>21</v>
      </c>
      <c r="AC11" s="1020">
        <v>0.4</v>
      </c>
      <c r="AD11" s="1021"/>
      <c r="AE11" s="1024">
        <v>0.97</v>
      </c>
      <c r="AF11" s="1024"/>
      <c r="AG11" s="1024">
        <v>0.92</v>
      </c>
      <c r="AH11" s="1024"/>
      <c r="AI11" s="1024">
        <v>0.88</v>
      </c>
      <c r="AJ11" s="1024"/>
      <c r="AK11" s="637">
        <v>0.84</v>
      </c>
      <c r="AL11" s="6">
        <v>0.81</v>
      </c>
    </row>
    <row r="12" spans="2:38" ht="15" customHeight="1" x14ac:dyDescent="0.25">
      <c r="B12" s="650" t="s">
        <v>699</v>
      </c>
      <c r="C12" s="651"/>
      <c r="D12" s="633">
        <v>1.8</v>
      </c>
      <c r="E12" s="635">
        <v>2.7</v>
      </c>
      <c r="F12" s="642">
        <v>1.3</v>
      </c>
      <c r="G12" s="643">
        <v>1.8</v>
      </c>
      <c r="H12" s="660">
        <v>1.1000000000000001</v>
      </c>
      <c r="I12" s="633">
        <v>2.2000000000000002</v>
      </c>
      <c r="J12" s="635">
        <v>2.9</v>
      </c>
      <c r="K12" s="642">
        <v>1.4</v>
      </c>
      <c r="L12" s="643">
        <v>1.8</v>
      </c>
      <c r="M12" s="660">
        <v>1.1000000000000001</v>
      </c>
      <c r="N12" s="633">
        <v>2.4</v>
      </c>
      <c r="O12" s="635">
        <v>2.9</v>
      </c>
      <c r="P12" s="642">
        <v>1.6</v>
      </c>
      <c r="Q12" s="644">
        <v>1.5</v>
      </c>
      <c r="R12" s="660">
        <v>1.3</v>
      </c>
      <c r="S12" s="652">
        <f>IF(S2=1,E12*Y12,G12*Y12)</f>
        <v>1.764</v>
      </c>
      <c r="T12" s="648">
        <f>IF(T2=1,D12*Y12,F12*Y12)</f>
        <v>1.274</v>
      </c>
      <c r="U12" s="647">
        <f t="shared" si="0"/>
        <v>1.764</v>
      </c>
      <c r="V12" s="646">
        <f t="shared" si="1"/>
        <v>1.3719999999999999</v>
      </c>
      <c r="W12" s="638">
        <f t="shared" si="2"/>
        <v>1.764</v>
      </c>
      <c r="X12" s="639">
        <f t="shared" si="2"/>
        <v>1.274</v>
      </c>
      <c r="Y12" s="1048">
        <f>ROUND(19/(J19-S19),2)</f>
        <v>0.98</v>
      </c>
      <c r="Z12" s="1016">
        <v>208</v>
      </c>
      <c r="AA12" s="1017"/>
      <c r="AB12" s="3" t="s">
        <v>22</v>
      </c>
      <c r="AC12" s="1020">
        <v>-1.1000000000000001</v>
      </c>
      <c r="AD12" s="1021"/>
      <c r="AE12" s="1024">
        <v>0.9</v>
      </c>
      <c r="AF12" s="1024"/>
      <c r="AG12" s="1024">
        <v>0.86</v>
      </c>
      <c r="AH12" s="1024"/>
      <c r="AI12" s="1024">
        <v>0.82</v>
      </c>
      <c r="AJ12" s="1024"/>
      <c r="AK12" s="637">
        <v>0.79</v>
      </c>
      <c r="AL12" s="6">
        <v>0.76</v>
      </c>
    </row>
    <row r="13" spans="2:38" ht="15" customHeight="1" x14ac:dyDescent="0.25">
      <c r="B13" s="653" t="s">
        <v>700</v>
      </c>
      <c r="C13" s="654"/>
      <c r="D13" s="633">
        <v>1.8</v>
      </c>
      <c r="E13" s="635">
        <v>2.7</v>
      </c>
      <c r="F13" s="642">
        <v>1.8</v>
      </c>
      <c r="G13" s="643">
        <v>2.2999999999999998</v>
      </c>
      <c r="H13" s="660">
        <v>1.8</v>
      </c>
      <c r="I13" s="633">
        <v>2.2000000000000002</v>
      </c>
      <c r="J13" s="635">
        <v>2.9</v>
      </c>
      <c r="K13" s="642">
        <v>2</v>
      </c>
      <c r="L13" s="643">
        <v>2.5</v>
      </c>
      <c r="M13" s="660">
        <v>2</v>
      </c>
      <c r="N13" s="633">
        <v>2.4</v>
      </c>
      <c r="O13" s="635">
        <v>2.9</v>
      </c>
      <c r="P13" s="642">
        <v>2.2000000000000002</v>
      </c>
      <c r="Q13" s="644">
        <v>2.7</v>
      </c>
      <c r="R13" s="660">
        <v>2.2000000000000002</v>
      </c>
      <c r="S13" s="655">
        <f>IF(S2=1,E13*Y12,G13*Y12)</f>
        <v>2.254</v>
      </c>
      <c r="T13" s="649">
        <f>IF(T2=1,D13*Y12,F13*Y12)</f>
        <v>1.764</v>
      </c>
      <c r="U13" s="647">
        <f t="shared" si="0"/>
        <v>2.4500000000000002</v>
      </c>
      <c r="V13" s="646">
        <f t="shared" si="1"/>
        <v>1.96</v>
      </c>
      <c r="W13" s="638">
        <f t="shared" si="2"/>
        <v>2.254</v>
      </c>
      <c r="X13" s="639">
        <f t="shared" si="2"/>
        <v>1.764</v>
      </c>
      <c r="Y13" s="1048"/>
      <c r="Z13" s="1016">
        <v>203</v>
      </c>
      <c r="AA13" s="1017"/>
      <c r="AB13" s="3" t="s">
        <v>23</v>
      </c>
      <c r="AC13" s="1020">
        <v>0</v>
      </c>
      <c r="AD13" s="1021"/>
      <c r="AE13" s="1024">
        <v>0.95</v>
      </c>
      <c r="AF13" s="1024"/>
      <c r="AG13" s="1024">
        <v>0.9</v>
      </c>
      <c r="AH13" s="1024"/>
      <c r="AI13" s="1024">
        <v>0.86</v>
      </c>
      <c r="AJ13" s="1024"/>
      <c r="AK13" s="637">
        <v>0.83</v>
      </c>
      <c r="AL13" s="6">
        <v>0.79</v>
      </c>
    </row>
    <row r="14" spans="2:38" ht="15" customHeight="1" x14ac:dyDescent="0.25">
      <c r="B14" s="1088" t="s">
        <v>36</v>
      </c>
      <c r="C14" s="1089"/>
      <c r="D14" s="1040">
        <v>0.2</v>
      </c>
      <c r="E14" s="1042">
        <v>0.25</v>
      </c>
      <c r="F14" s="1033">
        <v>0.1</v>
      </c>
      <c r="G14" s="1038">
        <v>0.15</v>
      </c>
      <c r="H14" s="1061">
        <v>0.2</v>
      </c>
      <c r="I14" s="1040">
        <v>0.25</v>
      </c>
      <c r="J14" s="1042">
        <v>0.35</v>
      </c>
      <c r="K14" s="1033">
        <v>0.15</v>
      </c>
      <c r="L14" s="1038">
        <v>0.2</v>
      </c>
      <c r="M14" s="1061">
        <v>0.2</v>
      </c>
      <c r="N14" s="1040">
        <v>0.35</v>
      </c>
      <c r="O14" s="1042">
        <v>0.5</v>
      </c>
      <c r="P14" s="1033">
        <v>0.3</v>
      </c>
      <c r="Q14" s="1064">
        <v>0.35</v>
      </c>
      <c r="R14" s="1061">
        <v>0.35</v>
      </c>
      <c r="S14" s="1049">
        <f>IF(S2=1,E14*Y12,G14*Y12)</f>
        <v>0.14699999999999999</v>
      </c>
      <c r="T14" s="1011">
        <f>IF(T2=1,D14*Y12,F14*Y12)</f>
        <v>9.8000000000000004E-2</v>
      </c>
      <c r="U14" s="1054">
        <f t="shared" si="0"/>
        <v>0.19600000000000001</v>
      </c>
      <c r="V14" s="1011">
        <f t="shared" si="1"/>
        <v>0.14699999999999999</v>
      </c>
      <c r="W14" s="1013">
        <f t="shared" si="2"/>
        <v>0.14699999999999999</v>
      </c>
      <c r="X14" s="1010">
        <f t="shared" si="2"/>
        <v>9.8000000000000004E-2</v>
      </c>
      <c r="Y14" s="1048"/>
      <c r="Z14" s="1016">
        <v>209</v>
      </c>
      <c r="AA14" s="1017"/>
      <c r="AB14" s="3" t="s">
        <v>24</v>
      </c>
      <c r="AC14" s="1020">
        <v>-0.2</v>
      </c>
      <c r="AD14" s="1021"/>
      <c r="AE14" s="1024">
        <v>0.94</v>
      </c>
      <c r="AF14" s="1024"/>
      <c r="AG14" s="1024">
        <v>0.9</v>
      </c>
      <c r="AH14" s="1024"/>
      <c r="AI14" s="1024">
        <v>0.86</v>
      </c>
      <c r="AJ14" s="1024"/>
      <c r="AK14" s="637">
        <v>0.82</v>
      </c>
      <c r="AL14" s="6">
        <v>0.79</v>
      </c>
    </row>
    <row r="15" spans="2:38" ht="15" customHeight="1" thickBot="1" x14ac:dyDescent="0.3">
      <c r="B15" s="1090"/>
      <c r="C15" s="1091"/>
      <c r="D15" s="1045"/>
      <c r="E15" s="1046"/>
      <c r="F15" s="1043"/>
      <c r="G15" s="1044"/>
      <c r="H15" s="1062"/>
      <c r="I15" s="1045"/>
      <c r="J15" s="1046"/>
      <c r="K15" s="1043"/>
      <c r="L15" s="1044"/>
      <c r="M15" s="1062"/>
      <c r="N15" s="1045"/>
      <c r="O15" s="1046"/>
      <c r="P15" s="1043"/>
      <c r="Q15" s="1065"/>
      <c r="R15" s="1062"/>
      <c r="S15" s="1053"/>
      <c r="T15" s="1012"/>
      <c r="U15" s="1055">
        <f t="shared" si="0"/>
        <v>0</v>
      </c>
      <c r="V15" s="1012">
        <f t="shared" si="1"/>
        <v>0</v>
      </c>
      <c r="W15" s="1014">
        <f t="shared" si="2"/>
        <v>0</v>
      </c>
      <c r="X15" s="1015">
        <f t="shared" si="2"/>
        <v>0</v>
      </c>
      <c r="Y15" s="1052"/>
      <c r="Z15" s="1073">
        <v>206</v>
      </c>
      <c r="AA15" s="1074"/>
      <c r="AB15" s="4" t="s">
        <v>25</v>
      </c>
      <c r="AC15" s="1075">
        <v>-1.3</v>
      </c>
      <c r="AD15" s="1076"/>
      <c r="AE15" s="1077">
        <v>0.89</v>
      </c>
      <c r="AF15" s="1077"/>
      <c r="AG15" s="1077">
        <v>0.85</v>
      </c>
      <c r="AH15" s="1077"/>
      <c r="AI15" s="1077">
        <v>0.82</v>
      </c>
      <c r="AJ15" s="1077"/>
      <c r="AK15" s="636">
        <v>0.78</v>
      </c>
      <c r="AL15" s="7">
        <v>0.75</v>
      </c>
    </row>
    <row r="17" spans="3:33" x14ac:dyDescent="0.25">
      <c r="C17" s="1078" t="s">
        <v>39</v>
      </c>
      <c r="D17" s="1079"/>
      <c r="E17" s="1079"/>
      <c r="F17" s="1079"/>
      <c r="G17" s="1079"/>
      <c r="H17" s="1079"/>
      <c r="I17" s="1079"/>
      <c r="J17" s="1079"/>
      <c r="K17" s="1079"/>
      <c r="L17" s="1080"/>
      <c r="M17" s="634"/>
      <c r="R17" s="634"/>
    </row>
    <row r="18" spans="3:33" ht="15" customHeight="1" x14ac:dyDescent="0.25">
      <c r="C18" s="1081" t="s">
        <v>37</v>
      </c>
      <c r="D18" s="1082"/>
      <c r="E18" s="1083" t="s">
        <v>40</v>
      </c>
      <c r="F18" s="1084"/>
      <c r="G18" s="1084"/>
      <c r="H18" s="1084"/>
      <c r="I18" s="1084"/>
      <c r="J18" s="1085" t="s">
        <v>38</v>
      </c>
      <c r="K18" s="1086"/>
      <c r="L18" s="1087"/>
      <c r="M18" s="502"/>
      <c r="R18" s="502"/>
      <c r="S18" s="1034" t="s">
        <v>367</v>
      </c>
      <c r="T18" s="1034"/>
      <c r="U18" s="1034"/>
      <c r="V18" s="1034"/>
      <c r="W18" s="1034"/>
      <c r="X18" s="1034"/>
      <c r="Y18" s="1034"/>
      <c r="Z18" s="1034"/>
      <c r="AB18" s="5" t="s">
        <v>16</v>
      </c>
      <c r="AC18" s="1018">
        <v>205</v>
      </c>
      <c r="AD18" s="1019"/>
      <c r="AE18" s="383"/>
      <c r="AF18" s="383"/>
      <c r="AG18" s="502"/>
    </row>
    <row r="19" spans="3:33" ht="18.75" customHeight="1" x14ac:dyDescent="0.25">
      <c r="C19" s="1066">
        <v>18</v>
      </c>
      <c r="D19" s="1066"/>
      <c r="E19" s="1066">
        <v>19</v>
      </c>
      <c r="F19" s="1066"/>
      <c r="G19" s="1066"/>
      <c r="H19" s="1066"/>
      <c r="I19" s="1066"/>
      <c r="J19" s="1067">
        <f>'4.lapa'!S5</f>
        <v>20</v>
      </c>
      <c r="K19" s="1068"/>
      <c r="L19" s="1069"/>
      <c r="M19" s="662"/>
      <c r="R19" s="662"/>
      <c r="S19" s="1035">
        <f>VLOOKUP('4.lapa'!Q5,AB28:AD49,3,FALSE)</f>
        <v>0.7</v>
      </c>
      <c r="T19" s="1035"/>
      <c r="U19" s="1035"/>
      <c r="V19" s="1035"/>
      <c r="W19" s="1035"/>
      <c r="X19" s="1035"/>
      <c r="Y19" s="1035"/>
      <c r="Z19" s="1035"/>
      <c r="AB19" s="3" t="s">
        <v>17</v>
      </c>
      <c r="AC19" s="1016">
        <v>214</v>
      </c>
      <c r="AD19" s="1017"/>
      <c r="AE19" s="656"/>
      <c r="AF19" s="656"/>
      <c r="AG19" s="657"/>
    </row>
    <row r="20" spans="3:33" ht="21" customHeight="1" x14ac:dyDescent="0.25">
      <c r="C20" s="1066"/>
      <c r="D20" s="1066"/>
      <c r="E20" s="1066"/>
      <c r="F20" s="1066"/>
      <c r="G20" s="1066"/>
      <c r="H20" s="1066"/>
      <c r="I20" s="1066"/>
      <c r="J20" s="1070"/>
      <c r="K20" s="1071"/>
      <c r="L20" s="1072"/>
      <c r="M20" s="662"/>
      <c r="R20" s="662"/>
      <c r="S20" s="1022"/>
      <c r="T20" s="1022"/>
      <c r="U20" s="1022"/>
      <c r="V20" s="1022"/>
      <c r="W20" s="1022"/>
      <c r="X20" s="1022"/>
      <c r="Y20" s="1022"/>
      <c r="Z20" s="1022"/>
      <c r="AB20" s="3" t="s">
        <v>18</v>
      </c>
      <c r="AC20" s="1016">
        <v>205</v>
      </c>
      <c r="AD20" s="1017"/>
      <c r="AE20" s="656"/>
      <c r="AF20" s="656"/>
      <c r="AG20" s="657"/>
    </row>
    <row r="21" spans="3:33" x14ac:dyDescent="0.25">
      <c r="S21" s="1022"/>
      <c r="T21" s="1022"/>
      <c r="U21" s="1022"/>
      <c r="V21" s="1022"/>
      <c r="W21" s="1022"/>
      <c r="X21" s="1022"/>
      <c r="Y21" s="1022"/>
      <c r="Z21" s="1022"/>
      <c r="AB21" s="3" t="s">
        <v>19</v>
      </c>
      <c r="AC21" s="1016">
        <v>204</v>
      </c>
      <c r="AD21" s="1017"/>
    </row>
    <row r="22" spans="3:33" ht="18" customHeight="1" x14ac:dyDescent="0.25">
      <c r="G22">
        <f>IF('4.lapa'!M17="uz grunts",1,0)</f>
        <v>1</v>
      </c>
      <c r="H22" s="714">
        <f>IF(G22=1,$H$7,$H$8)</f>
        <v>0.2</v>
      </c>
      <c r="I22" s="714">
        <f>IF(G22=1,$M$7,$M$8)</f>
        <v>0.25</v>
      </c>
      <c r="S22" s="1035">
        <f>VLOOKUP('4.lapa'!Q5,AB28:AD49,2,FALSE)</f>
        <v>197</v>
      </c>
      <c r="T22" s="1035"/>
      <c r="U22" s="1035"/>
      <c r="V22" s="1035"/>
      <c r="W22" s="1035"/>
      <c r="X22" s="1035"/>
      <c r="Y22" s="1035"/>
      <c r="Z22" s="1035"/>
      <c r="AB22" s="3" t="s">
        <v>20</v>
      </c>
      <c r="AC22" s="1016">
        <v>193</v>
      </c>
      <c r="AD22" s="1017"/>
    </row>
    <row r="23" spans="3:33" ht="14.45" customHeight="1" x14ac:dyDescent="0.25">
      <c r="G23">
        <f>IF('4.lapa'!M18="uz grunts",1,0)</f>
        <v>1</v>
      </c>
      <c r="H23" s="714">
        <f t="shared" ref="H23:H24" si="3">IF(G23=1,$H$7,$H$8)</f>
        <v>0.2</v>
      </c>
      <c r="I23" s="714">
        <f t="shared" ref="I23:I24" si="4">IF(G23=1,$M$7,$M$8)</f>
        <v>0.25</v>
      </c>
      <c r="S23" s="658"/>
      <c r="T23" s="383"/>
      <c r="U23" s="383"/>
      <c r="V23" s="383"/>
      <c r="W23" s="383"/>
      <c r="X23" s="383"/>
      <c r="Y23" s="383"/>
      <c r="Z23" s="383"/>
      <c r="AB23" s="3" t="s">
        <v>21</v>
      </c>
      <c r="AC23" s="1016">
        <v>211</v>
      </c>
      <c r="AD23" s="1017"/>
    </row>
    <row r="24" spans="3:33" x14ac:dyDescent="0.25">
      <c r="G24">
        <f>IF('4.lapa'!M19="uz grunts",1,0)</f>
        <v>1</v>
      </c>
      <c r="H24" s="714">
        <f t="shared" si="3"/>
        <v>0.2</v>
      </c>
      <c r="I24" s="714">
        <f t="shared" si="4"/>
        <v>0.25</v>
      </c>
      <c r="S24" s="383"/>
      <c r="T24" s="383"/>
      <c r="U24" s="383"/>
      <c r="V24" s="383"/>
      <c r="W24" s="383"/>
      <c r="X24" s="383"/>
      <c r="Y24" s="383"/>
      <c r="Z24" s="383"/>
      <c r="AB24" s="3" t="s">
        <v>22</v>
      </c>
      <c r="AC24" s="1016">
        <v>208</v>
      </c>
      <c r="AD24" s="1017"/>
    </row>
    <row r="25" spans="3:33" x14ac:dyDescent="0.25">
      <c r="S25" s="1022"/>
      <c r="T25" s="1022"/>
      <c r="U25" s="1022"/>
      <c r="V25" s="1022"/>
      <c r="W25" s="1022"/>
      <c r="X25" s="1022"/>
      <c r="Y25" s="1022"/>
      <c r="Z25" s="1022"/>
      <c r="AB25" s="3" t="s">
        <v>23</v>
      </c>
      <c r="AC25" s="1016">
        <v>203</v>
      </c>
      <c r="AD25" s="1017"/>
    </row>
    <row r="26" spans="3:33" x14ac:dyDescent="0.25">
      <c r="S26" s="1022"/>
      <c r="T26" s="1022"/>
      <c r="U26" s="1022"/>
      <c r="V26" s="1022"/>
      <c r="W26" s="1022"/>
      <c r="X26" s="1022"/>
      <c r="Y26" s="1022"/>
      <c r="Z26" s="1022"/>
      <c r="AB26" s="3" t="s">
        <v>24</v>
      </c>
      <c r="AC26" s="1016">
        <v>209</v>
      </c>
      <c r="AD26" s="1017"/>
    </row>
    <row r="27" spans="3:33" x14ac:dyDescent="0.25">
      <c r="AB27" s="4" t="s">
        <v>25</v>
      </c>
      <c r="AC27" s="1073">
        <v>206</v>
      </c>
      <c r="AD27" s="1074"/>
    </row>
    <row r="28" spans="3:33" x14ac:dyDescent="0.25">
      <c r="AB28" t="s">
        <v>16</v>
      </c>
      <c r="AC28">
        <v>201</v>
      </c>
      <c r="AD28">
        <v>0.7</v>
      </c>
    </row>
    <row r="29" spans="3:33" x14ac:dyDescent="0.25">
      <c r="AB29" t="s">
        <v>17</v>
      </c>
      <c r="AC29">
        <v>204</v>
      </c>
      <c r="AD29">
        <v>-0.9</v>
      </c>
    </row>
    <row r="30" spans="3:33" x14ac:dyDescent="0.25">
      <c r="AB30" t="s">
        <v>584</v>
      </c>
      <c r="AC30">
        <v>195</v>
      </c>
      <c r="AD30">
        <v>0.6</v>
      </c>
    </row>
    <row r="31" spans="3:33" x14ac:dyDescent="0.25">
      <c r="AB31" t="s">
        <v>18</v>
      </c>
      <c r="AC31">
        <v>197</v>
      </c>
      <c r="AD31">
        <v>-0.2</v>
      </c>
    </row>
    <row r="32" spans="3:33" x14ac:dyDescent="0.25">
      <c r="AB32" t="s">
        <v>19</v>
      </c>
      <c r="AC32">
        <v>196</v>
      </c>
      <c r="AD32">
        <v>0.9</v>
      </c>
    </row>
    <row r="33" spans="28:30" x14ac:dyDescent="0.25">
      <c r="AB33" t="s">
        <v>585</v>
      </c>
      <c r="AC33">
        <v>204</v>
      </c>
      <c r="AD33">
        <v>-0.5</v>
      </c>
    </row>
    <row r="34" spans="28:30" x14ac:dyDescent="0.25">
      <c r="AB34" t="s">
        <v>586</v>
      </c>
      <c r="AC34">
        <v>197</v>
      </c>
      <c r="AD34">
        <v>0.7</v>
      </c>
    </row>
    <row r="35" spans="28:30" x14ac:dyDescent="0.25">
      <c r="AB35" t="s">
        <v>587</v>
      </c>
      <c r="AC35">
        <v>200</v>
      </c>
      <c r="AD35">
        <v>1.7</v>
      </c>
    </row>
    <row r="36" spans="28:30" x14ac:dyDescent="0.25">
      <c r="AB36" t="s">
        <v>20</v>
      </c>
      <c r="AC36">
        <v>193</v>
      </c>
      <c r="AD36">
        <v>2</v>
      </c>
    </row>
    <row r="37" spans="28:30" x14ac:dyDescent="0.25">
      <c r="AB37" t="s">
        <v>21</v>
      </c>
      <c r="AC37">
        <v>201</v>
      </c>
      <c r="AD37">
        <v>1.4</v>
      </c>
    </row>
    <row r="38" spans="28:30" x14ac:dyDescent="0.25">
      <c r="AB38" t="s">
        <v>588</v>
      </c>
      <c r="AC38">
        <v>196</v>
      </c>
      <c r="AD38">
        <v>1.9</v>
      </c>
    </row>
    <row r="39" spans="28:30" x14ac:dyDescent="0.25">
      <c r="AB39" t="s">
        <v>22</v>
      </c>
      <c r="AC39">
        <v>197</v>
      </c>
      <c r="AD39">
        <v>-0.2</v>
      </c>
    </row>
    <row r="40" spans="28:30" x14ac:dyDescent="0.25">
      <c r="AB40" t="s">
        <v>589</v>
      </c>
      <c r="AC40">
        <v>202</v>
      </c>
      <c r="AD40">
        <v>-0.5</v>
      </c>
    </row>
    <row r="41" spans="28:30" x14ac:dyDescent="0.25">
      <c r="AB41" t="s">
        <v>23</v>
      </c>
      <c r="AC41">
        <v>192</v>
      </c>
      <c r="AD41">
        <v>1.1000000000000001</v>
      </c>
    </row>
    <row r="42" spans="28:30" x14ac:dyDescent="0.25">
      <c r="AB42" t="s">
        <v>590</v>
      </c>
      <c r="AC42">
        <v>204</v>
      </c>
      <c r="AD42">
        <v>-0.1</v>
      </c>
    </row>
    <row r="43" spans="28:30" x14ac:dyDescent="0.25">
      <c r="AB43" t="s">
        <v>591</v>
      </c>
      <c r="AC43">
        <v>195</v>
      </c>
      <c r="AD43">
        <v>0.7</v>
      </c>
    </row>
    <row r="44" spans="28:30" x14ac:dyDescent="0.25">
      <c r="AB44" t="s">
        <v>592</v>
      </c>
      <c r="AC44">
        <v>197</v>
      </c>
      <c r="AD44">
        <v>0.1</v>
      </c>
    </row>
    <row r="45" spans="28:30" x14ac:dyDescent="0.25">
      <c r="AB45" t="s">
        <v>593</v>
      </c>
      <c r="AC45">
        <v>200</v>
      </c>
      <c r="AD45">
        <v>0.8</v>
      </c>
    </row>
    <row r="46" spans="28:30" x14ac:dyDescent="0.25">
      <c r="AB46" t="s">
        <v>24</v>
      </c>
      <c r="AC46">
        <v>199</v>
      </c>
      <c r="AD46">
        <v>0.8</v>
      </c>
    </row>
    <row r="47" spans="28:30" x14ac:dyDescent="0.25">
      <c r="AB47" t="s">
        <v>594</v>
      </c>
      <c r="AC47">
        <v>196</v>
      </c>
      <c r="AD47">
        <v>2.1</v>
      </c>
    </row>
    <row r="48" spans="28:30" x14ac:dyDescent="0.25">
      <c r="AB48" t="s">
        <v>595</v>
      </c>
      <c r="AC48">
        <v>198</v>
      </c>
      <c r="AD48">
        <v>-0.3</v>
      </c>
    </row>
    <row r="49" spans="28:30" x14ac:dyDescent="0.25">
      <c r="AB49" t="s">
        <v>596</v>
      </c>
      <c r="AC49">
        <v>206</v>
      </c>
      <c r="AD49">
        <v>-0.5</v>
      </c>
    </row>
  </sheetData>
  <mergeCells count="166">
    <mergeCell ref="AI8:AJ8"/>
    <mergeCell ref="C19:D20"/>
    <mergeCell ref="E19:I20"/>
    <mergeCell ref="J19:L20"/>
    <mergeCell ref="S22:Z22"/>
    <mergeCell ref="S26:Z26"/>
    <mergeCell ref="AC27:AD27"/>
    <mergeCell ref="B8:C8"/>
    <mergeCell ref="Z8:AA8"/>
    <mergeCell ref="AC8:AD8"/>
    <mergeCell ref="Z15:AA15"/>
    <mergeCell ref="AC15:AD15"/>
    <mergeCell ref="AE15:AF15"/>
    <mergeCell ref="AG15:AH15"/>
    <mergeCell ref="AI15:AJ15"/>
    <mergeCell ref="C17:L17"/>
    <mergeCell ref="C18:D18"/>
    <mergeCell ref="E18:I18"/>
    <mergeCell ref="J18:L18"/>
    <mergeCell ref="B14:C15"/>
    <mergeCell ref="D14:D15"/>
    <mergeCell ref="E14:E15"/>
    <mergeCell ref="G9:G10"/>
    <mergeCell ref="I9:I10"/>
    <mergeCell ref="R4:R6"/>
    <mergeCell ref="R9:R10"/>
    <mergeCell ref="R14:R15"/>
    <mergeCell ref="N9:N10"/>
    <mergeCell ref="N4:N6"/>
    <mergeCell ref="O4:O6"/>
    <mergeCell ref="P4:P6"/>
    <mergeCell ref="Q4:Q6"/>
    <mergeCell ref="P9:P10"/>
    <mergeCell ref="Q9:Q10"/>
    <mergeCell ref="P14:P15"/>
    <mergeCell ref="Q14:Q15"/>
    <mergeCell ref="J9:J10"/>
    <mergeCell ref="K9:K10"/>
    <mergeCell ref="L9:L10"/>
    <mergeCell ref="H4:H6"/>
    <mergeCell ref="H9:H10"/>
    <mergeCell ref="H14:H15"/>
    <mergeCell ref="M4:M6"/>
    <mergeCell ref="M9:M10"/>
    <mergeCell ref="M14:M15"/>
    <mergeCell ref="B11:C11"/>
    <mergeCell ref="Z13:AA13"/>
    <mergeCell ref="Y5:Y10"/>
    <mergeCell ref="O9:O10"/>
    <mergeCell ref="S9:S10"/>
    <mergeCell ref="T9:T10"/>
    <mergeCell ref="U9:U10"/>
    <mergeCell ref="W9:W10"/>
    <mergeCell ref="X9:X10"/>
    <mergeCell ref="Y12:Y15"/>
    <mergeCell ref="N14:N15"/>
    <mergeCell ref="O14:O15"/>
    <mergeCell ref="S14:S15"/>
    <mergeCell ref="T14:T15"/>
    <mergeCell ref="U14:U15"/>
    <mergeCell ref="Z11:AA11"/>
    <mergeCell ref="S4:S6"/>
    <mergeCell ref="T4:T6"/>
    <mergeCell ref="U4:U6"/>
    <mergeCell ref="V4:V6"/>
    <mergeCell ref="W4:W6"/>
    <mergeCell ref="B4:C6"/>
    <mergeCell ref="D4:D6"/>
    <mergeCell ref="E4:E6"/>
    <mergeCell ref="AI14:AJ14"/>
    <mergeCell ref="Z5:AA5"/>
    <mergeCell ref="AI13:AJ13"/>
    <mergeCell ref="AI10:AJ10"/>
    <mergeCell ref="D3:G3"/>
    <mergeCell ref="I3:L3"/>
    <mergeCell ref="N3:Q3"/>
    <mergeCell ref="S18:Z18"/>
    <mergeCell ref="S19:Z19"/>
    <mergeCell ref="Z6:AA6"/>
    <mergeCell ref="F4:F6"/>
    <mergeCell ref="G4:G6"/>
    <mergeCell ref="I4:I6"/>
    <mergeCell ref="J4:J6"/>
    <mergeCell ref="K4:K6"/>
    <mergeCell ref="L4:L6"/>
    <mergeCell ref="F14:F15"/>
    <mergeCell ref="G14:G15"/>
    <mergeCell ref="I14:I15"/>
    <mergeCell ref="J14:J15"/>
    <mergeCell ref="K14:K15"/>
    <mergeCell ref="L14:L15"/>
    <mergeCell ref="D9:D10"/>
    <mergeCell ref="E9:E10"/>
    <mergeCell ref="AE14:AF14"/>
    <mergeCell ref="AG14:AH14"/>
    <mergeCell ref="S20:Z20"/>
    <mergeCell ref="AG12:AH12"/>
    <mergeCell ref="AC13:AD13"/>
    <mergeCell ref="AE13:AF13"/>
    <mergeCell ref="AG13:AH13"/>
    <mergeCell ref="AC6:AD6"/>
    <mergeCell ref="AE6:AF6"/>
    <mergeCell ref="AG6:AH6"/>
    <mergeCell ref="AE7:AF7"/>
    <mergeCell ref="AG7:AH7"/>
    <mergeCell ref="AC9:AD9"/>
    <mergeCell ref="AE8:AF8"/>
    <mergeCell ref="AG8:AH8"/>
    <mergeCell ref="AE11:AF11"/>
    <mergeCell ref="AG11:AH11"/>
    <mergeCell ref="AI11:AJ11"/>
    <mergeCell ref="AE9:AF9"/>
    <mergeCell ref="AG9:AH9"/>
    <mergeCell ref="AI9:AJ9"/>
    <mergeCell ref="Z10:AA10"/>
    <mergeCell ref="AC12:AD12"/>
    <mergeCell ref="Z9:AA9"/>
    <mergeCell ref="AE12:AF12"/>
    <mergeCell ref="AI12:AJ12"/>
    <mergeCell ref="Z12:AA12"/>
    <mergeCell ref="B10:C10"/>
    <mergeCell ref="AC10:AD10"/>
    <mergeCell ref="AE10:AF10"/>
    <mergeCell ref="AG10:AH10"/>
    <mergeCell ref="Z7:AA7"/>
    <mergeCell ref="AC3:AD4"/>
    <mergeCell ref="AE3:AL3"/>
    <mergeCell ref="AE4:AF4"/>
    <mergeCell ref="B7:C7"/>
    <mergeCell ref="B9:C9"/>
    <mergeCell ref="AC5:AD5"/>
    <mergeCell ref="AE5:AF5"/>
    <mergeCell ref="AG5:AH5"/>
    <mergeCell ref="AI5:AJ5"/>
    <mergeCell ref="AC7:AD7"/>
    <mergeCell ref="Z3:AA3"/>
    <mergeCell ref="AB3:AB4"/>
    <mergeCell ref="Z4:AA4"/>
    <mergeCell ref="AG4:AH4"/>
    <mergeCell ref="AI4:AJ4"/>
    <mergeCell ref="AI6:AJ6"/>
    <mergeCell ref="AI7:AJ7"/>
    <mergeCell ref="B3:C3"/>
    <mergeCell ref="F9:F10"/>
    <mergeCell ref="S1:T1"/>
    <mergeCell ref="U1:V1"/>
    <mergeCell ref="W1:X1"/>
    <mergeCell ref="W2:X2"/>
    <mergeCell ref="X4:X6"/>
    <mergeCell ref="V14:V15"/>
    <mergeCell ref="W14:W15"/>
    <mergeCell ref="X14:X15"/>
    <mergeCell ref="AC26:AD26"/>
    <mergeCell ref="AC18:AD18"/>
    <mergeCell ref="AC19:AD19"/>
    <mergeCell ref="AC20:AD20"/>
    <mergeCell ref="AC21:AD21"/>
    <mergeCell ref="AC22:AD22"/>
    <mergeCell ref="AC23:AD23"/>
    <mergeCell ref="AC24:AD24"/>
    <mergeCell ref="AC25:AD25"/>
    <mergeCell ref="AC11:AD11"/>
    <mergeCell ref="S25:Z25"/>
    <mergeCell ref="Z14:AA14"/>
    <mergeCell ref="AC14:AD14"/>
    <mergeCell ref="S21:Z21"/>
  </mergeCells>
  <dataValidations count="1">
    <dataValidation type="list" allowBlank="1" showInputMessage="1" showErrorMessage="1" sqref="S20:Z20" xr:uid="{00000000-0002-0000-0A00-000000000000}">
      <formula1>$AB$5:$AB$15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9"/>
  <sheetViews>
    <sheetView showGridLines="0" view="pageBreakPreview" topLeftCell="A72" zoomScaleNormal="100" zoomScaleSheetLayoutView="100" workbookViewId="0">
      <selection activeCell="R86" sqref="R86"/>
    </sheetView>
  </sheetViews>
  <sheetFormatPr defaultColWidth="9.140625" defaultRowHeight="12.75" x14ac:dyDescent="0.2"/>
  <cols>
    <col min="1" max="1" width="0.85546875" style="335" customWidth="1"/>
    <col min="2" max="2" width="7.140625" style="2" customWidth="1"/>
    <col min="3" max="3" width="6.85546875" style="2" customWidth="1"/>
    <col min="4" max="4" width="8.28515625" style="2" customWidth="1"/>
    <col min="5" max="5" width="5.85546875" style="2" customWidth="1"/>
    <col min="6" max="6" width="5.7109375" style="2" customWidth="1"/>
    <col min="7" max="7" width="9.7109375" style="2" customWidth="1"/>
    <col min="8" max="8" width="8.85546875" style="2" customWidth="1"/>
    <col min="9" max="9" width="4.85546875" style="2" customWidth="1"/>
    <col min="10" max="10" width="6.42578125" style="2" customWidth="1"/>
    <col min="11" max="11" width="6.85546875" style="2" customWidth="1"/>
    <col min="12" max="12" width="0.85546875" style="2" customWidth="1"/>
    <col min="13" max="13" width="7.7109375" style="2" customWidth="1"/>
    <col min="14" max="14" width="4.140625" style="2" customWidth="1"/>
    <col min="15" max="16" width="9.140625" style="2"/>
    <col min="17" max="17" width="20.28515625" style="2" bestFit="1" customWidth="1"/>
    <col min="18" max="20" width="9.140625" style="2"/>
    <col min="21" max="21" width="13.7109375" style="2" bestFit="1" customWidth="1"/>
    <col min="22" max="16384" width="9.140625" style="2"/>
  </cols>
  <sheetData>
    <row r="1" spans="1:20" hidden="1" x14ac:dyDescent="0.2"/>
    <row r="2" spans="1:20" ht="8.25" hidden="1" customHeight="1" x14ac:dyDescent="0.2">
      <c r="A2" s="337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99"/>
      <c r="M2" s="99"/>
      <c r="N2" s="81"/>
    </row>
    <row r="3" spans="1:20" ht="15.75" hidden="1" x14ac:dyDescent="0.25">
      <c r="A3" s="339"/>
      <c r="B3" s="507" t="s">
        <v>360</v>
      </c>
      <c r="C3" s="868" t="s">
        <v>385</v>
      </c>
      <c r="D3" s="925"/>
      <c r="E3" s="925"/>
      <c r="F3" s="925"/>
      <c r="G3" s="925"/>
      <c r="H3" s="925"/>
      <c r="I3" s="925"/>
      <c r="J3" s="925"/>
      <c r="K3" s="926"/>
      <c r="N3" s="83"/>
      <c r="Q3" s="495" t="s">
        <v>386</v>
      </c>
      <c r="R3" s="495">
        <v>3.7999999999999999E-2</v>
      </c>
    </row>
    <row r="4" spans="1:20" ht="6.75" hidden="1" customHeight="1" x14ac:dyDescent="0.2">
      <c r="A4" s="339"/>
      <c r="B4" s="341"/>
      <c r="C4" s="341"/>
      <c r="D4" s="341"/>
      <c r="E4" s="341"/>
      <c r="F4" s="341"/>
      <c r="G4" s="341"/>
      <c r="H4" s="341"/>
      <c r="I4" s="341"/>
      <c r="J4" s="341"/>
      <c r="K4" s="341"/>
      <c r="N4" s="83"/>
      <c r="Q4" s="496"/>
      <c r="R4" s="496"/>
    </row>
    <row r="5" spans="1:20" ht="15" hidden="1" x14ac:dyDescent="0.25">
      <c r="A5" s="339"/>
      <c r="B5" s="341"/>
      <c r="C5" s="927" t="s">
        <v>299</v>
      </c>
      <c r="D5" s="927"/>
      <c r="E5" s="927"/>
      <c r="F5" s="927"/>
      <c r="G5" s="927"/>
      <c r="H5" s="927"/>
      <c r="I5" s="341" t="s">
        <v>300</v>
      </c>
      <c r="J5" s="1102">
        <v>0.17</v>
      </c>
      <c r="K5" s="1097"/>
      <c r="N5" s="83"/>
      <c r="Q5" s="496"/>
      <c r="R5" s="496"/>
    </row>
    <row r="6" spans="1:20" ht="15" hidden="1" x14ac:dyDescent="0.25">
      <c r="A6" s="339"/>
      <c r="B6" s="341"/>
      <c r="C6" s="341"/>
      <c r="D6" s="341"/>
      <c r="E6" s="341"/>
      <c r="F6" s="341"/>
      <c r="G6" s="341"/>
      <c r="H6" s="341"/>
      <c r="I6" s="341" t="s">
        <v>301</v>
      </c>
      <c r="J6" s="1104">
        <v>0.04</v>
      </c>
      <c r="K6" s="1105"/>
      <c r="N6" s="83"/>
      <c r="Q6" s="496"/>
      <c r="R6" s="496"/>
    </row>
    <row r="7" spans="1:20" ht="10.5" hidden="1" customHeight="1" x14ac:dyDescent="0.2">
      <c r="A7" s="339"/>
      <c r="J7" s="762"/>
      <c r="K7" s="762"/>
      <c r="N7" s="83"/>
      <c r="Q7" s="496"/>
      <c r="R7" s="496"/>
    </row>
    <row r="8" spans="1:20" ht="13.5" hidden="1" x14ac:dyDescent="0.25">
      <c r="A8" s="339"/>
      <c r="B8" s="907" t="s">
        <v>6</v>
      </c>
      <c r="C8" s="907"/>
      <c r="D8" s="907"/>
      <c r="E8" s="929" t="s">
        <v>302</v>
      </c>
      <c r="F8" s="929"/>
      <c r="G8" s="467" t="s">
        <v>303</v>
      </c>
      <c r="H8" s="929" t="s">
        <v>405</v>
      </c>
      <c r="I8" s="929"/>
      <c r="J8" s="929" t="s">
        <v>304</v>
      </c>
      <c r="K8" s="929"/>
      <c r="L8" s="343"/>
      <c r="M8" s="466" t="s">
        <v>305</v>
      </c>
      <c r="N8" s="83"/>
      <c r="Q8" s="497"/>
      <c r="R8" s="497"/>
      <c r="T8" s="2" t="s">
        <v>266</v>
      </c>
    </row>
    <row r="9" spans="1:20" hidden="1" x14ac:dyDescent="0.2">
      <c r="A9" s="344"/>
      <c r="B9" s="1092" t="s">
        <v>223</v>
      </c>
      <c r="C9" s="1092"/>
      <c r="D9" s="1092"/>
      <c r="E9" s="1093">
        <v>0.15</v>
      </c>
      <c r="F9" s="1093"/>
      <c r="G9" s="473">
        <v>0</v>
      </c>
      <c r="H9" s="909">
        <f>E9+G9</f>
        <v>0.15</v>
      </c>
      <c r="I9" s="909"/>
      <c r="J9" s="822">
        <f>ROUND(M9/H9,3)</f>
        <v>0.13300000000000001</v>
      </c>
      <c r="K9" s="822"/>
      <c r="M9" s="485">
        <v>0.02</v>
      </c>
      <c r="N9" s="83"/>
    </row>
    <row r="10" spans="1:20" hidden="1" x14ac:dyDescent="0.2">
      <c r="A10" s="344"/>
      <c r="B10" s="1092"/>
      <c r="C10" s="1092"/>
      <c r="D10" s="1092"/>
      <c r="E10" s="1093">
        <v>4.1000000000000002E-2</v>
      </c>
      <c r="F10" s="1093"/>
      <c r="G10" s="473">
        <v>8.0000000000000002E-3</v>
      </c>
      <c r="H10" s="909">
        <f>E10+G10</f>
        <v>4.9000000000000002E-2</v>
      </c>
      <c r="I10" s="909"/>
      <c r="J10" s="822">
        <f>ROUND(M10/H10,3)</f>
        <v>0</v>
      </c>
      <c r="K10" s="822"/>
      <c r="M10" s="485"/>
      <c r="N10" s="83"/>
    </row>
    <row r="11" spans="1:20" hidden="1" x14ac:dyDescent="0.2">
      <c r="A11" s="344"/>
      <c r="B11" s="1092" t="s">
        <v>348</v>
      </c>
      <c r="C11" s="1092"/>
      <c r="D11" s="1092"/>
      <c r="E11" s="1093">
        <v>3.5999999999999997E-2</v>
      </c>
      <c r="F11" s="1093"/>
      <c r="G11" s="473">
        <v>4.0000000000000001E-3</v>
      </c>
      <c r="H11" s="909">
        <f t="shared" ref="H11:H18" si="0">E11+G11</f>
        <v>3.9999999999999994E-2</v>
      </c>
      <c r="I11" s="909"/>
      <c r="J11" s="822">
        <f t="shared" ref="J11:J18" si="1">ROUND(M11/H11,3)</f>
        <v>0</v>
      </c>
      <c r="K11" s="822"/>
      <c r="M11" s="485"/>
      <c r="N11" s="83"/>
    </row>
    <row r="12" spans="1:20" hidden="1" x14ac:dyDescent="0.2">
      <c r="A12" s="344"/>
      <c r="B12" s="1092" t="s">
        <v>243</v>
      </c>
      <c r="C12" s="1092"/>
      <c r="D12" s="1092"/>
      <c r="E12" s="1093">
        <v>3.3000000000000002E-2</v>
      </c>
      <c r="F12" s="1093"/>
      <c r="G12" s="473">
        <v>2E-3</v>
      </c>
      <c r="H12" s="909">
        <f t="shared" si="0"/>
        <v>3.5000000000000003E-2</v>
      </c>
      <c r="I12" s="909"/>
      <c r="J12" s="822">
        <f t="shared" si="1"/>
        <v>0</v>
      </c>
      <c r="K12" s="822"/>
      <c r="M12" s="485"/>
      <c r="N12" s="83"/>
    </row>
    <row r="13" spans="1:20" hidden="1" x14ac:dyDescent="0.2">
      <c r="A13" s="344"/>
      <c r="B13" s="1092" t="s">
        <v>262</v>
      </c>
      <c r="C13" s="1092"/>
      <c r="D13" s="1092"/>
      <c r="E13" s="1093">
        <v>3.5999999999999997E-2</v>
      </c>
      <c r="F13" s="1093"/>
      <c r="G13" s="473">
        <v>2E-3</v>
      </c>
      <c r="H13" s="909">
        <f t="shared" si="0"/>
        <v>3.7999999999999999E-2</v>
      </c>
      <c r="I13" s="909"/>
      <c r="J13" s="822">
        <f t="shared" si="1"/>
        <v>0</v>
      </c>
      <c r="K13" s="822"/>
      <c r="M13" s="485"/>
      <c r="N13" s="83"/>
    </row>
    <row r="14" spans="1:20" hidden="1" x14ac:dyDescent="0.2">
      <c r="A14" s="344"/>
      <c r="B14" s="1092" t="s">
        <v>449</v>
      </c>
      <c r="C14" s="1092"/>
      <c r="D14" s="1092"/>
      <c r="E14" s="1093">
        <v>1.7</v>
      </c>
      <c r="F14" s="1093"/>
      <c r="G14" s="473">
        <v>0</v>
      </c>
      <c r="H14" s="909">
        <f t="shared" si="0"/>
        <v>1.7</v>
      </c>
      <c r="I14" s="909"/>
      <c r="J14" s="822">
        <f t="shared" si="1"/>
        <v>0.129</v>
      </c>
      <c r="K14" s="822"/>
      <c r="M14" s="485">
        <v>0.22</v>
      </c>
      <c r="N14" s="83"/>
    </row>
    <row r="15" spans="1:20" hidden="1" x14ac:dyDescent="0.2">
      <c r="A15" s="344"/>
      <c r="B15" s="1092" t="s">
        <v>386</v>
      </c>
      <c r="C15" s="1092"/>
      <c r="D15" s="1092"/>
      <c r="E15" s="1093">
        <v>0</v>
      </c>
      <c r="F15" s="1093"/>
      <c r="G15" s="473">
        <v>0</v>
      </c>
      <c r="H15" s="909">
        <v>3.7999999999999999E-2</v>
      </c>
      <c r="I15" s="909"/>
      <c r="J15" s="822">
        <f t="shared" si="1"/>
        <v>2.6320000000000001</v>
      </c>
      <c r="K15" s="822"/>
      <c r="M15" s="485">
        <v>0.1</v>
      </c>
      <c r="N15" s="83"/>
    </row>
    <row r="16" spans="1:20" hidden="1" x14ac:dyDescent="0.2">
      <c r="A16" s="344"/>
      <c r="B16" s="1092" t="s">
        <v>354</v>
      </c>
      <c r="C16" s="1092"/>
      <c r="D16" s="1092"/>
      <c r="E16" s="1103">
        <v>3.6999999999999998E-2</v>
      </c>
      <c r="F16" s="1103"/>
      <c r="G16" s="473">
        <v>2E-3</v>
      </c>
      <c r="H16" s="909">
        <f t="shared" si="0"/>
        <v>3.9E-2</v>
      </c>
      <c r="I16" s="909"/>
      <c r="J16" s="822">
        <f t="shared" si="1"/>
        <v>0</v>
      </c>
      <c r="K16" s="822"/>
      <c r="M16" s="485"/>
      <c r="N16" s="83"/>
    </row>
    <row r="17" spans="1:20" hidden="1" x14ac:dyDescent="0.2">
      <c r="A17" s="344"/>
      <c r="B17" s="1092" t="s">
        <v>355</v>
      </c>
      <c r="C17" s="1092"/>
      <c r="D17" s="1092"/>
      <c r="E17" s="1103">
        <v>0.25</v>
      </c>
      <c r="F17" s="1103"/>
      <c r="G17" s="473">
        <v>0</v>
      </c>
      <c r="H17" s="909">
        <f t="shared" si="0"/>
        <v>0.25</v>
      </c>
      <c r="I17" s="909"/>
      <c r="J17" s="822">
        <f t="shared" si="1"/>
        <v>0</v>
      </c>
      <c r="K17" s="822"/>
      <c r="M17" s="485"/>
      <c r="N17" s="83"/>
    </row>
    <row r="18" spans="1:20" hidden="1" x14ac:dyDescent="0.2">
      <c r="A18" s="344"/>
      <c r="B18" s="1092" t="s">
        <v>359</v>
      </c>
      <c r="C18" s="1092"/>
      <c r="D18" s="1092"/>
      <c r="E18" s="1093">
        <v>2</v>
      </c>
      <c r="F18" s="1093"/>
      <c r="G18" s="473">
        <v>0</v>
      </c>
      <c r="H18" s="909">
        <f t="shared" si="0"/>
        <v>2</v>
      </c>
      <c r="I18" s="909"/>
      <c r="J18" s="822">
        <f t="shared" si="1"/>
        <v>0</v>
      </c>
      <c r="K18" s="822"/>
      <c r="M18" s="486"/>
      <c r="N18" s="83"/>
    </row>
    <row r="19" spans="1:20" ht="14.25" hidden="1" customHeight="1" x14ac:dyDescent="0.2">
      <c r="A19" s="339"/>
      <c r="B19" s="418"/>
      <c r="C19" s="418"/>
      <c r="D19" s="418"/>
      <c r="E19" s="418"/>
      <c r="F19" s="418"/>
      <c r="G19" s="418"/>
      <c r="H19" s="418"/>
      <c r="I19" s="418"/>
      <c r="J19" s="348"/>
      <c r="K19" s="348"/>
      <c r="M19" s="343"/>
      <c r="N19" s="83"/>
    </row>
    <row r="20" spans="1:20" ht="15.75" hidden="1" x14ac:dyDescent="0.25">
      <c r="A20" s="339"/>
      <c r="B20" s="349"/>
      <c r="C20" s="349"/>
      <c r="D20" s="349"/>
      <c r="E20" s="8"/>
      <c r="H20" s="8"/>
      <c r="I20" s="8"/>
      <c r="K20" s="349" t="s">
        <v>106</v>
      </c>
      <c r="M20" s="350">
        <f>SUM(M9:M18)*1000</f>
        <v>339.99999999999994</v>
      </c>
      <c r="N20" s="83" t="s">
        <v>120</v>
      </c>
    </row>
    <row r="21" spans="1:20" ht="9.75" hidden="1" customHeight="1" x14ac:dyDescent="0.25">
      <c r="A21" s="339"/>
      <c r="B21" s="862"/>
      <c r="C21" s="862"/>
      <c r="D21" s="862"/>
      <c r="E21" s="924"/>
      <c r="F21" s="924"/>
      <c r="G21" s="924"/>
      <c r="H21" s="8"/>
      <c r="I21" s="8"/>
      <c r="J21" s="351"/>
      <c r="N21" s="83"/>
    </row>
    <row r="22" spans="1:20" ht="15.75" hidden="1" x14ac:dyDescent="0.2">
      <c r="A22" s="339"/>
      <c r="B22" s="349"/>
      <c r="C22" s="349"/>
      <c r="D22" s="349"/>
      <c r="E22" s="902" t="s">
        <v>93</v>
      </c>
      <c r="F22" s="902"/>
      <c r="G22" s="902"/>
      <c r="H22" s="1094">
        <f>ROUND(1/((SUM(J9:K18)+J5+J6)),3)</f>
        <v>0.32200000000000001</v>
      </c>
      <c r="I22" s="1095"/>
      <c r="J22" s="905" t="s">
        <v>306</v>
      </c>
      <c r="K22" s="906"/>
      <c r="N22" s="83"/>
      <c r="R22" s="931"/>
    </row>
    <row r="23" spans="1:20" ht="10.15" hidden="1" customHeight="1" x14ac:dyDescent="0.2">
      <c r="A23" s="352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9"/>
      <c r="R23" s="931"/>
    </row>
    <row r="24" spans="1:20" ht="16.149999999999999" hidden="1" customHeight="1" x14ac:dyDescent="0.2"/>
    <row r="25" spans="1:20" ht="8.25" hidden="1" customHeight="1" x14ac:dyDescent="0.2">
      <c r="A25" s="337"/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99"/>
      <c r="M25" s="99"/>
      <c r="N25" s="81"/>
    </row>
    <row r="26" spans="1:20" ht="15.75" hidden="1" x14ac:dyDescent="0.25">
      <c r="A26" s="339"/>
      <c r="B26" s="507" t="s">
        <v>361</v>
      </c>
      <c r="C26" s="868" t="s">
        <v>394</v>
      </c>
      <c r="D26" s="925"/>
      <c r="E26" s="925"/>
      <c r="F26" s="925"/>
      <c r="G26" s="925"/>
      <c r="H26" s="925"/>
      <c r="I26" s="925"/>
      <c r="J26" s="925"/>
      <c r="K26" s="926"/>
      <c r="N26" s="83"/>
      <c r="Q26" s="495" t="s">
        <v>386</v>
      </c>
      <c r="R26" s="495">
        <v>3.7999999999999999E-2</v>
      </c>
    </row>
    <row r="27" spans="1:20" ht="6.75" hidden="1" customHeight="1" x14ac:dyDescent="0.2">
      <c r="A27" s="339"/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N27" s="83"/>
      <c r="Q27" s="496"/>
      <c r="R27" s="496"/>
    </row>
    <row r="28" spans="1:20" ht="15" hidden="1" x14ac:dyDescent="0.25">
      <c r="A28" s="339"/>
      <c r="B28" s="341"/>
      <c r="C28" s="927" t="s">
        <v>299</v>
      </c>
      <c r="D28" s="927"/>
      <c r="E28" s="927"/>
      <c r="F28" s="927"/>
      <c r="G28" s="927"/>
      <c r="H28" s="927"/>
      <c r="I28" s="341" t="s">
        <v>300</v>
      </c>
      <c r="J28" s="1102">
        <v>0.17</v>
      </c>
      <c r="K28" s="1097"/>
      <c r="N28" s="83"/>
      <c r="Q28" s="496"/>
      <c r="R28" s="496"/>
    </row>
    <row r="29" spans="1:20" ht="15" hidden="1" x14ac:dyDescent="0.25">
      <c r="A29" s="339"/>
      <c r="B29" s="341"/>
      <c r="C29" s="341"/>
      <c r="D29" s="341"/>
      <c r="E29" s="341"/>
      <c r="F29" s="341"/>
      <c r="G29" s="341"/>
      <c r="H29" s="341"/>
      <c r="I29" s="341" t="s">
        <v>301</v>
      </c>
      <c r="J29" s="1104">
        <v>0.04</v>
      </c>
      <c r="K29" s="1105"/>
      <c r="N29" s="83"/>
      <c r="Q29" s="496"/>
      <c r="R29" s="496"/>
    </row>
    <row r="30" spans="1:20" ht="10.5" hidden="1" customHeight="1" x14ac:dyDescent="0.2">
      <c r="A30" s="339"/>
      <c r="J30" s="762"/>
      <c r="K30" s="762"/>
      <c r="N30" s="83"/>
      <c r="Q30" s="496"/>
      <c r="R30" s="496"/>
    </row>
    <row r="31" spans="1:20" ht="13.5" hidden="1" x14ac:dyDescent="0.25">
      <c r="A31" s="339"/>
      <c r="B31" s="907" t="s">
        <v>6</v>
      </c>
      <c r="C31" s="907"/>
      <c r="D31" s="907"/>
      <c r="E31" s="929" t="s">
        <v>302</v>
      </c>
      <c r="F31" s="929"/>
      <c r="G31" s="467" t="s">
        <v>303</v>
      </c>
      <c r="H31" s="929" t="s">
        <v>405</v>
      </c>
      <c r="I31" s="929"/>
      <c r="J31" s="929" t="s">
        <v>304</v>
      </c>
      <c r="K31" s="929"/>
      <c r="L31" s="343"/>
      <c r="M31" s="466" t="s">
        <v>305</v>
      </c>
      <c r="N31" s="83"/>
      <c r="Q31" s="497"/>
      <c r="R31" s="497"/>
      <c r="T31" s="2" t="s">
        <v>266</v>
      </c>
    </row>
    <row r="32" spans="1:20" hidden="1" x14ac:dyDescent="0.2">
      <c r="A32" s="344"/>
      <c r="B32" s="1092" t="s">
        <v>223</v>
      </c>
      <c r="C32" s="1092"/>
      <c r="D32" s="1092"/>
      <c r="E32" s="1093">
        <v>0.15</v>
      </c>
      <c r="F32" s="1093"/>
      <c r="G32" s="473">
        <v>0</v>
      </c>
      <c r="H32" s="909">
        <f t="shared" ref="H32:H37" si="2">E32+G32</f>
        <v>0.15</v>
      </c>
      <c r="I32" s="909"/>
      <c r="J32" s="822">
        <f>ROUND(M32/H32,3)</f>
        <v>0.13300000000000001</v>
      </c>
      <c r="K32" s="822"/>
      <c r="M32" s="485">
        <v>0.02</v>
      </c>
      <c r="N32" s="83"/>
    </row>
    <row r="33" spans="1:18" hidden="1" x14ac:dyDescent="0.2">
      <c r="A33" s="344"/>
      <c r="B33" s="1092"/>
      <c r="C33" s="1092"/>
      <c r="D33" s="1092"/>
      <c r="E33" s="1093">
        <v>4.1000000000000002E-2</v>
      </c>
      <c r="F33" s="1093"/>
      <c r="G33" s="473">
        <v>8.0000000000000002E-3</v>
      </c>
      <c r="H33" s="909">
        <f t="shared" si="2"/>
        <v>4.9000000000000002E-2</v>
      </c>
      <c r="I33" s="909"/>
      <c r="J33" s="822">
        <f>ROUND(M33/H33,3)</f>
        <v>0</v>
      </c>
      <c r="K33" s="822"/>
      <c r="M33" s="485"/>
      <c r="N33" s="83"/>
    </row>
    <row r="34" spans="1:18" hidden="1" x14ac:dyDescent="0.2">
      <c r="A34" s="344"/>
      <c r="B34" s="1092" t="s">
        <v>348</v>
      </c>
      <c r="C34" s="1092"/>
      <c r="D34" s="1092"/>
      <c r="E34" s="1093">
        <v>3.5999999999999997E-2</v>
      </c>
      <c r="F34" s="1093"/>
      <c r="G34" s="473">
        <v>4.0000000000000001E-3</v>
      </c>
      <c r="H34" s="909">
        <f t="shared" si="2"/>
        <v>3.9999999999999994E-2</v>
      </c>
      <c r="I34" s="909"/>
      <c r="J34" s="822">
        <f t="shared" ref="J34:J41" si="3">ROUND(M34/H34,3)</f>
        <v>0</v>
      </c>
      <c r="K34" s="822"/>
      <c r="M34" s="485"/>
      <c r="N34" s="83"/>
    </row>
    <row r="35" spans="1:18" hidden="1" x14ac:dyDescent="0.2">
      <c r="A35" s="344"/>
      <c r="B35" s="1092" t="s">
        <v>243</v>
      </c>
      <c r="C35" s="1092"/>
      <c r="D35" s="1092"/>
      <c r="E35" s="1093">
        <v>3.3000000000000002E-2</v>
      </c>
      <c r="F35" s="1093"/>
      <c r="G35" s="473">
        <v>2E-3</v>
      </c>
      <c r="H35" s="909">
        <f t="shared" si="2"/>
        <v>3.5000000000000003E-2</v>
      </c>
      <c r="I35" s="909"/>
      <c r="J35" s="822">
        <f t="shared" si="3"/>
        <v>0</v>
      </c>
      <c r="K35" s="822"/>
      <c r="M35" s="485"/>
      <c r="N35" s="83"/>
    </row>
    <row r="36" spans="1:18" hidden="1" x14ac:dyDescent="0.2">
      <c r="A36" s="344"/>
      <c r="B36" s="1092" t="s">
        <v>262</v>
      </c>
      <c r="C36" s="1092"/>
      <c r="D36" s="1092"/>
      <c r="E36" s="1093">
        <v>3.5999999999999997E-2</v>
      </c>
      <c r="F36" s="1093"/>
      <c r="G36" s="473">
        <v>2E-3</v>
      </c>
      <c r="H36" s="909">
        <f t="shared" si="2"/>
        <v>3.7999999999999999E-2</v>
      </c>
      <c r="I36" s="909"/>
      <c r="J36" s="822">
        <f t="shared" si="3"/>
        <v>0</v>
      </c>
      <c r="K36" s="822"/>
      <c r="M36" s="485"/>
      <c r="N36" s="83"/>
    </row>
    <row r="37" spans="1:18" hidden="1" x14ac:dyDescent="0.2">
      <c r="A37" s="344"/>
      <c r="B37" s="1092" t="s">
        <v>449</v>
      </c>
      <c r="C37" s="1092"/>
      <c r="D37" s="1092"/>
      <c r="E37" s="1093">
        <v>1.7</v>
      </c>
      <c r="F37" s="1093"/>
      <c r="G37" s="473">
        <v>0</v>
      </c>
      <c r="H37" s="909">
        <f t="shared" si="2"/>
        <v>1.7</v>
      </c>
      <c r="I37" s="909"/>
      <c r="J37" s="822">
        <f t="shared" si="3"/>
        <v>4.7E-2</v>
      </c>
      <c r="K37" s="822"/>
      <c r="M37" s="485">
        <v>0.08</v>
      </c>
      <c r="N37" s="83"/>
    </row>
    <row r="38" spans="1:18" hidden="1" x14ac:dyDescent="0.2">
      <c r="A38" s="344"/>
      <c r="B38" s="1092" t="s">
        <v>386</v>
      </c>
      <c r="C38" s="1092"/>
      <c r="D38" s="1092"/>
      <c r="E38" s="1093">
        <v>0</v>
      </c>
      <c r="F38" s="1093"/>
      <c r="G38" s="473">
        <v>0</v>
      </c>
      <c r="H38" s="909">
        <v>3.7999999999999999E-2</v>
      </c>
      <c r="I38" s="909"/>
      <c r="J38" s="822">
        <f t="shared" si="3"/>
        <v>2.6320000000000001</v>
      </c>
      <c r="K38" s="822"/>
      <c r="M38" s="485">
        <v>0.1</v>
      </c>
      <c r="N38" s="83"/>
    </row>
    <row r="39" spans="1:18" hidden="1" x14ac:dyDescent="0.2">
      <c r="A39" s="344"/>
      <c r="B39" s="1092" t="s">
        <v>354</v>
      </c>
      <c r="C39" s="1092"/>
      <c r="D39" s="1092"/>
      <c r="E39" s="1103">
        <v>3.6999999999999998E-2</v>
      </c>
      <c r="F39" s="1103"/>
      <c r="G39" s="473">
        <v>2E-3</v>
      </c>
      <c r="H39" s="909">
        <f>E39+G39</f>
        <v>3.9E-2</v>
      </c>
      <c r="I39" s="909"/>
      <c r="J39" s="822">
        <f t="shared" si="3"/>
        <v>0</v>
      </c>
      <c r="K39" s="822"/>
      <c r="M39" s="485"/>
      <c r="N39" s="83"/>
    </row>
    <row r="40" spans="1:18" hidden="1" x14ac:dyDescent="0.2">
      <c r="A40" s="344"/>
      <c r="B40" s="1092" t="s">
        <v>355</v>
      </c>
      <c r="C40" s="1092"/>
      <c r="D40" s="1092"/>
      <c r="E40" s="1103">
        <v>0.25</v>
      </c>
      <c r="F40" s="1103"/>
      <c r="G40" s="473">
        <v>0</v>
      </c>
      <c r="H40" s="909">
        <f>E40+G40</f>
        <v>0.25</v>
      </c>
      <c r="I40" s="909"/>
      <c r="J40" s="822">
        <f t="shared" si="3"/>
        <v>0</v>
      </c>
      <c r="K40" s="822"/>
      <c r="M40" s="485"/>
      <c r="N40" s="83"/>
    </row>
    <row r="41" spans="1:18" hidden="1" x14ac:dyDescent="0.2">
      <c r="A41" s="344"/>
      <c r="B41" s="1092" t="s">
        <v>359</v>
      </c>
      <c r="C41" s="1092"/>
      <c r="D41" s="1092"/>
      <c r="E41" s="1093">
        <v>2</v>
      </c>
      <c r="F41" s="1093"/>
      <c r="G41" s="473">
        <v>0</v>
      </c>
      <c r="H41" s="909">
        <f>E41+G41</f>
        <v>2</v>
      </c>
      <c r="I41" s="909"/>
      <c r="J41" s="822">
        <f t="shared" si="3"/>
        <v>0</v>
      </c>
      <c r="K41" s="822"/>
      <c r="M41" s="486"/>
      <c r="N41" s="83"/>
    </row>
    <row r="42" spans="1:18" ht="14.25" hidden="1" customHeight="1" x14ac:dyDescent="0.2">
      <c r="A42" s="339"/>
      <c r="B42" s="418"/>
      <c r="C42" s="418"/>
      <c r="D42" s="418"/>
      <c r="E42" s="418"/>
      <c r="F42" s="418"/>
      <c r="G42" s="418"/>
      <c r="H42" s="418"/>
      <c r="I42" s="418"/>
      <c r="J42" s="348"/>
      <c r="K42" s="348"/>
      <c r="M42" s="343"/>
      <c r="N42" s="83"/>
    </row>
    <row r="43" spans="1:18" ht="15.75" hidden="1" x14ac:dyDescent="0.25">
      <c r="A43" s="339"/>
      <c r="B43" s="349"/>
      <c r="C43" s="349"/>
      <c r="D43" s="349"/>
      <c r="E43" s="8"/>
      <c r="H43" s="8"/>
      <c r="I43" s="8"/>
      <c r="K43" s="349" t="s">
        <v>106</v>
      </c>
      <c r="M43" s="350">
        <f>SUM(M32:M41)*1000</f>
        <v>200</v>
      </c>
      <c r="N43" s="83" t="s">
        <v>120</v>
      </c>
    </row>
    <row r="44" spans="1:18" ht="9.75" hidden="1" customHeight="1" x14ac:dyDescent="0.25">
      <c r="A44" s="339"/>
      <c r="B44" s="862"/>
      <c r="C44" s="862"/>
      <c r="D44" s="862"/>
      <c r="E44" s="924"/>
      <c r="F44" s="924"/>
      <c r="G44" s="924"/>
      <c r="H44" s="8"/>
      <c r="I44" s="8"/>
      <c r="J44" s="351"/>
      <c r="N44" s="83"/>
    </row>
    <row r="45" spans="1:18" ht="15.75" hidden="1" x14ac:dyDescent="0.2">
      <c r="A45" s="339"/>
      <c r="B45" s="349"/>
      <c r="C45" s="349"/>
      <c r="D45" s="349"/>
      <c r="E45" s="902" t="s">
        <v>93</v>
      </c>
      <c r="F45" s="902"/>
      <c r="G45" s="902"/>
      <c r="H45" s="1094">
        <f>ROUND(1/((SUM(J32:K41)+J28+J29)),3)</f>
        <v>0.33100000000000002</v>
      </c>
      <c r="I45" s="1095"/>
      <c r="J45" s="905" t="s">
        <v>306</v>
      </c>
      <c r="K45" s="906"/>
      <c r="N45" s="83"/>
      <c r="R45" s="931"/>
    </row>
    <row r="46" spans="1:18" ht="10.15" hidden="1" customHeight="1" x14ac:dyDescent="0.2">
      <c r="A46" s="352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9"/>
      <c r="R46" s="931"/>
    </row>
    <row r="47" spans="1:18" ht="19.899999999999999" hidden="1" customHeight="1" x14ac:dyDescent="0.2"/>
    <row r="48" spans="1:18" ht="8.25" hidden="1" customHeight="1" x14ac:dyDescent="0.2">
      <c r="A48" s="337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99"/>
      <c r="M48" s="99"/>
      <c r="N48" s="81"/>
    </row>
    <row r="49" spans="1:20" ht="15.75" hidden="1" x14ac:dyDescent="0.25">
      <c r="A49" s="339"/>
      <c r="B49" s="507" t="s">
        <v>448</v>
      </c>
      <c r="C49" s="868" t="s">
        <v>383</v>
      </c>
      <c r="D49" s="925"/>
      <c r="E49" s="925"/>
      <c r="F49" s="925"/>
      <c r="G49" s="925"/>
      <c r="H49" s="925"/>
      <c r="I49" s="925"/>
      <c r="J49" s="925"/>
      <c r="K49" s="926"/>
      <c r="N49" s="83"/>
      <c r="Q49" s="495" t="s">
        <v>386</v>
      </c>
      <c r="R49" s="495">
        <v>3.7999999999999999E-2</v>
      </c>
    </row>
    <row r="50" spans="1:20" ht="6.75" hidden="1" customHeight="1" x14ac:dyDescent="0.2">
      <c r="A50" s="339"/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N50" s="83"/>
      <c r="Q50" s="496"/>
      <c r="R50" s="496"/>
    </row>
    <row r="51" spans="1:20" ht="15" hidden="1" x14ac:dyDescent="0.25">
      <c r="A51" s="339"/>
      <c r="B51" s="341"/>
      <c r="C51" s="927" t="s">
        <v>299</v>
      </c>
      <c r="D51" s="927"/>
      <c r="E51" s="927"/>
      <c r="F51" s="927"/>
      <c r="G51" s="927"/>
      <c r="H51" s="927"/>
      <c r="I51" s="341" t="s">
        <v>300</v>
      </c>
      <c r="J51" s="1102">
        <v>0.1</v>
      </c>
      <c r="K51" s="1097"/>
      <c r="N51" s="83"/>
      <c r="Q51" s="496"/>
      <c r="R51" s="496"/>
    </row>
    <row r="52" spans="1:20" ht="15" hidden="1" x14ac:dyDescent="0.25">
      <c r="A52" s="339"/>
      <c r="B52" s="341"/>
      <c r="C52" s="341"/>
      <c r="D52" s="341"/>
      <c r="E52" s="341"/>
      <c r="F52" s="341"/>
      <c r="G52" s="341"/>
      <c r="H52" s="341"/>
      <c r="I52" s="341" t="s">
        <v>301</v>
      </c>
      <c r="J52" s="1104">
        <v>0.04</v>
      </c>
      <c r="K52" s="1105"/>
      <c r="N52" s="83"/>
      <c r="Q52" s="496"/>
      <c r="R52" s="496"/>
    </row>
    <row r="53" spans="1:20" ht="15" hidden="1" x14ac:dyDescent="0.25">
      <c r="A53" s="339"/>
      <c r="B53" s="341"/>
      <c r="C53" s="341"/>
      <c r="D53" s="341"/>
      <c r="E53" s="341"/>
      <c r="F53" s="341"/>
      <c r="G53" s="341"/>
      <c r="H53" s="341"/>
      <c r="I53" s="341" t="s">
        <v>323</v>
      </c>
      <c r="J53" s="1102">
        <v>0.3</v>
      </c>
      <c r="K53" s="1097"/>
      <c r="N53" s="83"/>
      <c r="Q53" s="496"/>
      <c r="R53" s="496"/>
    </row>
    <row r="54" spans="1:20" ht="10.5" hidden="1" customHeight="1" x14ac:dyDescent="0.2">
      <c r="A54" s="339"/>
      <c r="J54" s="762"/>
      <c r="K54" s="762"/>
      <c r="N54" s="83"/>
      <c r="Q54" s="496"/>
      <c r="R54" s="496"/>
    </row>
    <row r="55" spans="1:20" ht="13.5" hidden="1" x14ac:dyDescent="0.25">
      <c r="A55" s="339"/>
      <c r="B55" s="907" t="s">
        <v>6</v>
      </c>
      <c r="C55" s="907"/>
      <c r="D55" s="907"/>
      <c r="E55" s="929" t="s">
        <v>302</v>
      </c>
      <c r="F55" s="929"/>
      <c r="G55" s="467" t="s">
        <v>303</v>
      </c>
      <c r="H55" s="929" t="s">
        <v>405</v>
      </c>
      <c r="I55" s="929"/>
      <c r="J55" s="929" t="s">
        <v>304</v>
      </c>
      <c r="K55" s="929"/>
      <c r="L55" s="343"/>
      <c r="M55" s="466" t="s">
        <v>305</v>
      </c>
      <c r="N55" s="83"/>
      <c r="Q55" s="497"/>
      <c r="R55" s="497"/>
      <c r="T55" s="2" t="s">
        <v>266</v>
      </c>
    </row>
    <row r="56" spans="1:20" hidden="1" x14ac:dyDescent="0.2">
      <c r="A56" s="344"/>
      <c r="B56" s="1092" t="s">
        <v>402</v>
      </c>
      <c r="C56" s="1092"/>
      <c r="D56" s="1092"/>
      <c r="E56" s="1093">
        <v>0.15</v>
      </c>
      <c r="F56" s="1093"/>
      <c r="G56" s="473">
        <v>0</v>
      </c>
      <c r="H56" s="909">
        <f t="shared" ref="H56:H61" si="4">E56+G56</f>
        <v>0.15</v>
      </c>
      <c r="I56" s="909"/>
      <c r="J56" s="822">
        <f>ROUND(M56/H56,3)</f>
        <v>0.13300000000000001</v>
      </c>
      <c r="K56" s="822"/>
      <c r="M56" s="485">
        <v>0.02</v>
      </c>
      <c r="N56" s="83"/>
    </row>
    <row r="57" spans="1:20" hidden="1" x14ac:dyDescent="0.2">
      <c r="A57" s="344"/>
      <c r="B57" s="1092"/>
      <c r="C57" s="1092"/>
      <c r="D57" s="1092"/>
      <c r="E57" s="1093">
        <v>4.1000000000000002E-2</v>
      </c>
      <c r="F57" s="1093"/>
      <c r="G57" s="473">
        <v>8.0000000000000002E-3</v>
      </c>
      <c r="H57" s="909">
        <f t="shared" si="4"/>
        <v>4.9000000000000002E-2</v>
      </c>
      <c r="I57" s="909"/>
      <c r="J57" s="822">
        <f>ROUND(M57/H57,3)</f>
        <v>0</v>
      </c>
      <c r="K57" s="822"/>
      <c r="M57" s="485"/>
      <c r="N57" s="83"/>
    </row>
    <row r="58" spans="1:20" hidden="1" x14ac:dyDescent="0.2">
      <c r="A58" s="344"/>
      <c r="B58" s="1092" t="s">
        <v>348</v>
      </c>
      <c r="C58" s="1092"/>
      <c r="D58" s="1092"/>
      <c r="E58" s="1093">
        <v>3.5999999999999997E-2</v>
      </c>
      <c r="F58" s="1093"/>
      <c r="G58" s="473">
        <v>4.0000000000000001E-3</v>
      </c>
      <c r="H58" s="909">
        <f t="shared" si="4"/>
        <v>3.9999999999999994E-2</v>
      </c>
      <c r="I58" s="909"/>
      <c r="J58" s="822">
        <f t="shared" ref="J58:J65" si="5">ROUND(M58/H58,3)</f>
        <v>0</v>
      </c>
      <c r="K58" s="822"/>
      <c r="M58" s="485"/>
      <c r="N58" s="83"/>
    </row>
    <row r="59" spans="1:20" hidden="1" x14ac:dyDescent="0.2">
      <c r="A59" s="344"/>
      <c r="B59" s="1092" t="s">
        <v>243</v>
      </c>
      <c r="C59" s="1092"/>
      <c r="D59" s="1092"/>
      <c r="E59" s="1093">
        <v>3.3000000000000002E-2</v>
      </c>
      <c r="F59" s="1093"/>
      <c r="G59" s="473">
        <v>2E-3</v>
      </c>
      <c r="H59" s="909">
        <f t="shared" si="4"/>
        <v>3.5000000000000003E-2</v>
      </c>
      <c r="I59" s="909"/>
      <c r="J59" s="822">
        <f t="shared" si="5"/>
        <v>0</v>
      </c>
      <c r="K59" s="822"/>
      <c r="M59" s="485"/>
      <c r="N59" s="83"/>
    </row>
    <row r="60" spans="1:20" hidden="1" x14ac:dyDescent="0.2">
      <c r="A60" s="344"/>
      <c r="B60" s="1092" t="s">
        <v>262</v>
      </c>
      <c r="C60" s="1092"/>
      <c r="D60" s="1092"/>
      <c r="E60" s="1093">
        <v>3.5999999999999997E-2</v>
      </c>
      <c r="F60" s="1093"/>
      <c r="G60" s="473">
        <v>2E-3</v>
      </c>
      <c r="H60" s="909">
        <f t="shared" si="4"/>
        <v>3.7999999999999999E-2</v>
      </c>
      <c r="I60" s="909"/>
      <c r="J60" s="822">
        <f t="shared" si="5"/>
        <v>0</v>
      </c>
      <c r="K60" s="822"/>
      <c r="M60" s="485"/>
      <c r="N60" s="83"/>
    </row>
    <row r="61" spans="1:20" hidden="1" x14ac:dyDescent="0.2">
      <c r="A61" s="344"/>
      <c r="B61" s="1092" t="s">
        <v>449</v>
      </c>
      <c r="C61" s="1092"/>
      <c r="D61" s="1092"/>
      <c r="E61" s="1093">
        <v>1.7</v>
      </c>
      <c r="F61" s="1093"/>
      <c r="G61" s="473">
        <v>0</v>
      </c>
      <c r="H61" s="909">
        <f t="shared" si="4"/>
        <v>1.7</v>
      </c>
      <c r="I61" s="909"/>
      <c r="J61" s="822">
        <f t="shared" si="5"/>
        <v>4.7E-2</v>
      </c>
      <c r="K61" s="822"/>
      <c r="M61" s="485">
        <v>0.08</v>
      </c>
      <c r="N61" s="83"/>
    </row>
    <row r="62" spans="1:20" hidden="1" x14ac:dyDescent="0.2">
      <c r="A62" s="344"/>
      <c r="B62" s="1092" t="s">
        <v>386</v>
      </c>
      <c r="C62" s="1092"/>
      <c r="D62" s="1092"/>
      <c r="E62" s="1093">
        <v>0</v>
      </c>
      <c r="F62" s="1093"/>
      <c r="G62" s="473">
        <v>0</v>
      </c>
      <c r="H62" s="909">
        <v>3.7999999999999999E-2</v>
      </c>
      <c r="I62" s="909"/>
      <c r="J62" s="822">
        <f t="shared" si="5"/>
        <v>7.8949999999999996</v>
      </c>
      <c r="K62" s="822"/>
      <c r="M62" s="485">
        <v>0.3</v>
      </c>
      <c r="N62" s="83"/>
    </row>
    <row r="63" spans="1:20" hidden="1" x14ac:dyDescent="0.2">
      <c r="A63" s="344"/>
      <c r="B63" s="1092" t="s">
        <v>354</v>
      </c>
      <c r="C63" s="1092"/>
      <c r="D63" s="1092"/>
      <c r="E63" s="1103">
        <v>3.6999999999999998E-2</v>
      </c>
      <c r="F63" s="1103"/>
      <c r="G63" s="473">
        <v>2E-3</v>
      </c>
      <c r="H63" s="909">
        <f>E63+G63</f>
        <v>3.9E-2</v>
      </c>
      <c r="I63" s="909"/>
      <c r="J63" s="822">
        <f t="shared" si="5"/>
        <v>0</v>
      </c>
      <c r="K63" s="822"/>
      <c r="M63" s="485"/>
      <c r="N63" s="83"/>
    </row>
    <row r="64" spans="1:20" hidden="1" x14ac:dyDescent="0.2">
      <c r="A64" s="344"/>
      <c r="B64" s="1092" t="s">
        <v>355</v>
      </c>
      <c r="C64" s="1092"/>
      <c r="D64" s="1092"/>
      <c r="E64" s="1103">
        <v>0.25</v>
      </c>
      <c r="F64" s="1103"/>
      <c r="G64" s="473">
        <v>0</v>
      </c>
      <c r="H64" s="909">
        <f>E64+G64</f>
        <v>0.25</v>
      </c>
      <c r="I64" s="909"/>
      <c r="J64" s="822">
        <f t="shared" si="5"/>
        <v>0</v>
      </c>
      <c r="K64" s="822"/>
      <c r="M64" s="485"/>
      <c r="N64" s="83"/>
    </row>
    <row r="65" spans="1:18" hidden="1" x14ac:dyDescent="0.2">
      <c r="A65" s="344"/>
      <c r="B65" s="1092" t="s">
        <v>359</v>
      </c>
      <c r="C65" s="1092"/>
      <c r="D65" s="1092"/>
      <c r="E65" s="1093">
        <v>2</v>
      </c>
      <c r="F65" s="1093"/>
      <c r="G65" s="473">
        <v>0</v>
      </c>
      <c r="H65" s="909">
        <f>E65+G65</f>
        <v>2</v>
      </c>
      <c r="I65" s="909"/>
      <c r="J65" s="822">
        <f t="shared" si="5"/>
        <v>0</v>
      </c>
      <c r="K65" s="822"/>
      <c r="M65" s="486"/>
      <c r="N65" s="83"/>
    </row>
    <row r="66" spans="1:18" ht="14.25" hidden="1" customHeight="1" x14ac:dyDescent="0.2">
      <c r="A66" s="339"/>
      <c r="B66" s="418"/>
      <c r="C66" s="418"/>
      <c r="D66" s="418"/>
      <c r="E66" s="418"/>
      <c r="F66" s="418"/>
      <c r="G66" s="418"/>
      <c r="H66" s="418"/>
      <c r="I66" s="418"/>
      <c r="J66" s="348"/>
      <c r="K66" s="348"/>
      <c r="M66" s="343"/>
      <c r="N66" s="83"/>
    </row>
    <row r="67" spans="1:18" ht="15.75" hidden="1" x14ac:dyDescent="0.25">
      <c r="A67" s="339"/>
      <c r="B67" s="349"/>
      <c r="C67" s="349"/>
      <c r="D67" s="349"/>
      <c r="E67" s="8"/>
      <c r="H67" s="8"/>
      <c r="I67" s="8"/>
      <c r="K67" s="349" t="s">
        <v>106</v>
      </c>
      <c r="M67" s="350">
        <f>SUM(M56:M65)*1000</f>
        <v>400</v>
      </c>
      <c r="N67" s="83" t="s">
        <v>120</v>
      </c>
    </row>
    <row r="68" spans="1:18" ht="9.75" hidden="1" customHeight="1" x14ac:dyDescent="0.25">
      <c r="A68" s="339"/>
      <c r="B68" s="862"/>
      <c r="C68" s="862"/>
      <c r="D68" s="862"/>
      <c r="E68" s="924"/>
      <c r="F68" s="924"/>
      <c r="G68" s="924"/>
      <c r="H68" s="8"/>
      <c r="I68" s="8"/>
      <c r="J68" s="351"/>
      <c r="N68" s="83"/>
    </row>
    <row r="69" spans="1:18" ht="15.75" hidden="1" x14ac:dyDescent="0.2">
      <c r="A69" s="339"/>
      <c r="B69" s="349"/>
      <c r="C69" s="349"/>
      <c r="D69" s="349"/>
      <c r="E69" s="902" t="s">
        <v>93</v>
      </c>
      <c r="F69" s="902"/>
      <c r="G69" s="902"/>
      <c r="H69" s="1094">
        <f>ROUND(1/((SUM(J56:K65)+J51+J52)),3)</f>
        <v>0.122</v>
      </c>
      <c r="I69" s="1095"/>
      <c r="J69" s="905" t="s">
        <v>306</v>
      </c>
      <c r="K69" s="906"/>
      <c r="N69" s="83"/>
      <c r="R69" s="931"/>
    </row>
    <row r="70" spans="1:18" ht="10.15" hidden="1" customHeight="1" x14ac:dyDescent="0.2">
      <c r="A70" s="352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9"/>
      <c r="R70" s="931"/>
    </row>
    <row r="71" spans="1:18" hidden="1" x14ac:dyDescent="0.2">
      <c r="A71" s="2"/>
    </row>
    <row r="72" spans="1:18" ht="7.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2"/>
      <c r="K72" s="1098"/>
      <c r="L72" s="1098"/>
      <c r="M72" s="1098"/>
      <c r="N72" s="1098"/>
    </row>
    <row r="73" spans="1:18" ht="9" customHeight="1" x14ac:dyDescent="0.35">
      <c r="A73" s="78"/>
      <c r="B73" s="79"/>
      <c r="C73" s="79"/>
      <c r="D73" s="79"/>
      <c r="E73" s="79"/>
      <c r="F73" s="79"/>
      <c r="G73" s="79"/>
      <c r="H73" s="79"/>
      <c r="I73" s="79"/>
      <c r="J73" s="80"/>
      <c r="K73" s="80"/>
      <c r="L73" s="99"/>
      <c r="M73" s="99"/>
      <c r="N73" s="81"/>
    </row>
    <row r="74" spans="1:18" ht="16.5" customHeight="1" x14ac:dyDescent="0.2">
      <c r="A74" s="354"/>
      <c r="B74" s="507"/>
      <c r="C74" s="1099" t="s">
        <v>521</v>
      </c>
      <c r="D74" s="1100"/>
      <c r="E74" s="1100"/>
      <c r="F74" s="1100"/>
      <c r="G74" s="1100"/>
      <c r="H74" s="1100"/>
      <c r="I74" s="1100"/>
      <c r="J74" s="1100"/>
      <c r="K74" s="1100"/>
      <c r="L74" s="1100"/>
      <c r="M74" s="1101"/>
      <c r="N74" s="83"/>
    </row>
    <row r="75" spans="1:18" ht="8.25" customHeight="1" x14ac:dyDescent="0.2">
      <c r="A75" s="354"/>
      <c r="B75" s="355"/>
      <c r="C75" s="341"/>
      <c r="D75" s="356"/>
      <c r="E75" s="356"/>
      <c r="F75" s="356"/>
      <c r="G75" s="356"/>
      <c r="H75" s="356"/>
      <c r="I75" s="356"/>
      <c r="J75" s="356"/>
      <c r="N75" s="83"/>
    </row>
    <row r="76" spans="1:18" ht="15" customHeight="1" x14ac:dyDescent="0.25">
      <c r="A76" s="354"/>
      <c r="B76" s="871" t="s">
        <v>307</v>
      </c>
      <c r="C76" s="871"/>
      <c r="D76" s="871"/>
      <c r="E76" s="871"/>
      <c r="F76" s="871"/>
      <c r="G76" s="871"/>
      <c r="H76" s="357" t="s">
        <v>308</v>
      </c>
      <c r="I76" s="872">
        <v>0.1</v>
      </c>
      <c r="J76" s="873"/>
      <c r="K76" s="399"/>
      <c r="N76" s="83"/>
    </row>
    <row r="77" spans="1:18" ht="15" x14ac:dyDescent="0.25">
      <c r="A77" s="354"/>
      <c r="B77" s="355"/>
      <c r="C77" s="341"/>
      <c r="D77" s="383"/>
      <c r="E77" s="383"/>
      <c r="F77" s="383"/>
      <c r="G77" s="383"/>
      <c r="H77" s="341" t="s">
        <v>301</v>
      </c>
      <c r="I77" s="872">
        <v>0.04</v>
      </c>
      <c r="J77" s="873"/>
      <c r="N77" s="83"/>
    </row>
    <row r="78" spans="1:18" ht="15" hidden="1" x14ac:dyDescent="0.25">
      <c r="A78" s="354"/>
      <c r="B78" s="355"/>
      <c r="C78" s="341"/>
      <c r="D78" s="383"/>
      <c r="E78" s="383"/>
      <c r="F78" s="383"/>
      <c r="G78" s="383"/>
      <c r="H78" s="341" t="s">
        <v>323</v>
      </c>
      <c r="I78" s="1096">
        <v>0</v>
      </c>
      <c r="J78" s="1097"/>
      <c r="N78" s="83"/>
    </row>
    <row r="79" spans="1:18" ht="6.75" customHeight="1" x14ac:dyDescent="0.25">
      <c r="A79" s="354"/>
      <c r="B79" s="355"/>
      <c r="C79" s="341"/>
      <c r="D79" s="341"/>
      <c r="E79" s="341"/>
      <c r="F79" s="341"/>
      <c r="G79" s="892"/>
      <c r="H79" s="892"/>
      <c r="I79" s="341"/>
      <c r="J79" s="359"/>
      <c r="N79" s="83"/>
    </row>
    <row r="80" spans="1:18" ht="15" customHeight="1" x14ac:dyDescent="0.25">
      <c r="A80" s="354"/>
      <c r="B80" s="355"/>
      <c r="C80" s="882" t="s">
        <v>8</v>
      </c>
      <c r="D80" s="882"/>
      <c r="E80" s="882"/>
      <c r="F80" s="882"/>
      <c r="G80" s="880">
        <v>1.25</v>
      </c>
      <c r="H80" s="880"/>
      <c r="I80" s="341"/>
      <c r="J80" s="359"/>
      <c r="N80" s="83"/>
    </row>
    <row r="81" spans="1:16" ht="15" customHeight="1" x14ac:dyDescent="0.25">
      <c r="A81" s="354"/>
      <c r="B81" s="891" t="s">
        <v>311</v>
      </c>
      <c r="C81" s="891"/>
      <c r="D81" s="891"/>
      <c r="E81" s="891"/>
      <c r="F81" s="891"/>
      <c r="G81" s="880">
        <f>G80-G82</f>
        <v>1.2</v>
      </c>
      <c r="H81" s="880"/>
      <c r="I81" s="341"/>
      <c r="J81" s="359"/>
      <c r="N81" s="83"/>
    </row>
    <row r="82" spans="1:16" ht="15" x14ac:dyDescent="0.25">
      <c r="A82" s="354"/>
      <c r="B82" s="891"/>
      <c r="C82" s="891"/>
      <c r="D82" s="891"/>
      <c r="E82" s="891"/>
      <c r="F82" s="891"/>
      <c r="G82" s="880">
        <v>0.05</v>
      </c>
      <c r="H82" s="880"/>
      <c r="I82" s="341"/>
      <c r="J82" s="359"/>
      <c r="N82" s="83"/>
    </row>
    <row r="83" spans="1:16" ht="5.25" customHeight="1" x14ac:dyDescent="0.2">
      <c r="A83" s="881"/>
      <c r="B83" s="882"/>
      <c r="C83" s="883"/>
      <c r="D83" s="883"/>
      <c r="E83" s="883"/>
      <c r="F83" s="883"/>
      <c r="G83" s="884"/>
      <c r="H83" s="884"/>
      <c r="I83" s="360"/>
      <c r="J83" s="360"/>
      <c r="K83" s="360"/>
      <c r="N83" s="83"/>
    </row>
    <row r="84" spans="1:16" x14ac:dyDescent="0.2">
      <c r="A84" s="890"/>
      <c r="B84" s="891"/>
      <c r="C84" s="883"/>
      <c r="D84" s="883"/>
      <c r="E84" s="361"/>
      <c r="F84" s="361"/>
      <c r="G84" s="467" t="s">
        <v>0</v>
      </c>
      <c r="H84" s="467" t="s">
        <v>1</v>
      </c>
      <c r="I84" s="466"/>
      <c r="J84" s="364"/>
      <c r="K84" s="364"/>
      <c r="N84" s="83"/>
    </row>
    <row r="85" spans="1:16" x14ac:dyDescent="0.2">
      <c r="A85" s="887" t="s">
        <v>312</v>
      </c>
      <c r="B85" s="888"/>
      <c r="C85" s="888"/>
      <c r="D85" s="888"/>
      <c r="E85" s="888"/>
      <c r="F85" s="888"/>
      <c r="G85" s="468">
        <f>G81/G80</f>
        <v>0.96</v>
      </c>
      <c r="H85" s="468">
        <f>G82/G80</f>
        <v>0.04</v>
      </c>
      <c r="I85" s="457"/>
      <c r="J85" s="364"/>
      <c r="K85" s="364"/>
      <c r="N85" s="83"/>
    </row>
    <row r="86" spans="1:16" ht="26.25" customHeight="1" x14ac:dyDescent="0.2">
      <c r="A86" s="367"/>
      <c r="B86" s="368"/>
      <c r="C86" s="368"/>
      <c r="D86" s="368"/>
      <c r="E86" s="368"/>
      <c r="F86" s="368"/>
      <c r="G86" s="889" t="s">
        <v>313</v>
      </c>
      <c r="H86" s="889"/>
      <c r="I86" s="889" t="s">
        <v>314</v>
      </c>
      <c r="J86" s="889"/>
      <c r="K86" s="889"/>
      <c r="N86" s="83"/>
    </row>
    <row r="87" spans="1:16" ht="24.75" customHeight="1" x14ac:dyDescent="0.2">
      <c r="A87" s="369"/>
      <c r="B87" s="907" t="s">
        <v>6</v>
      </c>
      <c r="C87" s="907"/>
      <c r="D87" s="470" t="s">
        <v>315</v>
      </c>
      <c r="E87" s="470" t="s">
        <v>303</v>
      </c>
      <c r="F87" s="470" t="s">
        <v>316</v>
      </c>
      <c r="G87" s="470" t="s">
        <v>419</v>
      </c>
      <c r="H87" s="470" t="s">
        <v>318</v>
      </c>
      <c r="I87" s="471" t="s">
        <v>4</v>
      </c>
      <c r="J87" s="470" t="s">
        <v>119</v>
      </c>
      <c r="K87" s="470" t="s">
        <v>321</v>
      </c>
      <c r="M87" s="458" t="s">
        <v>324</v>
      </c>
      <c r="N87" s="83"/>
    </row>
    <row r="88" spans="1:16" ht="12.75" customHeight="1" x14ac:dyDescent="0.2">
      <c r="A88" s="469"/>
      <c r="B88" s="874" t="s">
        <v>446</v>
      </c>
      <c r="C88" s="874"/>
      <c r="D88" s="474">
        <v>0.13</v>
      </c>
      <c r="E88" s="474">
        <v>0</v>
      </c>
      <c r="F88" s="474">
        <f>D88+E88</f>
        <v>0.13</v>
      </c>
      <c r="G88" s="459">
        <f>M88/F88</f>
        <v>0.23076923076923075</v>
      </c>
      <c r="H88" s="459">
        <f t="shared" ref="H88:H93" si="6">M88/F88</f>
        <v>0.23076923076923075</v>
      </c>
      <c r="I88" s="456"/>
      <c r="J88" s="459">
        <f>F88</f>
        <v>0.13</v>
      </c>
      <c r="K88" s="459">
        <f t="shared" ref="K88:K93" si="7">M88/J88</f>
        <v>0.23076923076923075</v>
      </c>
      <c r="M88" s="474">
        <v>0.03</v>
      </c>
      <c r="N88" s="83"/>
    </row>
    <row r="89" spans="1:16" ht="12.75" customHeight="1" x14ac:dyDescent="0.2">
      <c r="A89" s="469"/>
      <c r="B89" s="893" t="s">
        <v>717</v>
      </c>
      <c r="C89" s="894"/>
      <c r="D89" s="474">
        <v>2</v>
      </c>
      <c r="E89" s="474">
        <v>0</v>
      </c>
      <c r="F89" s="474">
        <f>D89+E89</f>
        <v>2</v>
      </c>
      <c r="G89" s="459">
        <f>M89/F89</f>
        <v>0</v>
      </c>
      <c r="H89" s="459">
        <f t="shared" si="6"/>
        <v>0</v>
      </c>
      <c r="I89" s="456"/>
      <c r="J89" s="459"/>
      <c r="K89" s="459">
        <v>0</v>
      </c>
      <c r="M89" s="474">
        <v>0</v>
      </c>
      <c r="N89" s="83"/>
      <c r="P89" s="2">
        <v>0.16</v>
      </c>
    </row>
    <row r="90" spans="1:16" ht="12.75" hidden="1" customHeight="1" x14ac:dyDescent="0.2">
      <c r="A90" s="469"/>
      <c r="B90" s="893" t="s">
        <v>386</v>
      </c>
      <c r="C90" s="894"/>
      <c r="D90" s="474">
        <v>0</v>
      </c>
      <c r="E90" s="474">
        <v>0</v>
      </c>
      <c r="F90" s="474">
        <v>3.7999999999999999E-2</v>
      </c>
      <c r="G90" s="459">
        <f>M90/F90</f>
        <v>0</v>
      </c>
      <c r="H90" s="459">
        <f t="shared" si="6"/>
        <v>0</v>
      </c>
      <c r="I90" s="456"/>
      <c r="J90" s="459">
        <f>F90</f>
        <v>3.7999999999999999E-2</v>
      </c>
      <c r="K90" s="459">
        <f t="shared" si="7"/>
        <v>0</v>
      </c>
      <c r="M90" s="474"/>
      <c r="N90" s="83"/>
    </row>
    <row r="91" spans="1:16" ht="12.75" hidden="1" customHeight="1" x14ac:dyDescent="0.2">
      <c r="A91" s="469"/>
      <c r="B91" s="893" t="s">
        <v>447</v>
      </c>
      <c r="C91" s="894"/>
      <c r="D91" s="474">
        <v>0</v>
      </c>
      <c r="E91" s="474">
        <v>0</v>
      </c>
      <c r="F91" s="474">
        <v>3.5000000000000003E-2</v>
      </c>
      <c r="G91" s="459">
        <f>M91/F91</f>
        <v>0</v>
      </c>
      <c r="H91" s="459">
        <f t="shared" si="6"/>
        <v>0</v>
      </c>
      <c r="I91" s="456"/>
      <c r="J91" s="459">
        <f>F91</f>
        <v>3.5000000000000003E-2</v>
      </c>
      <c r="K91" s="459">
        <f t="shared" si="7"/>
        <v>0</v>
      </c>
      <c r="M91" s="474"/>
      <c r="N91" s="83"/>
    </row>
    <row r="92" spans="1:16" ht="12.75" hidden="1" customHeight="1" x14ac:dyDescent="0.2">
      <c r="A92" s="469"/>
      <c r="B92" s="671" t="s">
        <v>255</v>
      </c>
      <c r="C92" s="671"/>
      <c r="D92" s="474">
        <v>0.14000000000000001</v>
      </c>
      <c r="E92" s="474">
        <v>0</v>
      </c>
      <c r="F92" s="474">
        <f>D92+E92</f>
        <v>0.14000000000000001</v>
      </c>
      <c r="G92" s="459">
        <f>M92/F92</f>
        <v>0</v>
      </c>
      <c r="H92" s="459">
        <f t="shared" si="6"/>
        <v>0</v>
      </c>
      <c r="I92" s="456"/>
      <c r="J92" s="459">
        <f>F92</f>
        <v>0.14000000000000001</v>
      </c>
      <c r="K92" s="459">
        <f t="shared" si="7"/>
        <v>0</v>
      </c>
      <c r="M92" s="474"/>
      <c r="N92" s="83"/>
    </row>
    <row r="93" spans="1:16" ht="12.75" customHeight="1" x14ac:dyDescent="0.2">
      <c r="A93" s="887"/>
      <c r="B93" s="874" t="s">
        <v>7</v>
      </c>
      <c r="C93" s="874"/>
      <c r="D93" s="474">
        <v>0.13</v>
      </c>
      <c r="E93" s="474">
        <v>0</v>
      </c>
      <c r="F93" s="474">
        <f>D93+E93</f>
        <v>0.13</v>
      </c>
      <c r="G93" s="459"/>
      <c r="H93" s="459">
        <f t="shared" si="6"/>
        <v>1.5384615384615385</v>
      </c>
      <c r="I93" s="465">
        <f>(G82*G80*2)/(G80*G80*2)</f>
        <v>0.04</v>
      </c>
      <c r="J93" s="879">
        <f>(I93*F93)+(I94*F94)</f>
        <v>3.4000000000000002E-2</v>
      </c>
      <c r="K93" s="879">
        <f t="shared" si="7"/>
        <v>5.8823529411764701</v>
      </c>
      <c r="M93" s="880">
        <v>0.2</v>
      </c>
      <c r="N93" s="83"/>
    </row>
    <row r="94" spans="1:16" x14ac:dyDescent="0.2">
      <c r="A94" s="887"/>
      <c r="B94" s="874" t="s">
        <v>386</v>
      </c>
      <c r="C94" s="874"/>
      <c r="D94" s="474">
        <v>2.9000000000000001E-2</v>
      </c>
      <c r="E94" s="474">
        <v>1E-3</v>
      </c>
      <c r="F94" s="474">
        <f>D94+E94</f>
        <v>3.0000000000000002E-2</v>
      </c>
      <c r="G94" s="459">
        <f>M93/F94</f>
        <v>6.6666666666666661</v>
      </c>
      <c r="H94" s="459"/>
      <c r="I94" s="465">
        <f>(G81*G80*2)/(G80*G80*2)</f>
        <v>0.96</v>
      </c>
      <c r="J94" s="879"/>
      <c r="K94" s="879"/>
      <c r="M94" s="880"/>
      <c r="N94" s="83"/>
    </row>
    <row r="95" spans="1:16" ht="12.75" hidden="1" customHeight="1" x14ac:dyDescent="0.2">
      <c r="A95" s="887"/>
      <c r="B95" s="874" t="s">
        <v>414</v>
      </c>
      <c r="C95" s="874"/>
      <c r="D95" s="474"/>
      <c r="E95" s="474"/>
      <c r="F95" s="474"/>
      <c r="G95" s="459"/>
      <c r="H95" s="459"/>
      <c r="I95" s="459"/>
      <c r="J95" s="879"/>
      <c r="K95" s="879"/>
      <c r="M95" s="880"/>
      <c r="N95" s="83"/>
    </row>
    <row r="96" spans="1:16" ht="12.75" hidden="1" customHeight="1" x14ac:dyDescent="0.2">
      <c r="A96" s="887"/>
      <c r="B96" s="874" t="s">
        <v>415</v>
      </c>
      <c r="C96" s="874"/>
      <c r="D96" s="474"/>
      <c r="E96" s="474"/>
      <c r="F96" s="474"/>
      <c r="G96" s="459"/>
      <c r="H96" s="459"/>
      <c r="I96" s="459"/>
      <c r="J96" s="879"/>
      <c r="K96" s="879"/>
      <c r="M96" s="880"/>
      <c r="N96" s="83"/>
    </row>
    <row r="97" spans="1:14" hidden="1" x14ac:dyDescent="0.2">
      <c r="A97" s="367"/>
      <c r="B97" s="874" t="s">
        <v>447</v>
      </c>
      <c r="C97" s="874"/>
      <c r="D97" s="474">
        <v>0</v>
      </c>
      <c r="E97" s="474">
        <v>0</v>
      </c>
      <c r="F97" s="474">
        <v>3.4000000000000002E-2</v>
      </c>
      <c r="G97" s="459">
        <f>M97/F97</f>
        <v>0</v>
      </c>
      <c r="H97" s="459">
        <f>M97/F97</f>
        <v>0</v>
      </c>
      <c r="I97" s="456"/>
      <c r="J97" s="477">
        <f>F97</f>
        <v>3.4000000000000002E-2</v>
      </c>
      <c r="K97" s="477">
        <f>M97/J97</f>
        <v>0</v>
      </c>
      <c r="M97" s="474">
        <v>0</v>
      </c>
      <c r="N97" s="83"/>
    </row>
    <row r="98" spans="1:14" hidden="1" x14ac:dyDescent="0.2">
      <c r="A98" s="367"/>
      <c r="B98" s="874" t="s">
        <v>386</v>
      </c>
      <c r="C98" s="874"/>
      <c r="D98" s="474">
        <v>0</v>
      </c>
      <c r="E98" s="474">
        <v>0</v>
      </c>
      <c r="F98" s="474">
        <v>3.5000000000000003E-2</v>
      </c>
      <c r="G98" s="459">
        <f>M98/F98</f>
        <v>0</v>
      </c>
      <c r="H98" s="459">
        <f>M98/F98</f>
        <v>0</v>
      </c>
      <c r="I98" s="456"/>
      <c r="J98" s="459">
        <f>F98</f>
        <v>3.5000000000000003E-2</v>
      </c>
      <c r="K98" s="477">
        <f>M98/J98</f>
        <v>0</v>
      </c>
      <c r="M98" s="474">
        <v>0</v>
      </c>
      <c r="N98" s="83"/>
    </row>
    <row r="99" spans="1:14" x14ac:dyDescent="0.2">
      <c r="A99" s="367"/>
      <c r="B99" s="874" t="s">
        <v>499</v>
      </c>
      <c r="C99" s="874"/>
      <c r="D99" s="474">
        <v>0.15</v>
      </c>
      <c r="E99" s="474">
        <v>0</v>
      </c>
      <c r="F99" s="474">
        <f>D99+E99</f>
        <v>0.15</v>
      </c>
      <c r="G99" s="459">
        <f>M99/F99</f>
        <v>0.22666666666666668</v>
      </c>
      <c r="H99" s="459">
        <f>M99/F99</f>
        <v>0.22666666666666668</v>
      </c>
      <c r="I99" s="456"/>
      <c r="J99" s="459">
        <f>F99</f>
        <v>0.15</v>
      </c>
      <c r="K99" s="477">
        <f>M99/J99</f>
        <v>0.22666666666666668</v>
      </c>
      <c r="M99" s="474">
        <v>3.4000000000000002E-2</v>
      </c>
      <c r="N99" s="83"/>
    </row>
    <row r="100" spans="1:14" ht="14.45" customHeight="1" x14ac:dyDescent="0.2">
      <c r="A100" s="86"/>
      <c r="F100" s="349"/>
      <c r="G100" s="459">
        <f>SUM(G88:G98)+I76+I77+I78</f>
        <v>7.0374358974358966</v>
      </c>
      <c r="H100" s="459">
        <f>SUM(H88:H98)+I76+I77+I78</f>
        <v>1.9092307692307695</v>
      </c>
      <c r="I100" s="895">
        <f>SUM(K88:K99)</f>
        <v>6.3397888386123675</v>
      </c>
      <c r="J100" s="896"/>
      <c r="K100" s="897"/>
      <c r="N100" s="83"/>
    </row>
    <row r="101" spans="1:14" ht="12.75" customHeight="1" x14ac:dyDescent="0.2">
      <c r="A101" s="86"/>
      <c r="C101" s="343"/>
      <c r="D101" s="377"/>
      <c r="E101" s="377"/>
      <c r="F101" s="377"/>
      <c r="G101" s="879">
        <f>ROUND((G85*G100)+(H85*H100),3)</f>
        <v>6.8319999999999999</v>
      </c>
      <c r="H101" s="879"/>
      <c r="I101" s="898"/>
      <c r="J101" s="899"/>
      <c r="K101" s="900"/>
      <c r="N101" s="83"/>
    </row>
    <row r="102" spans="1:14" ht="8.4499999999999993" customHeight="1" x14ac:dyDescent="0.2">
      <c r="A102" s="86"/>
      <c r="C102" s="378"/>
      <c r="D102" s="379"/>
      <c r="E102" s="377"/>
      <c r="F102" s="377"/>
      <c r="G102" s="380"/>
      <c r="H102" s="380"/>
      <c r="I102" s="380"/>
      <c r="J102" s="380"/>
      <c r="K102" s="380"/>
      <c r="M102" s="343"/>
      <c r="N102" s="83"/>
    </row>
    <row r="103" spans="1:14" ht="12.75" customHeight="1" x14ac:dyDescent="0.2">
      <c r="A103" s="86"/>
      <c r="K103" s="349" t="s">
        <v>106</v>
      </c>
      <c r="M103" s="381">
        <f>SUM(M88:M99)*1000</f>
        <v>264</v>
      </c>
      <c r="N103" s="384" t="s">
        <v>120</v>
      </c>
    </row>
    <row r="104" spans="1:14" ht="1.5" customHeight="1" x14ac:dyDescent="0.2">
      <c r="A104" s="86"/>
      <c r="N104" s="83"/>
    </row>
    <row r="105" spans="1:14" ht="21" x14ac:dyDescent="0.2">
      <c r="A105" s="86"/>
      <c r="E105" s="902" t="s">
        <v>93</v>
      </c>
      <c r="F105" s="902"/>
      <c r="G105" s="902"/>
      <c r="H105" s="903">
        <f>ROUND(1/((G101+I100)/2+I76+I77),2)</f>
        <v>0.15</v>
      </c>
      <c r="I105" s="904"/>
      <c r="J105" s="905" t="s">
        <v>306</v>
      </c>
      <c r="K105" s="906"/>
      <c r="N105" s="83"/>
    </row>
    <row r="106" spans="1:14" ht="13.9" customHeight="1" x14ac:dyDescent="0.2">
      <c r="A106" s="87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9"/>
    </row>
    <row r="107" spans="1:14" ht="9.6" customHeight="1" x14ac:dyDescent="0.2">
      <c r="A107" s="2"/>
    </row>
    <row r="108" spans="1:14" x14ac:dyDescent="0.2">
      <c r="A108" s="2"/>
    </row>
    <row r="109" spans="1:14" x14ac:dyDescent="0.2">
      <c r="A109" s="2"/>
    </row>
    <row r="110" spans="1:14" x14ac:dyDescent="0.2">
      <c r="A110" s="2"/>
    </row>
    <row r="111" spans="1:14" x14ac:dyDescent="0.2">
      <c r="A111" s="2"/>
    </row>
    <row r="112" spans="1:14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</sheetData>
  <mergeCells count="212">
    <mergeCell ref="J29:K29"/>
    <mergeCell ref="J30:K30"/>
    <mergeCell ref="J31:K31"/>
    <mergeCell ref="E45:G45"/>
    <mergeCell ref="B38:D38"/>
    <mergeCell ref="E38:F38"/>
    <mergeCell ref="H38:I38"/>
    <mergeCell ref="J38:K38"/>
    <mergeCell ref="B35:D35"/>
    <mergeCell ref="E35:F35"/>
    <mergeCell ref="H35:I35"/>
    <mergeCell ref="J32:K32"/>
    <mergeCell ref="B33:D33"/>
    <mergeCell ref="E33:F33"/>
    <mergeCell ref="J35:K35"/>
    <mergeCell ref="B36:D36"/>
    <mergeCell ref="E36:F36"/>
    <mergeCell ref="H36:I36"/>
    <mergeCell ref="J36:K36"/>
    <mergeCell ref="B37:D37"/>
    <mergeCell ref="H37:I37"/>
    <mergeCell ref="J37:K37"/>
    <mergeCell ref="H33:I33"/>
    <mergeCell ref="J33:K33"/>
    <mergeCell ref="B34:D34"/>
    <mergeCell ref="E34:F34"/>
    <mergeCell ref="H34:I34"/>
    <mergeCell ref="J34:K34"/>
    <mergeCell ref="R45:R46"/>
    <mergeCell ref="B41:D41"/>
    <mergeCell ref="E41:F41"/>
    <mergeCell ref="H41:I41"/>
    <mergeCell ref="J41:K41"/>
    <mergeCell ref="B39:D39"/>
    <mergeCell ref="E39:F39"/>
    <mergeCell ref="H39:I39"/>
    <mergeCell ref="J39:K39"/>
    <mergeCell ref="B40:D40"/>
    <mergeCell ref="E40:F40"/>
    <mergeCell ref="H40:I40"/>
    <mergeCell ref="J40:K40"/>
    <mergeCell ref="B56:D56"/>
    <mergeCell ref="E56:F56"/>
    <mergeCell ref="H56:I56"/>
    <mergeCell ref="J56:K56"/>
    <mergeCell ref="B57:D57"/>
    <mergeCell ref="E57:F57"/>
    <mergeCell ref="H57:I57"/>
    <mergeCell ref="J57:K57"/>
    <mergeCell ref="J52:K52"/>
    <mergeCell ref="J54:K54"/>
    <mergeCell ref="J55:K55"/>
    <mergeCell ref="R69:R70"/>
    <mergeCell ref="E69:G69"/>
    <mergeCell ref="B64:D64"/>
    <mergeCell ref="E64:F64"/>
    <mergeCell ref="H64:I64"/>
    <mergeCell ref="J64:K64"/>
    <mergeCell ref="B65:D65"/>
    <mergeCell ref="E65:F65"/>
    <mergeCell ref="H65:I65"/>
    <mergeCell ref="J65:K65"/>
    <mergeCell ref="C3:K3"/>
    <mergeCell ref="C5:H5"/>
    <mergeCell ref="J5:K5"/>
    <mergeCell ref="J6:K6"/>
    <mergeCell ref="J7:K7"/>
    <mergeCell ref="B8:D8"/>
    <mergeCell ref="E8:F8"/>
    <mergeCell ref="H8:I8"/>
    <mergeCell ref="J8:K8"/>
    <mergeCell ref="B11:D11"/>
    <mergeCell ref="E11:F11"/>
    <mergeCell ref="H11:I11"/>
    <mergeCell ref="J11:K11"/>
    <mergeCell ref="B12:D12"/>
    <mergeCell ref="E12:F12"/>
    <mergeCell ref="H12:I12"/>
    <mergeCell ref="J12:K12"/>
    <mergeCell ref="B9:D9"/>
    <mergeCell ref="E9:F9"/>
    <mergeCell ref="H9:I9"/>
    <mergeCell ref="J9:K9"/>
    <mergeCell ref="B10:D10"/>
    <mergeCell ref="E10:F10"/>
    <mergeCell ref="H10:I10"/>
    <mergeCell ref="J10:K10"/>
    <mergeCell ref="B15:D15"/>
    <mergeCell ref="E15:F15"/>
    <mergeCell ref="H15:I15"/>
    <mergeCell ref="J15:K15"/>
    <mergeCell ref="B16:D16"/>
    <mergeCell ref="E16:F16"/>
    <mergeCell ref="H16:I16"/>
    <mergeCell ref="J16:K16"/>
    <mergeCell ref="B13:D13"/>
    <mergeCell ref="E13:F13"/>
    <mergeCell ref="H13:I13"/>
    <mergeCell ref="J13:K13"/>
    <mergeCell ref="B14:D14"/>
    <mergeCell ref="E14:F14"/>
    <mergeCell ref="H14:I14"/>
    <mergeCell ref="J14:K14"/>
    <mergeCell ref="B21:D21"/>
    <mergeCell ref="E21:G21"/>
    <mergeCell ref="E22:G22"/>
    <mergeCell ref="H22:I22"/>
    <mergeCell ref="J22:K22"/>
    <mergeCell ref="R22:R23"/>
    <mergeCell ref="B17:D17"/>
    <mergeCell ref="E17:F17"/>
    <mergeCell ref="H17:I17"/>
    <mergeCell ref="J17:K17"/>
    <mergeCell ref="B18:D18"/>
    <mergeCell ref="E18:F18"/>
    <mergeCell ref="H18:I18"/>
    <mergeCell ref="J18:K18"/>
    <mergeCell ref="B90:C90"/>
    <mergeCell ref="B55:D55"/>
    <mergeCell ref="E55:F55"/>
    <mergeCell ref="H55:I55"/>
    <mergeCell ref="J69:K69"/>
    <mergeCell ref="E37:F37"/>
    <mergeCell ref="B31:D31"/>
    <mergeCell ref="E31:F31"/>
    <mergeCell ref="H31:I31"/>
    <mergeCell ref="B62:D62"/>
    <mergeCell ref="E62:F62"/>
    <mergeCell ref="H62:I62"/>
    <mergeCell ref="J62:K62"/>
    <mergeCell ref="B63:D63"/>
    <mergeCell ref="E63:F63"/>
    <mergeCell ref="H63:I63"/>
    <mergeCell ref="J63:K63"/>
    <mergeCell ref="B60:D60"/>
    <mergeCell ref="E60:F60"/>
    <mergeCell ref="H60:I60"/>
    <mergeCell ref="J60:K60"/>
    <mergeCell ref="B61:D61"/>
    <mergeCell ref="E61:F61"/>
    <mergeCell ref="H61:I61"/>
    <mergeCell ref="K72:N72"/>
    <mergeCell ref="C74:M74"/>
    <mergeCell ref="B76:G76"/>
    <mergeCell ref="I76:J76"/>
    <mergeCell ref="C26:K26"/>
    <mergeCell ref="C28:H28"/>
    <mergeCell ref="J28:K28"/>
    <mergeCell ref="H69:I69"/>
    <mergeCell ref="B68:D68"/>
    <mergeCell ref="E68:G68"/>
    <mergeCell ref="H58:I58"/>
    <mergeCell ref="J58:K58"/>
    <mergeCell ref="C49:K49"/>
    <mergeCell ref="C51:H51"/>
    <mergeCell ref="J51:K51"/>
    <mergeCell ref="J53:K53"/>
    <mergeCell ref="J45:K45"/>
    <mergeCell ref="J61:K61"/>
    <mergeCell ref="B58:D58"/>
    <mergeCell ref="E58:F58"/>
    <mergeCell ref="B59:D59"/>
    <mergeCell ref="E59:F59"/>
    <mergeCell ref="H59:I59"/>
    <mergeCell ref="J59:K59"/>
    <mergeCell ref="G83:H83"/>
    <mergeCell ref="A84:B84"/>
    <mergeCell ref="C84:D84"/>
    <mergeCell ref="I77:J77"/>
    <mergeCell ref="I78:J78"/>
    <mergeCell ref="G79:H79"/>
    <mergeCell ref="C80:F80"/>
    <mergeCell ref="G80:H80"/>
    <mergeCell ref="B81:F82"/>
    <mergeCell ref="G81:H81"/>
    <mergeCell ref="G82:H82"/>
    <mergeCell ref="A95:A96"/>
    <mergeCell ref="B95:C95"/>
    <mergeCell ref="J95:J96"/>
    <mergeCell ref="K95:K96"/>
    <mergeCell ref="M95:M96"/>
    <mergeCell ref="B96:C96"/>
    <mergeCell ref="A93:A94"/>
    <mergeCell ref="B93:C93"/>
    <mergeCell ref="J93:J94"/>
    <mergeCell ref="K93:K94"/>
    <mergeCell ref="M93:M94"/>
    <mergeCell ref="B94:C94"/>
    <mergeCell ref="B32:D32"/>
    <mergeCell ref="E32:F32"/>
    <mergeCell ref="H32:I32"/>
    <mergeCell ref="B44:D44"/>
    <mergeCell ref="E44:G44"/>
    <mergeCell ref="H45:I45"/>
    <mergeCell ref="E105:G105"/>
    <mergeCell ref="H105:I105"/>
    <mergeCell ref="J105:K105"/>
    <mergeCell ref="B89:C89"/>
    <mergeCell ref="I100:K101"/>
    <mergeCell ref="B97:C97"/>
    <mergeCell ref="B98:C98"/>
    <mergeCell ref="B99:C99"/>
    <mergeCell ref="G101:H101"/>
    <mergeCell ref="A85:F85"/>
    <mergeCell ref="G86:H86"/>
    <mergeCell ref="I86:K86"/>
    <mergeCell ref="B87:C87"/>
    <mergeCell ref="B88:C88"/>
    <mergeCell ref="B91:C91"/>
    <mergeCell ref="A83:B83"/>
    <mergeCell ref="C83:D83"/>
    <mergeCell ref="E83:F83"/>
  </mergeCells>
  <dataValidations count="2">
    <dataValidation type="list" allowBlank="1" showInputMessage="1" showErrorMessage="1" sqref="B15:D15 B38:D38 B62:D62" xr:uid="{00000000-0002-0000-0700-000000000000}">
      <formula1>$Q$3:$Q$8</formula1>
    </dataValidation>
    <dataValidation type="list" allowBlank="1" showInputMessage="1" showErrorMessage="1" sqref="H15:I15 H38:I38 H62:I62" xr:uid="{00000000-0002-0000-0700-000001000000}">
      <formula1>$R$3:$R$8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view="pageBreakPreview" zoomScaleNormal="100" zoomScaleSheetLayoutView="100" workbookViewId="0">
      <selection activeCell="K24" sqref="K24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6384" width="9.140625" style="2"/>
  </cols>
  <sheetData>
    <row r="1" spans="1:21" ht="20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1.75" customHeight="1" x14ac:dyDescent="0.2">
      <c r="A3" s="354"/>
      <c r="B3" s="571"/>
      <c r="C3" s="941" t="s">
        <v>356</v>
      </c>
      <c r="D3" s="941"/>
      <c r="E3" s="941"/>
      <c r="F3" s="941"/>
      <c r="G3" s="569"/>
      <c r="H3" s="569"/>
      <c r="I3" s="569"/>
      <c r="J3" s="569"/>
      <c r="K3" s="569"/>
      <c r="L3" s="569"/>
      <c r="M3" s="569"/>
      <c r="N3" s="569"/>
      <c r="O3" s="570"/>
      <c r="P3" s="83"/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</row>
    <row r="5" spans="1:21" ht="15" x14ac:dyDescent="0.25">
      <c r="A5" s="354"/>
      <c r="B5" s="355"/>
      <c r="C5" s="341"/>
      <c r="D5" s="942" t="s">
        <v>307</v>
      </c>
      <c r="E5" s="942"/>
      <c r="F5" s="942"/>
      <c r="G5" s="942"/>
      <c r="H5" s="942"/>
      <c r="I5" s="942"/>
      <c r="J5" s="357" t="s">
        <v>308</v>
      </c>
      <c r="K5" s="1102">
        <v>0.13</v>
      </c>
      <c r="L5" s="1097"/>
      <c r="M5" s="396"/>
      <c r="P5" s="83"/>
    </row>
    <row r="6" spans="1:21" ht="15" x14ac:dyDescent="0.25">
      <c r="A6" s="354"/>
      <c r="B6" s="355"/>
      <c r="C6" s="341"/>
      <c r="D6" s="341"/>
      <c r="E6" s="341"/>
      <c r="F6" s="341"/>
      <c r="G6" s="341"/>
      <c r="H6" s="341"/>
      <c r="I6" s="341"/>
      <c r="J6" s="357" t="s">
        <v>309</v>
      </c>
      <c r="K6" s="1104">
        <v>0.13</v>
      </c>
      <c r="L6" s="1105"/>
      <c r="P6" s="83"/>
    </row>
    <row r="7" spans="1:21" ht="0.6" hidden="1" customHeight="1" x14ac:dyDescent="0.2">
      <c r="A7" s="354"/>
      <c r="B7" s="355"/>
      <c r="C7" s="341"/>
      <c r="D7" s="341"/>
      <c r="E7" s="341"/>
      <c r="F7" s="341"/>
      <c r="G7" s="341"/>
      <c r="H7" s="341"/>
      <c r="I7" s="341"/>
      <c r="J7" s="357" t="s">
        <v>310</v>
      </c>
      <c r="K7" s="1106">
        <v>0</v>
      </c>
      <c r="L7" s="1107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</row>
    <row r="9" spans="1:21" ht="9.75" customHeight="1" x14ac:dyDescent="0.25">
      <c r="A9" s="354"/>
      <c r="B9" s="355"/>
      <c r="C9" s="341"/>
      <c r="D9" s="341"/>
      <c r="E9" s="341"/>
      <c r="F9" s="341"/>
      <c r="G9" s="892" t="s">
        <v>112</v>
      </c>
      <c r="H9" s="892"/>
      <c r="I9" s="892" t="s">
        <v>113</v>
      </c>
      <c r="J9" s="892"/>
      <c r="K9" s="341"/>
      <c r="L9" s="359"/>
      <c r="P9" s="83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882"/>
      <c r="G10" s="1108">
        <v>0.6</v>
      </c>
      <c r="H10" s="1108"/>
      <c r="I10" s="1108">
        <v>0.6</v>
      </c>
      <c r="J10" s="1108"/>
      <c r="K10" s="341"/>
      <c r="L10" s="359"/>
      <c r="P10" s="83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891"/>
      <c r="G11" s="1108">
        <f>G10-G12</f>
        <v>0.54999999999999993</v>
      </c>
      <c r="H11" s="1108"/>
      <c r="I11" s="1108">
        <f>I10-I12</f>
        <v>0.54999999999999993</v>
      </c>
      <c r="J11" s="1108"/>
      <c r="K11" s="341"/>
      <c r="L11" s="359"/>
      <c r="P11" s="83"/>
    </row>
    <row r="12" spans="1:21" ht="15" x14ac:dyDescent="0.25">
      <c r="A12" s="354"/>
      <c r="B12" s="355"/>
      <c r="C12" s="891"/>
      <c r="D12" s="891"/>
      <c r="E12" s="891"/>
      <c r="F12" s="891"/>
      <c r="G12" s="1108">
        <v>0.05</v>
      </c>
      <c r="H12" s="1108"/>
      <c r="I12" s="1108">
        <v>0.05</v>
      </c>
      <c r="J12" s="1108"/>
      <c r="K12" s="341"/>
      <c r="L12" s="359"/>
      <c r="P12" s="83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</row>
    <row r="14" spans="1:21" ht="14.25" customHeight="1" x14ac:dyDescent="0.2">
      <c r="A14" s="890"/>
      <c r="B14" s="891"/>
      <c r="C14" s="883"/>
      <c r="D14" s="883"/>
      <c r="E14" s="361"/>
      <c r="F14" s="361"/>
      <c r="G14" s="467" t="s">
        <v>0</v>
      </c>
      <c r="H14" s="467" t="s">
        <v>1</v>
      </c>
      <c r="I14" s="467" t="s">
        <v>2</v>
      </c>
      <c r="J14" s="467" t="s">
        <v>3</v>
      </c>
      <c r="K14" s="466"/>
      <c r="L14" s="364"/>
      <c r="M14" s="364"/>
      <c r="P14" s="83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888"/>
      <c r="G15" s="468">
        <f>(G11*I11)/(G10*I10)</f>
        <v>0.84027777777777768</v>
      </c>
      <c r="H15" s="468">
        <f>(G11*I12)/(G10*I10)</f>
        <v>7.6388888888888881E-2</v>
      </c>
      <c r="I15" s="468">
        <f>(G12*I11)/(G10*I10)</f>
        <v>7.6388888888888881E-2</v>
      </c>
      <c r="J15" s="468">
        <f>(G12*I12)/(G10*I10)</f>
        <v>6.9444444444444458E-3</v>
      </c>
      <c r="K15" s="457"/>
      <c r="L15" s="364"/>
      <c r="M15" s="364"/>
      <c r="P15" s="83"/>
    </row>
    <row r="16" spans="1:21" ht="14.25" customHeight="1" x14ac:dyDescent="0.2">
      <c r="A16" s="367"/>
      <c r="B16" s="368"/>
      <c r="C16" s="368"/>
      <c r="D16" s="368"/>
      <c r="E16" s="368"/>
      <c r="F16" s="368"/>
      <c r="G16" s="938" t="s">
        <v>313</v>
      </c>
      <c r="H16" s="938"/>
      <c r="I16" s="938"/>
      <c r="J16" s="938"/>
      <c r="K16" s="938" t="s">
        <v>314</v>
      </c>
      <c r="L16" s="938"/>
      <c r="M16" s="938"/>
      <c r="P16" s="83"/>
      <c r="U16" s="2">
        <v>0</v>
      </c>
    </row>
    <row r="17" spans="1:17" ht="27" customHeight="1" x14ac:dyDescent="0.2">
      <c r="A17" s="369"/>
      <c r="B17" s="907" t="s">
        <v>6</v>
      </c>
      <c r="C17" s="907"/>
      <c r="D17" s="470" t="s">
        <v>315</v>
      </c>
      <c r="E17" s="470" t="s">
        <v>303</v>
      </c>
      <c r="F17" s="470" t="s">
        <v>316</v>
      </c>
      <c r="G17" s="470" t="s">
        <v>317</v>
      </c>
      <c r="H17" s="470" t="s">
        <v>318</v>
      </c>
      <c r="I17" s="470" t="s">
        <v>319</v>
      </c>
      <c r="J17" s="470" t="s">
        <v>320</v>
      </c>
      <c r="K17" s="568" t="s">
        <v>4</v>
      </c>
      <c r="L17" s="470" t="s">
        <v>119</v>
      </c>
      <c r="M17" s="470" t="s">
        <v>321</v>
      </c>
      <c r="O17" s="458" t="s">
        <v>322</v>
      </c>
      <c r="P17" s="83"/>
    </row>
    <row r="18" spans="1:17" x14ac:dyDescent="0.2">
      <c r="A18" s="887"/>
      <c r="B18" s="1092" t="s">
        <v>620</v>
      </c>
      <c r="C18" s="1092"/>
      <c r="D18" s="473">
        <v>0.13</v>
      </c>
      <c r="E18" s="473">
        <v>0</v>
      </c>
      <c r="F18" s="474">
        <f>D18+E18</f>
        <v>0.13</v>
      </c>
      <c r="G18" s="459">
        <f>$O$18/$F$18</f>
        <v>0</v>
      </c>
      <c r="H18" s="459">
        <f>$O$18/$F$18</f>
        <v>0</v>
      </c>
      <c r="I18" s="459">
        <f>$O$18/$F$18</f>
        <v>0</v>
      </c>
      <c r="J18" s="459">
        <f>$O$18/$F$18</f>
        <v>0</v>
      </c>
      <c r="K18" s="456"/>
      <c r="L18" s="459">
        <f>F18</f>
        <v>0.13</v>
      </c>
      <c r="M18" s="459">
        <f>O18/L18</f>
        <v>0</v>
      </c>
      <c r="O18" s="473">
        <v>0</v>
      </c>
      <c r="P18" s="83"/>
    </row>
    <row r="19" spans="1:17" x14ac:dyDescent="0.2">
      <c r="A19" s="887"/>
      <c r="B19" s="1092" t="s">
        <v>386</v>
      </c>
      <c r="C19" s="1092"/>
      <c r="D19" s="473">
        <v>3.7999999999999999E-2</v>
      </c>
      <c r="E19" s="473">
        <v>0</v>
      </c>
      <c r="F19" s="474">
        <f>D19+E19</f>
        <v>3.7999999999999999E-2</v>
      </c>
      <c r="G19" s="459">
        <f>$O$19/$F$19</f>
        <v>0</v>
      </c>
      <c r="H19" s="459">
        <f>$O$19/$F$19</f>
        <v>0</v>
      </c>
      <c r="I19" s="459">
        <f>$O$19/$F$19</f>
        <v>0</v>
      </c>
      <c r="J19" s="459">
        <f>$O$19/$F$19</f>
        <v>0</v>
      </c>
      <c r="K19" s="456"/>
      <c r="L19" s="459">
        <f>D19</f>
        <v>3.7999999999999999E-2</v>
      </c>
      <c r="M19" s="459">
        <f>O19/L19</f>
        <v>0</v>
      </c>
      <c r="O19" s="473">
        <v>0</v>
      </c>
      <c r="P19" s="83"/>
    </row>
    <row r="20" spans="1:17" x14ac:dyDescent="0.2">
      <c r="A20" s="887"/>
      <c r="B20" s="1092" t="s">
        <v>123</v>
      </c>
      <c r="C20" s="1092"/>
      <c r="D20" s="475">
        <v>0.13</v>
      </c>
      <c r="E20" s="473">
        <v>0</v>
      </c>
      <c r="F20" s="474">
        <f>D20+E20</f>
        <v>0.13</v>
      </c>
      <c r="G20" s="459"/>
      <c r="H20" s="459"/>
      <c r="I20" s="459">
        <f>O20/F20</f>
        <v>1.1538461538461537</v>
      </c>
      <c r="J20" s="459">
        <f>O20/F20</f>
        <v>1.1538461538461537</v>
      </c>
      <c r="K20" s="459">
        <f>(I12*I10*2)/(I10*I10*2)</f>
        <v>8.3333333333333329E-2</v>
      </c>
      <c r="L20" s="879">
        <f>ROUND((K20*F20)+(K21*F21),3)</f>
        <v>4.4999999999999998E-2</v>
      </c>
      <c r="M20" s="879">
        <f>O20/L20</f>
        <v>3.3333333333333335</v>
      </c>
      <c r="O20" s="1108">
        <v>0.15</v>
      </c>
      <c r="P20" s="83"/>
    </row>
    <row r="21" spans="1:17" x14ac:dyDescent="0.2">
      <c r="A21" s="887"/>
      <c r="B21" s="1092" t="s">
        <v>386</v>
      </c>
      <c r="C21" s="1092"/>
      <c r="D21" s="473">
        <v>3.5999999999999997E-2</v>
      </c>
      <c r="E21" s="473">
        <v>1E-3</v>
      </c>
      <c r="F21" s="474">
        <f>D21+E21</f>
        <v>3.6999999999999998E-2</v>
      </c>
      <c r="G21" s="459">
        <f>O20/F21</f>
        <v>4.0540540540540544</v>
      </c>
      <c r="H21" s="459">
        <f>O20/F21</f>
        <v>4.0540540540540544</v>
      </c>
      <c r="I21" s="459"/>
      <c r="J21" s="459"/>
      <c r="K21" s="459">
        <f>(I11*I10*2)/(I10*I10*2)</f>
        <v>0.91666666666666663</v>
      </c>
      <c r="L21" s="879"/>
      <c r="M21" s="879"/>
      <c r="O21" s="1108"/>
      <c r="P21" s="83"/>
    </row>
    <row r="22" spans="1:17" x14ac:dyDescent="0.2">
      <c r="A22" s="887"/>
      <c r="B22" s="1092" t="s">
        <v>7</v>
      </c>
      <c r="C22" s="1092"/>
      <c r="D22" s="475">
        <v>0.13</v>
      </c>
      <c r="E22" s="473">
        <v>0</v>
      </c>
      <c r="F22" s="474">
        <f>D22+E22</f>
        <v>0.13</v>
      </c>
      <c r="G22" s="459"/>
      <c r="H22" s="459"/>
      <c r="I22" s="459">
        <f>O22/F22</f>
        <v>0</v>
      </c>
      <c r="J22" s="459">
        <f>O22/F22</f>
        <v>0</v>
      </c>
      <c r="K22" s="459">
        <f>(I12*G10*2)/(I10*G10*2)</f>
        <v>8.3333333333333329E-2</v>
      </c>
      <c r="L22" s="879">
        <f>ROUND((K22*F22)+(K23*F23),3)</f>
        <v>4.4999999999999998E-2</v>
      </c>
      <c r="M22" s="879">
        <f>ROUND(O22/L22,3)</f>
        <v>0</v>
      </c>
      <c r="O22" s="1108">
        <v>0</v>
      </c>
      <c r="P22" s="83"/>
    </row>
    <row r="23" spans="1:17" x14ac:dyDescent="0.2">
      <c r="A23" s="887"/>
      <c r="B23" s="1092" t="str">
        <f>B21</f>
        <v>siltumizolācija</v>
      </c>
      <c r="C23" s="1092"/>
      <c r="D23" s="473">
        <v>3.5999999999999997E-2</v>
      </c>
      <c r="E23" s="473">
        <v>1E-3</v>
      </c>
      <c r="F23" s="474">
        <f>F21</f>
        <v>3.6999999999999998E-2</v>
      </c>
      <c r="G23" s="459">
        <f>O22/F23</f>
        <v>0</v>
      </c>
      <c r="H23" s="459">
        <f>O22/F23</f>
        <v>0</v>
      </c>
      <c r="I23" s="459"/>
      <c r="J23" s="459"/>
      <c r="K23" s="459">
        <f>(I11*G10*2)/(I10*G10*2)</f>
        <v>0.91666666666666663</v>
      </c>
      <c r="L23" s="879"/>
      <c r="M23" s="879"/>
      <c r="O23" s="1108"/>
      <c r="P23" s="83"/>
    </row>
    <row r="24" spans="1:17" x14ac:dyDescent="0.2">
      <c r="A24" s="887"/>
      <c r="B24" s="1092" t="s">
        <v>7</v>
      </c>
      <c r="C24" s="1092"/>
      <c r="D24" s="473">
        <v>0.13</v>
      </c>
      <c r="E24" s="473">
        <v>0</v>
      </c>
      <c r="F24" s="474">
        <f>D24+E24</f>
        <v>0.13</v>
      </c>
      <c r="G24" s="459"/>
      <c r="H24" s="459">
        <f>O24/F24</f>
        <v>0.38461538461538464</v>
      </c>
      <c r="I24" s="459"/>
      <c r="J24" s="459">
        <f>$O$24/$F$24</f>
        <v>0.38461538461538464</v>
      </c>
      <c r="K24" s="459">
        <f>(G12*G10*2)/(G10*G10*2)</f>
        <v>8.3333333333333329E-2</v>
      </c>
      <c r="L24" s="879">
        <f>ROUND((K24*F24)+(K25*F25),3)</f>
        <v>4.4999999999999998E-2</v>
      </c>
      <c r="M24" s="879">
        <f>ROUND(O24/L24,3)</f>
        <v>1.111</v>
      </c>
      <c r="O24" s="1108">
        <v>0.05</v>
      </c>
      <c r="P24" s="83"/>
    </row>
    <row r="25" spans="1:17" x14ac:dyDescent="0.2">
      <c r="A25" s="887"/>
      <c r="B25" s="1092" t="s">
        <v>386</v>
      </c>
      <c r="C25" s="1092"/>
      <c r="D25" s="473">
        <v>3.5999999999999997E-2</v>
      </c>
      <c r="E25" s="473">
        <v>1E-3</v>
      </c>
      <c r="F25" s="474">
        <f>D25+E25</f>
        <v>3.6999999999999998E-2</v>
      </c>
      <c r="G25" s="459">
        <f>O24/F25</f>
        <v>1.3513513513513515</v>
      </c>
      <c r="H25" s="459"/>
      <c r="I25" s="459">
        <f>O24/F25</f>
        <v>1.3513513513513515</v>
      </c>
      <c r="J25" s="459"/>
      <c r="K25" s="459">
        <f>(G11*G10*2)/(G10*G10*2)</f>
        <v>0.91666666666666663</v>
      </c>
      <c r="L25" s="879"/>
      <c r="M25" s="879"/>
      <c r="O25" s="1108"/>
      <c r="P25" s="83"/>
    </row>
    <row r="26" spans="1:17" x14ac:dyDescent="0.2">
      <c r="A26" s="887"/>
      <c r="B26" s="1092" t="s">
        <v>466</v>
      </c>
      <c r="C26" s="1092"/>
      <c r="D26" s="473">
        <v>0.2</v>
      </c>
      <c r="E26" s="473">
        <v>0</v>
      </c>
      <c r="F26" s="474">
        <f t="shared" ref="F26:F31" si="0">D26+E26</f>
        <v>0.2</v>
      </c>
      <c r="G26" s="459">
        <f>O26/F26</f>
        <v>0</v>
      </c>
      <c r="H26" s="459">
        <f>O26/F26</f>
        <v>0</v>
      </c>
      <c r="I26" s="459">
        <f>O26/F26</f>
        <v>0</v>
      </c>
      <c r="J26" s="459">
        <f>O26/F26</f>
        <v>0</v>
      </c>
      <c r="K26" s="459"/>
      <c r="L26" s="879">
        <f>F26</f>
        <v>0.2</v>
      </c>
      <c r="M26" s="879">
        <f>ROUND((O26/L26),3)</f>
        <v>0</v>
      </c>
      <c r="O26" s="473">
        <v>0</v>
      </c>
      <c r="P26" s="83"/>
    </row>
    <row r="27" spans="1:17" x14ac:dyDescent="0.2">
      <c r="A27" s="887"/>
      <c r="B27" s="1092" t="s">
        <v>611</v>
      </c>
      <c r="C27" s="1092"/>
      <c r="D27" s="473">
        <v>5.2999999999999999E-2</v>
      </c>
      <c r="E27" s="473">
        <v>0</v>
      </c>
      <c r="F27" s="474">
        <f t="shared" si="0"/>
        <v>5.2999999999999999E-2</v>
      </c>
      <c r="G27" s="459">
        <f>$O$27/$F$27</f>
        <v>0</v>
      </c>
      <c r="H27" s="459">
        <f>$O$27/$F$27</f>
        <v>0</v>
      </c>
      <c r="I27" s="459">
        <f>$O$27/$F$27</f>
        <v>0</v>
      </c>
      <c r="J27" s="459">
        <f>$O$27/$F$27</f>
        <v>0</v>
      </c>
      <c r="K27" s="456"/>
      <c r="L27" s="879"/>
      <c r="M27" s="879"/>
      <c r="O27" s="473">
        <v>0</v>
      </c>
      <c r="P27" s="83"/>
    </row>
    <row r="28" spans="1:17" x14ac:dyDescent="0.2">
      <c r="A28" s="887"/>
      <c r="B28" s="1092" t="s">
        <v>499</v>
      </c>
      <c r="C28" s="1092"/>
      <c r="D28" s="473">
        <v>0.16</v>
      </c>
      <c r="E28" s="473">
        <v>0</v>
      </c>
      <c r="F28" s="474">
        <f t="shared" si="0"/>
        <v>0.16</v>
      </c>
      <c r="G28" s="459">
        <f>$O$28/$F$28</f>
        <v>0</v>
      </c>
      <c r="H28" s="459">
        <f>$O$28/$F$28</f>
        <v>0</v>
      </c>
      <c r="I28" s="459">
        <f>$O$28/$F$28</f>
        <v>0</v>
      </c>
      <c r="J28" s="459">
        <f>$O$28/$F$28</f>
        <v>0</v>
      </c>
      <c r="K28" s="456"/>
      <c r="L28" s="459">
        <f>F28</f>
        <v>0.16</v>
      </c>
      <c r="M28" s="879">
        <f>ROUND(O28/L28,3)</f>
        <v>0</v>
      </c>
      <c r="O28" s="473">
        <v>0</v>
      </c>
      <c r="P28" s="83"/>
      <c r="Q28" s="443"/>
    </row>
    <row r="29" spans="1:17" x14ac:dyDescent="0.2">
      <c r="A29" s="887"/>
      <c r="B29" s="1092" t="s">
        <v>619</v>
      </c>
      <c r="C29" s="1092"/>
      <c r="D29" s="472">
        <v>0.26</v>
      </c>
      <c r="E29" s="473">
        <v>0</v>
      </c>
      <c r="F29" s="474">
        <f t="shared" si="0"/>
        <v>0.26</v>
      </c>
      <c r="G29" s="459">
        <f>$O$29/$F$29</f>
        <v>0</v>
      </c>
      <c r="H29" s="459">
        <f>$O$29/$F$29</f>
        <v>0</v>
      </c>
      <c r="I29" s="459">
        <f>$O$29/$F$29</f>
        <v>0</v>
      </c>
      <c r="J29" s="459">
        <f>$O$29/$F$29</f>
        <v>0</v>
      </c>
      <c r="K29" s="456"/>
      <c r="L29" s="459">
        <v>1</v>
      </c>
      <c r="M29" s="879"/>
      <c r="O29" s="473"/>
      <c r="P29" s="83"/>
    </row>
    <row r="30" spans="1:17" x14ac:dyDescent="0.2">
      <c r="A30" s="887"/>
      <c r="B30" s="1092" t="s">
        <v>402</v>
      </c>
      <c r="C30" s="1092"/>
      <c r="D30" s="472">
        <v>0.26</v>
      </c>
      <c r="E30" s="473">
        <v>0</v>
      </c>
      <c r="F30" s="474">
        <f t="shared" si="0"/>
        <v>0.26</v>
      </c>
      <c r="G30" s="459">
        <f>$O$30/$F$30</f>
        <v>9.6153846153846159E-2</v>
      </c>
      <c r="H30" s="459">
        <f>$O$30/$F$30</f>
        <v>9.6153846153846159E-2</v>
      </c>
      <c r="I30" s="459">
        <f>$O$30/$F$30</f>
        <v>9.6153846153846159E-2</v>
      </c>
      <c r="J30" s="459">
        <f>$O$30/$F$30</f>
        <v>9.6153846153846159E-2</v>
      </c>
      <c r="K30" s="456"/>
      <c r="L30" s="459">
        <v>1</v>
      </c>
      <c r="M30" s="879">
        <f>O30/L30</f>
        <v>2.5000000000000001E-2</v>
      </c>
      <c r="O30" s="473">
        <v>2.5000000000000001E-2</v>
      </c>
      <c r="P30" s="83"/>
    </row>
    <row r="31" spans="1:17" x14ac:dyDescent="0.2">
      <c r="A31" s="887"/>
      <c r="B31" s="1092"/>
      <c r="C31" s="1092"/>
      <c r="D31" s="472">
        <v>1</v>
      </c>
      <c r="E31" s="473">
        <v>0</v>
      </c>
      <c r="F31" s="474">
        <f t="shared" si="0"/>
        <v>1</v>
      </c>
      <c r="G31" s="459">
        <f>$O$31/$F$31</f>
        <v>0</v>
      </c>
      <c r="H31" s="459">
        <f>$O$31/$F$31</f>
        <v>0</v>
      </c>
      <c r="I31" s="459">
        <f>$O$31/$F$31</f>
        <v>0</v>
      </c>
      <c r="J31" s="459">
        <f>$O$31/$F$31</f>
        <v>0</v>
      </c>
      <c r="K31" s="456"/>
      <c r="L31" s="459">
        <v>1</v>
      </c>
      <c r="M31" s="879"/>
      <c r="O31" s="472"/>
      <c r="P31" s="83"/>
    </row>
    <row r="32" spans="1:17" x14ac:dyDescent="0.2">
      <c r="A32" s="86"/>
      <c r="F32" s="349"/>
      <c r="G32" s="459">
        <f>SUM(G18:G31)+$K$5+$K$6+$K$7</f>
        <v>5.7615592515592517</v>
      </c>
      <c r="H32" s="459">
        <f>SUM(H18:H31)+$K$5+$K$6+$K$7</f>
        <v>4.794823284823285</v>
      </c>
      <c r="I32" s="459">
        <f>SUM(I18:I31)+$K$5+$K$6+$K$7</f>
        <v>2.8613513513513511</v>
      </c>
      <c r="J32" s="459">
        <f>SUM(J18:J31)+$K$5+$K$6+$K$7</f>
        <v>1.8946153846153844</v>
      </c>
      <c r="K32" s="935"/>
      <c r="L32" s="935"/>
      <c r="M32" s="935"/>
      <c r="P32" s="83"/>
    </row>
    <row r="33" spans="1:16" x14ac:dyDescent="0.2">
      <c r="A33" s="86"/>
      <c r="C33" s="343"/>
      <c r="D33" s="377"/>
      <c r="E33" s="377"/>
      <c r="F33" s="377"/>
      <c r="G33" s="879">
        <f>ROUND(1/((G15/G32)+(H15/H32)+(I15/I32)+(J15/J32)),3)</f>
        <v>5.2050000000000001</v>
      </c>
      <c r="H33" s="879"/>
      <c r="I33" s="879"/>
      <c r="J33" s="879"/>
      <c r="K33" s="936">
        <f>SUM(M18:M31)+K5+K6+K7</f>
        <v>4.7293333333333338</v>
      </c>
      <c r="L33" s="936"/>
      <c r="M33" s="936"/>
      <c r="P33" s="83"/>
    </row>
    <row r="34" spans="1:16" ht="12.75" customHeight="1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</row>
    <row r="35" spans="1:16" ht="15.75" x14ac:dyDescent="0.2">
      <c r="A35" s="86"/>
      <c r="O35" s="381">
        <f>SUM(O18:O31)*1000</f>
        <v>225</v>
      </c>
      <c r="P35" s="382" t="s">
        <v>120</v>
      </c>
    </row>
    <row r="36" spans="1:16" ht="6.75" customHeight="1" x14ac:dyDescent="0.2">
      <c r="A36" s="86"/>
      <c r="P36" s="83"/>
    </row>
    <row r="37" spans="1:16" ht="21" x14ac:dyDescent="0.2">
      <c r="A37" s="86"/>
      <c r="F37" s="902" t="s">
        <v>93</v>
      </c>
      <c r="G37" s="902"/>
      <c r="H37" s="902"/>
      <c r="I37" s="903">
        <f>ROUNDDOWN(1/((G33+K33)/2),2)</f>
        <v>0.2</v>
      </c>
      <c r="J37" s="904"/>
      <c r="K37" s="905" t="s">
        <v>306</v>
      </c>
      <c r="L37" s="906"/>
      <c r="P37" s="83"/>
    </row>
    <row r="38" spans="1:16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</row>
  </sheetData>
  <mergeCells count="66">
    <mergeCell ref="F37:H37"/>
    <mergeCell ref="I37:J37"/>
    <mergeCell ref="K37:L37"/>
    <mergeCell ref="A30:A31"/>
    <mergeCell ref="B30:C30"/>
    <mergeCell ref="M30:M31"/>
    <mergeCell ref="B31:C31"/>
    <mergeCell ref="K32:M32"/>
    <mergeCell ref="G33:J33"/>
    <mergeCell ref="K33:M33"/>
    <mergeCell ref="A28:A29"/>
    <mergeCell ref="B28:C28"/>
    <mergeCell ref="M28:M29"/>
    <mergeCell ref="B29:C29"/>
    <mergeCell ref="A24:A25"/>
    <mergeCell ref="B24:C24"/>
    <mergeCell ref="L24:L25"/>
    <mergeCell ref="M24:M25"/>
    <mergeCell ref="A26:A27"/>
    <mergeCell ref="B26:C26"/>
    <mergeCell ref="L26:L27"/>
    <mergeCell ref="M26:M27"/>
    <mergeCell ref="B27:C27"/>
    <mergeCell ref="O24:O25"/>
    <mergeCell ref="B25:C25"/>
    <mergeCell ref="A22:A23"/>
    <mergeCell ref="B22:C22"/>
    <mergeCell ref="L22:L23"/>
    <mergeCell ref="M22:M23"/>
    <mergeCell ref="O22:O23"/>
    <mergeCell ref="B23:C23"/>
    <mergeCell ref="A20:A21"/>
    <mergeCell ref="B20:C20"/>
    <mergeCell ref="L20:L21"/>
    <mergeCell ref="M20:M21"/>
    <mergeCell ref="O20:O21"/>
    <mergeCell ref="B21:C21"/>
    <mergeCell ref="A15:F15"/>
    <mergeCell ref="G16:J16"/>
    <mergeCell ref="K16:M16"/>
    <mergeCell ref="B17:C17"/>
    <mergeCell ref="A18:A19"/>
    <mergeCell ref="B18:C18"/>
    <mergeCell ref="B19:C19"/>
    <mergeCell ref="A13:B13"/>
    <mergeCell ref="C13:D13"/>
    <mergeCell ref="E13:F13"/>
    <mergeCell ref="G13:J13"/>
    <mergeCell ref="A14:B14"/>
    <mergeCell ref="C14:D14"/>
    <mergeCell ref="G9:H9"/>
    <mergeCell ref="I9:J9"/>
    <mergeCell ref="C10:F10"/>
    <mergeCell ref="G10:H10"/>
    <mergeCell ref="I10:J10"/>
    <mergeCell ref="C11:F12"/>
    <mergeCell ref="G11:H11"/>
    <mergeCell ref="I11:J11"/>
    <mergeCell ref="G12:H12"/>
    <mergeCell ref="I12:J12"/>
    <mergeCell ref="K7:L7"/>
    <mergeCell ref="M1:P1"/>
    <mergeCell ref="C3:F3"/>
    <mergeCell ref="D5:I5"/>
    <mergeCell ref="K5:L5"/>
    <mergeCell ref="K6:L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8"/>
  <sheetViews>
    <sheetView workbookViewId="0">
      <selection activeCell="K13" sqref="K13"/>
    </sheetView>
  </sheetViews>
  <sheetFormatPr defaultRowHeight="15" x14ac:dyDescent="0.25"/>
  <sheetData>
    <row r="1" spans="1:24" x14ac:dyDescent="0.25">
      <c r="A1" t="s">
        <v>649</v>
      </c>
    </row>
    <row r="2" spans="1:24" x14ac:dyDescent="0.25">
      <c r="A2" t="s">
        <v>650</v>
      </c>
    </row>
    <row r="3" spans="1:24" x14ac:dyDescent="0.25">
      <c r="A3" t="s">
        <v>651</v>
      </c>
      <c r="R3">
        <f>R7*24</f>
        <v>24.72</v>
      </c>
    </row>
    <row r="4" spans="1:24" x14ac:dyDescent="0.25">
      <c r="A4" t="s">
        <v>652</v>
      </c>
    </row>
    <row r="5" spans="1:24" x14ac:dyDescent="0.25">
      <c r="A5" t="s">
        <v>653</v>
      </c>
    </row>
    <row r="6" spans="1:24" ht="15.75" thickBot="1" x14ac:dyDescent="0.3">
      <c r="A6" t="s">
        <v>654</v>
      </c>
      <c r="K6">
        <v>1.31</v>
      </c>
      <c r="L6">
        <v>7.0000000000000007E-2</v>
      </c>
      <c r="M6">
        <v>1.76</v>
      </c>
      <c r="N6">
        <v>1.55</v>
      </c>
      <c r="O6">
        <v>2.44</v>
      </c>
      <c r="P6">
        <v>0.99</v>
      </c>
      <c r="Q6">
        <v>1.99</v>
      </c>
      <c r="R6">
        <v>2.2999999999999998</v>
      </c>
      <c r="S6">
        <v>1.06</v>
      </c>
      <c r="T6">
        <v>2.75</v>
      </c>
      <c r="U6">
        <v>2.54</v>
      </c>
      <c r="V6">
        <v>4.43</v>
      </c>
    </row>
    <row r="7" spans="1:24" ht="18" thickTop="1" thickBot="1" x14ac:dyDescent="0.3">
      <c r="A7" t="s">
        <v>655</v>
      </c>
      <c r="K7" t="s">
        <v>681</v>
      </c>
      <c r="L7" t="s">
        <v>682</v>
      </c>
      <c r="M7">
        <v>1.1499999999999999</v>
      </c>
      <c r="N7">
        <v>0.06</v>
      </c>
      <c r="O7">
        <v>1.46</v>
      </c>
      <c r="P7">
        <v>1.3</v>
      </c>
      <c r="Q7">
        <v>2.06</v>
      </c>
      <c r="R7" s="620">
        <v>1.03</v>
      </c>
      <c r="S7" s="621">
        <v>2.06</v>
      </c>
      <c r="T7" s="621">
        <v>2.19</v>
      </c>
      <c r="U7" s="621">
        <v>1.1000000000000001</v>
      </c>
      <c r="V7" s="622">
        <v>2.4900000000000002</v>
      </c>
      <c r="W7">
        <v>2.33</v>
      </c>
      <c r="X7">
        <v>4.12</v>
      </c>
    </row>
    <row r="8" spans="1:24" ht="17.25" thickBot="1" x14ac:dyDescent="0.3">
      <c r="A8" t="s">
        <v>656</v>
      </c>
      <c r="K8" t="s">
        <v>651</v>
      </c>
      <c r="R8" s="623">
        <v>2.19</v>
      </c>
      <c r="S8" s="624">
        <v>1.1000000000000001</v>
      </c>
      <c r="T8" s="624">
        <v>2.4900000000000002</v>
      </c>
      <c r="U8" s="624">
        <v>2.33</v>
      </c>
      <c r="V8" s="625">
        <v>4.12</v>
      </c>
    </row>
    <row r="9" spans="1:24" ht="17.25" thickBot="1" x14ac:dyDescent="0.3">
      <c r="A9" t="s">
        <v>657</v>
      </c>
      <c r="K9" t="s">
        <v>652</v>
      </c>
      <c r="R9" s="623">
        <v>2.3199999999999998</v>
      </c>
      <c r="S9" s="624">
        <v>1.1000000000000001</v>
      </c>
      <c r="T9" s="624">
        <v>2.66</v>
      </c>
      <c r="U9" s="624">
        <v>2.39</v>
      </c>
      <c r="V9" s="625">
        <v>4.38</v>
      </c>
    </row>
    <row r="10" spans="1:24" ht="17.25" thickBot="1" x14ac:dyDescent="0.3">
      <c r="A10" t="s">
        <v>658</v>
      </c>
      <c r="K10" t="s">
        <v>653</v>
      </c>
      <c r="R10" s="623">
        <v>2.2200000000000002</v>
      </c>
      <c r="S10" s="624">
        <v>1.1000000000000001</v>
      </c>
      <c r="T10" s="624">
        <v>2.62</v>
      </c>
      <c r="U10" s="624">
        <v>2.38</v>
      </c>
      <c r="V10" s="625">
        <v>4.34</v>
      </c>
    </row>
    <row r="11" spans="1:24" ht="17.25" thickBot="1" x14ac:dyDescent="0.3">
      <c r="A11" t="s">
        <v>659</v>
      </c>
      <c r="K11" t="s">
        <v>654</v>
      </c>
      <c r="R11" s="623">
        <v>2.38</v>
      </c>
      <c r="S11" s="624">
        <v>1.1100000000000001</v>
      </c>
      <c r="T11" s="624">
        <v>2.69</v>
      </c>
      <c r="U11" s="624">
        <v>2.4</v>
      </c>
      <c r="V11" s="625">
        <v>4.41</v>
      </c>
    </row>
    <row r="12" spans="1:24" ht="17.25" thickBot="1" x14ac:dyDescent="0.3">
      <c r="A12" t="s">
        <v>660</v>
      </c>
      <c r="K12" t="s">
        <v>655</v>
      </c>
      <c r="R12" s="623">
        <v>2.25</v>
      </c>
      <c r="S12" s="624">
        <v>1.1000000000000001</v>
      </c>
      <c r="T12" s="624">
        <v>2.5499999999999998</v>
      </c>
      <c r="U12" s="624">
        <v>2.34</v>
      </c>
      <c r="V12" s="625">
        <v>4.21</v>
      </c>
    </row>
    <row r="13" spans="1:24" ht="17.25" thickBot="1" x14ac:dyDescent="0.3">
      <c r="A13" t="s">
        <v>661</v>
      </c>
      <c r="K13" t="s">
        <v>656</v>
      </c>
      <c r="R13" s="623">
        <v>2.33</v>
      </c>
      <c r="S13" s="624">
        <v>1.1100000000000001</v>
      </c>
      <c r="T13" s="624">
        <v>2.65</v>
      </c>
      <c r="U13" s="624">
        <v>2.39</v>
      </c>
      <c r="V13" s="625">
        <v>4.37</v>
      </c>
    </row>
    <row r="14" spans="1:24" ht="17.25" thickBot="1" x14ac:dyDescent="0.3">
      <c r="A14" t="s">
        <v>662</v>
      </c>
      <c r="K14" t="s">
        <v>671</v>
      </c>
      <c r="R14" s="623">
        <v>2.33</v>
      </c>
      <c r="S14" s="624">
        <v>1.08</v>
      </c>
      <c r="T14" s="624">
        <v>2.66</v>
      </c>
      <c r="U14" s="624">
        <v>2.48</v>
      </c>
      <c r="V14" s="625">
        <v>4.34</v>
      </c>
    </row>
    <row r="15" spans="1:24" ht="17.25" thickBot="1" x14ac:dyDescent="0.3">
      <c r="A15" t="s">
        <v>663</v>
      </c>
      <c r="K15" t="s">
        <v>672</v>
      </c>
      <c r="R15" s="623">
        <v>2.35</v>
      </c>
      <c r="S15" s="624">
        <v>1.1000000000000001</v>
      </c>
      <c r="T15" s="624">
        <v>2.76</v>
      </c>
      <c r="U15" s="624">
        <v>2.4700000000000002</v>
      </c>
      <c r="V15" s="625">
        <v>4.5</v>
      </c>
    </row>
    <row r="16" spans="1:24" ht="17.25" thickBot="1" x14ac:dyDescent="0.3">
      <c r="A16" t="s">
        <v>664</v>
      </c>
      <c r="K16" t="s">
        <v>673</v>
      </c>
      <c r="R16" s="623">
        <v>2.29</v>
      </c>
      <c r="S16" s="624">
        <v>1.06</v>
      </c>
      <c r="T16" s="624">
        <v>2.6</v>
      </c>
      <c r="U16" s="624">
        <v>2.39</v>
      </c>
      <c r="V16" s="625">
        <v>4.25</v>
      </c>
    </row>
    <row r="17" spans="1:22" ht="17.25" thickBot="1" x14ac:dyDescent="0.3">
      <c r="A17" t="s">
        <v>665</v>
      </c>
      <c r="K17" t="s">
        <v>674</v>
      </c>
      <c r="R17" s="623">
        <v>2.3199999999999998</v>
      </c>
      <c r="S17" s="624">
        <v>1.1200000000000001</v>
      </c>
      <c r="T17" s="624">
        <v>2.65</v>
      </c>
      <c r="U17" s="624">
        <v>2.42</v>
      </c>
      <c r="V17" s="625">
        <v>4.37</v>
      </c>
    </row>
    <row r="18" spans="1:22" ht="17.25" thickBot="1" x14ac:dyDescent="0.3">
      <c r="A18" t="s">
        <v>666</v>
      </c>
      <c r="K18" t="s">
        <v>675</v>
      </c>
      <c r="R18" s="623">
        <v>2.25</v>
      </c>
      <c r="S18" s="624">
        <v>1.1000000000000001</v>
      </c>
      <c r="T18" s="624">
        <v>2.5099999999999998</v>
      </c>
      <c r="U18" s="624">
        <v>2.34</v>
      </c>
      <c r="V18" s="625">
        <v>4.17</v>
      </c>
    </row>
    <row r="19" spans="1:22" ht="17.25" thickBot="1" x14ac:dyDescent="0.3">
      <c r="A19" t="s">
        <v>667</v>
      </c>
      <c r="K19" t="s">
        <v>676</v>
      </c>
      <c r="R19" s="623">
        <v>2.19</v>
      </c>
      <c r="S19" s="624">
        <v>1.1000000000000001</v>
      </c>
      <c r="T19" s="624">
        <v>2.56</v>
      </c>
      <c r="U19" s="624">
        <v>2.34</v>
      </c>
      <c r="V19" s="625">
        <v>4.2300000000000004</v>
      </c>
    </row>
    <row r="20" spans="1:22" ht="17.25" thickBot="1" x14ac:dyDescent="0.3">
      <c r="A20" t="s">
        <v>668</v>
      </c>
      <c r="K20" t="s">
        <v>677</v>
      </c>
      <c r="R20" s="623">
        <v>2.2999999999999998</v>
      </c>
      <c r="S20" s="624">
        <v>1.1200000000000001</v>
      </c>
      <c r="T20" s="624">
        <v>2.59</v>
      </c>
      <c r="U20" s="624">
        <v>2.38</v>
      </c>
      <c r="V20" s="625">
        <v>4.29</v>
      </c>
    </row>
    <row r="21" spans="1:22" ht="17.25" thickBot="1" x14ac:dyDescent="0.3">
      <c r="A21" t="s">
        <v>669</v>
      </c>
      <c r="K21" t="s">
        <v>664</v>
      </c>
      <c r="R21" s="623">
        <v>2.25</v>
      </c>
      <c r="S21" s="624">
        <v>1.1000000000000001</v>
      </c>
      <c r="T21" s="624">
        <v>2.54</v>
      </c>
      <c r="U21" s="624">
        <v>2.42</v>
      </c>
      <c r="V21" s="625">
        <v>4.2</v>
      </c>
    </row>
    <row r="22" spans="1:22" ht="17.25" thickBot="1" x14ac:dyDescent="0.3">
      <c r="A22" t="s">
        <v>670</v>
      </c>
      <c r="K22" t="s">
        <v>678</v>
      </c>
      <c r="R22" s="623">
        <v>2.31</v>
      </c>
      <c r="S22" s="624">
        <v>1.1200000000000001</v>
      </c>
      <c r="T22" s="624">
        <v>2.58</v>
      </c>
      <c r="U22" s="624">
        <v>2.36</v>
      </c>
      <c r="V22" s="625">
        <v>4.28</v>
      </c>
    </row>
    <row r="23" spans="1:22" ht="17.25" thickBot="1" x14ac:dyDescent="0.3">
      <c r="K23" t="s">
        <v>666</v>
      </c>
      <c r="R23" s="623">
        <v>2.2200000000000002</v>
      </c>
      <c r="S23" s="624">
        <v>1.1000000000000001</v>
      </c>
      <c r="T23" s="624">
        <v>2.57</v>
      </c>
      <c r="U23" s="624">
        <v>2.38</v>
      </c>
      <c r="V23" s="625">
        <v>4.25</v>
      </c>
    </row>
    <row r="24" spans="1:22" ht="17.25" thickBot="1" x14ac:dyDescent="0.3">
      <c r="K24" t="s">
        <v>667</v>
      </c>
      <c r="R24" s="623">
        <v>2.27</v>
      </c>
      <c r="S24" s="624">
        <v>1.07</v>
      </c>
      <c r="T24" s="624">
        <v>2.69</v>
      </c>
      <c r="U24" s="624">
        <v>2.44</v>
      </c>
      <c r="V24" s="625">
        <v>4.3600000000000003</v>
      </c>
    </row>
    <row r="25" spans="1:22" ht="17.25" thickBot="1" x14ac:dyDescent="0.3">
      <c r="K25" t="s">
        <v>668</v>
      </c>
      <c r="R25" s="623">
        <v>2.31</v>
      </c>
      <c r="S25" s="624">
        <v>1.1299999999999999</v>
      </c>
      <c r="T25" s="624">
        <v>2.56</v>
      </c>
      <c r="U25" s="624">
        <v>2.38</v>
      </c>
      <c r="V25" s="625">
        <v>4.26</v>
      </c>
    </row>
    <row r="26" spans="1:22" ht="17.25" thickBot="1" x14ac:dyDescent="0.3">
      <c r="K26" t="s">
        <v>679</v>
      </c>
      <c r="R26" s="623">
        <v>2.34</v>
      </c>
      <c r="S26" s="624">
        <v>1.1000000000000001</v>
      </c>
      <c r="T26" s="624">
        <v>2.72</v>
      </c>
      <c r="U26" s="624">
        <v>2.5</v>
      </c>
      <c r="V26" s="625">
        <v>4.4400000000000004</v>
      </c>
    </row>
    <row r="27" spans="1:22" ht="17.25" thickBot="1" x14ac:dyDescent="0.3">
      <c r="K27" t="s">
        <v>680</v>
      </c>
      <c r="R27" s="623">
        <v>2.21</v>
      </c>
      <c r="S27" s="624">
        <v>1.1000000000000001</v>
      </c>
      <c r="T27" s="624">
        <v>2.57</v>
      </c>
      <c r="U27" s="624">
        <v>2.36</v>
      </c>
      <c r="V27" s="625">
        <v>4.25</v>
      </c>
    </row>
    <row r="28" spans="1:22" ht="17.25" thickBot="1" x14ac:dyDescent="0.3">
      <c r="R28" s="623">
        <v>2.2200000000000002</v>
      </c>
      <c r="S28" s="624">
        <v>1.1000000000000001</v>
      </c>
      <c r="T28" s="624">
        <v>2.4900000000000002</v>
      </c>
      <c r="U28" s="624">
        <v>2.3199999999999998</v>
      </c>
      <c r="V28" s="625">
        <v>4.1500000000000004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Q176"/>
  <sheetViews>
    <sheetView showGridLines="0" view="pageBreakPreview" topLeftCell="A113" zoomScaleNormal="100" zoomScaleSheetLayoutView="100" workbookViewId="0">
      <selection activeCell="C170" sqref="C170"/>
    </sheetView>
  </sheetViews>
  <sheetFormatPr defaultColWidth="9.140625" defaultRowHeight="15" x14ac:dyDescent="0.25"/>
  <cols>
    <col min="1" max="1" width="4.85546875" style="359" customWidth="1"/>
    <col min="2" max="2" width="12" style="359" customWidth="1"/>
    <col min="3" max="3" width="12.28515625" style="359" customWidth="1"/>
    <col min="4" max="5" width="8.85546875" style="359" customWidth="1"/>
    <col min="6" max="8" width="7.85546875" style="359" customWidth="1"/>
    <col min="9" max="11" width="7.42578125" style="359" customWidth="1"/>
    <col min="12" max="12" width="9.140625" style="359"/>
    <col min="13" max="14" width="0" style="359" hidden="1" customWidth="1"/>
    <col min="15" max="15" width="10.140625" style="359" bestFit="1" customWidth="1"/>
    <col min="16" max="16" width="9.140625" style="359"/>
    <col min="17" max="17" width="9.5703125" style="359" bestFit="1" customWidth="1"/>
    <col min="18" max="21" width="9.140625" style="359"/>
    <col min="22" max="22" width="11.5703125" style="359" bestFit="1" customWidth="1"/>
    <col min="23" max="16384" width="9.140625" style="359"/>
  </cols>
  <sheetData>
    <row r="1" spans="1:15" ht="4.1500000000000004" customHeight="1" x14ac:dyDescent="0.25">
      <c r="I1" s="862"/>
      <c r="J1" s="862"/>
      <c r="K1" s="862"/>
    </row>
    <row r="2" spans="1:15" ht="3" customHeight="1" x14ac:dyDescent="0.25"/>
    <row r="3" spans="1:15" ht="41.25" customHeight="1" x14ac:dyDescent="0.25">
      <c r="A3" s="864" t="s">
        <v>843</v>
      </c>
      <c r="B3" s="865"/>
      <c r="C3" s="865"/>
      <c r="D3" s="865"/>
      <c r="E3" s="865"/>
      <c r="F3" s="865"/>
      <c r="G3" s="865"/>
      <c r="H3" s="865"/>
      <c r="I3" s="865"/>
      <c r="J3" s="865"/>
      <c r="K3" s="866"/>
    </row>
    <row r="4" spans="1:15" ht="5.25" customHeight="1" x14ac:dyDescent="0.25"/>
    <row r="5" spans="1:15" ht="55.5" customHeight="1" x14ac:dyDescent="0.25">
      <c r="A5" s="858" t="s">
        <v>244</v>
      </c>
      <c r="B5" s="858" t="s">
        <v>245</v>
      </c>
      <c r="C5" s="858" t="s">
        <v>246</v>
      </c>
      <c r="D5" s="663" t="s">
        <v>272</v>
      </c>
      <c r="E5" s="663" t="s">
        <v>53</v>
      </c>
      <c r="F5" s="663" t="s">
        <v>247</v>
      </c>
      <c r="G5" s="663" t="s">
        <v>248</v>
      </c>
      <c r="H5" s="663" t="s">
        <v>249</v>
      </c>
      <c r="I5" s="663" t="s">
        <v>254</v>
      </c>
      <c r="J5" s="663" t="s">
        <v>253</v>
      </c>
      <c r="K5" s="663" t="s">
        <v>252</v>
      </c>
    </row>
    <row r="6" spans="1:15" x14ac:dyDescent="0.25">
      <c r="A6" s="858"/>
      <c r="B6" s="858"/>
      <c r="C6" s="858"/>
      <c r="D6" s="431" t="s">
        <v>14</v>
      </c>
      <c r="E6" s="431" t="s">
        <v>14</v>
      </c>
      <c r="F6" s="431" t="s">
        <v>347</v>
      </c>
      <c r="G6" s="431" t="s">
        <v>14</v>
      </c>
      <c r="H6" s="431" t="s">
        <v>250</v>
      </c>
      <c r="I6" s="431" t="s">
        <v>347</v>
      </c>
      <c r="J6" s="431" t="s">
        <v>347</v>
      </c>
      <c r="K6" s="431" t="s">
        <v>14</v>
      </c>
    </row>
    <row r="7" spans="1:15" s="2" customFormat="1" ht="12.75" x14ac:dyDescent="0.2">
      <c r="A7" s="854" t="s">
        <v>45</v>
      </c>
      <c r="B7" s="823" t="s">
        <v>251</v>
      </c>
      <c r="C7" s="843" t="s">
        <v>520</v>
      </c>
      <c r="D7" s="465">
        <v>13.75</v>
      </c>
      <c r="E7" s="465">
        <v>3.25</v>
      </c>
      <c r="F7" s="465">
        <f>D7*E7</f>
        <v>44.6875</v>
      </c>
      <c r="G7" s="822"/>
      <c r="H7" s="456">
        <v>1</v>
      </c>
      <c r="I7" s="465">
        <f>F7*H7</f>
        <v>44.6875</v>
      </c>
      <c r="J7" s="820">
        <f>I7+I8+I9+I10</f>
        <v>44.6875</v>
      </c>
      <c r="K7" s="863"/>
    </row>
    <row r="8" spans="1:15" s="2" customFormat="1" ht="12.75" customHeight="1" x14ac:dyDescent="0.2">
      <c r="A8" s="854"/>
      <c r="B8" s="823"/>
      <c r="C8" s="823"/>
      <c r="D8" s="465"/>
      <c r="E8" s="465"/>
      <c r="F8" s="465">
        <f t="shared" ref="F8:F36" si="0">D8*E8</f>
        <v>0</v>
      </c>
      <c r="G8" s="822"/>
      <c r="H8" s="456"/>
      <c r="I8" s="465">
        <f>F8*H8</f>
        <v>0</v>
      </c>
      <c r="J8" s="820"/>
      <c r="K8" s="863"/>
    </row>
    <row r="9" spans="1:15" s="2" customFormat="1" ht="12.75" customHeight="1" x14ac:dyDescent="0.2">
      <c r="A9" s="854"/>
      <c r="B9" s="823"/>
      <c r="C9" s="823"/>
      <c r="D9" s="465"/>
      <c r="E9" s="465"/>
      <c r="F9" s="465">
        <f t="shared" si="0"/>
        <v>0</v>
      </c>
      <c r="G9" s="822"/>
      <c r="H9" s="456"/>
      <c r="I9" s="465">
        <f>F9*H9</f>
        <v>0</v>
      </c>
      <c r="J9" s="820"/>
      <c r="K9" s="863"/>
    </row>
    <row r="10" spans="1:15" s="2" customFormat="1" ht="12.75" customHeight="1" x14ac:dyDescent="0.2">
      <c r="A10" s="854"/>
      <c r="B10" s="823"/>
      <c r="C10" s="823"/>
      <c r="D10" s="465"/>
      <c r="E10" s="465"/>
      <c r="F10" s="465">
        <f t="shared" si="0"/>
        <v>0</v>
      </c>
      <c r="G10" s="822"/>
      <c r="H10" s="456"/>
      <c r="I10" s="465">
        <f>F10*H10</f>
        <v>0</v>
      </c>
      <c r="J10" s="820"/>
      <c r="K10" s="863"/>
    </row>
    <row r="11" spans="1:15" s="2" customFormat="1" ht="12.75" x14ac:dyDescent="0.2">
      <c r="A11" s="854"/>
      <c r="B11" s="823"/>
      <c r="C11" s="823" t="s">
        <v>356</v>
      </c>
      <c r="D11" s="465"/>
      <c r="E11" s="465"/>
      <c r="F11" s="465">
        <f t="shared" si="0"/>
        <v>0</v>
      </c>
      <c r="G11" s="822"/>
      <c r="H11" s="456"/>
      <c r="I11" s="465">
        <f t="shared" ref="I11:I36" si="1">F11*H11</f>
        <v>0</v>
      </c>
      <c r="J11" s="845">
        <f>I11+I12+I13</f>
        <v>0</v>
      </c>
      <c r="K11" s="863"/>
    </row>
    <row r="12" spans="1:15" s="2" customFormat="1" ht="12.75" x14ac:dyDescent="0.2">
      <c r="A12" s="854"/>
      <c r="B12" s="823"/>
      <c r="C12" s="823"/>
      <c r="D12" s="465"/>
      <c r="E12" s="465"/>
      <c r="F12" s="465">
        <f t="shared" si="0"/>
        <v>0</v>
      </c>
      <c r="G12" s="822"/>
      <c r="H12" s="456"/>
      <c r="I12" s="465">
        <f t="shared" si="1"/>
        <v>0</v>
      </c>
      <c r="J12" s="846"/>
      <c r="K12" s="863"/>
    </row>
    <row r="13" spans="1:15" s="2" customFormat="1" ht="12.75" x14ac:dyDescent="0.2">
      <c r="A13" s="854"/>
      <c r="B13" s="823"/>
      <c r="C13" s="823"/>
      <c r="D13" s="465"/>
      <c r="E13" s="465"/>
      <c r="F13" s="465">
        <f t="shared" si="0"/>
        <v>0</v>
      </c>
      <c r="G13" s="822"/>
      <c r="H13" s="456"/>
      <c r="I13" s="465">
        <f>F13*H13</f>
        <v>0</v>
      </c>
      <c r="J13" s="847"/>
      <c r="K13" s="863"/>
    </row>
    <row r="14" spans="1:15" s="2" customFormat="1" ht="12.75" x14ac:dyDescent="0.2">
      <c r="A14" s="854"/>
      <c r="B14" s="823"/>
      <c r="C14" s="665" t="s">
        <v>523</v>
      </c>
      <c r="D14" s="465"/>
      <c r="E14" s="465"/>
      <c r="F14" s="465">
        <f t="shared" si="0"/>
        <v>0</v>
      </c>
      <c r="G14" s="822"/>
      <c r="H14" s="456"/>
      <c r="I14" s="465">
        <f>F14*H14</f>
        <v>0</v>
      </c>
      <c r="J14" s="565">
        <f>I14</f>
        <v>0</v>
      </c>
      <c r="K14" s="863"/>
    </row>
    <row r="15" spans="1:15" s="2" customFormat="1" ht="12.75" x14ac:dyDescent="0.2">
      <c r="A15" s="854"/>
      <c r="B15" s="823"/>
      <c r="C15" s="665" t="s">
        <v>527</v>
      </c>
      <c r="D15" s="465"/>
      <c r="E15" s="465"/>
      <c r="F15" s="465">
        <f t="shared" si="0"/>
        <v>0</v>
      </c>
      <c r="G15" s="822"/>
      <c r="H15" s="456"/>
      <c r="I15" s="465">
        <f t="shared" si="1"/>
        <v>0</v>
      </c>
      <c r="J15" s="565">
        <f>I15</f>
        <v>0</v>
      </c>
      <c r="K15" s="863"/>
      <c r="O15" s="433"/>
    </row>
    <row r="16" spans="1:15" s="2" customFormat="1" ht="12.75" x14ac:dyDescent="0.2">
      <c r="A16" s="854"/>
      <c r="B16" s="823"/>
      <c r="C16" s="665" t="s">
        <v>563</v>
      </c>
      <c r="D16" s="465"/>
      <c r="E16" s="465"/>
      <c r="F16" s="465">
        <f t="shared" si="0"/>
        <v>0</v>
      </c>
      <c r="G16" s="822"/>
      <c r="H16" s="456"/>
      <c r="I16" s="465">
        <f>F16*H16</f>
        <v>0</v>
      </c>
      <c r="J16" s="565">
        <f>I16</f>
        <v>0</v>
      </c>
      <c r="K16" s="863"/>
    </row>
    <row r="17" spans="1:14" s="2" customFormat="1" ht="12.75" x14ac:dyDescent="0.2">
      <c r="A17" s="854"/>
      <c r="B17" s="824" t="s">
        <v>644</v>
      </c>
      <c r="C17" s="492" t="s">
        <v>850</v>
      </c>
      <c r="D17" s="465">
        <v>1.5</v>
      </c>
      <c r="E17" s="465">
        <v>1.6</v>
      </c>
      <c r="F17" s="465">
        <f t="shared" si="0"/>
        <v>2.4000000000000004</v>
      </c>
      <c r="G17" s="465">
        <f>(2*D17)+(2*E17)</f>
        <v>6.2</v>
      </c>
      <c r="H17" s="529">
        <v>1</v>
      </c>
      <c r="I17" s="465">
        <f t="shared" si="1"/>
        <v>2.4000000000000004</v>
      </c>
      <c r="J17" s="845">
        <f>SUM(I17:I23)</f>
        <v>2.4000000000000004</v>
      </c>
      <c r="K17" s="529">
        <f>G17*H17</f>
        <v>6.2</v>
      </c>
      <c r="M17" s="2">
        <f>K17*0.08</f>
        <v>0.49600000000000005</v>
      </c>
      <c r="N17" s="396">
        <f>I17-M17</f>
        <v>1.9040000000000004</v>
      </c>
    </row>
    <row r="18" spans="1:14" s="2" customFormat="1" ht="12.75" x14ac:dyDescent="0.2">
      <c r="A18" s="854"/>
      <c r="B18" s="831"/>
      <c r="C18" s="492"/>
      <c r="D18" s="465"/>
      <c r="E18" s="465"/>
      <c r="F18" s="465">
        <f t="shared" si="0"/>
        <v>0</v>
      </c>
      <c r="G18" s="465">
        <f t="shared" ref="G18:G36" si="2">(2*D18)+(2*E18)</f>
        <v>0</v>
      </c>
      <c r="H18" s="529"/>
      <c r="I18" s="465">
        <f t="shared" si="1"/>
        <v>0</v>
      </c>
      <c r="J18" s="846"/>
      <c r="K18" s="529">
        <f t="shared" ref="K18:K36" si="3">G18*H18</f>
        <v>0</v>
      </c>
      <c r="M18" s="2">
        <f t="shared" ref="M18:M28" si="4">K18*0.08</f>
        <v>0</v>
      </c>
      <c r="N18" s="396">
        <f t="shared" ref="N18:N28" si="5">I18-M18</f>
        <v>0</v>
      </c>
    </row>
    <row r="19" spans="1:14" s="2" customFormat="1" ht="12.75" x14ac:dyDescent="0.2">
      <c r="A19" s="854"/>
      <c r="B19" s="831"/>
      <c r="C19" s="492"/>
      <c r="D19" s="465"/>
      <c r="E19" s="465"/>
      <c r="F19" s="465">
        <f t="shared" si="0"/>
        <v>0</v>
      </c>
      <c r="G19" s="465">
        <f t="shared" si="2"/>
        <v>0</v>
      </c>
      <c r="H19" s="529"/>
      <c r="I19" s="465">
        <f t="shared" si="1"/>
        <v>0</v>
      </c>
      <c r="J19" s="846"/>
      <c r="K19" s="529">
        <f t="shared" si="3"/>
        <v>0</v>
      </c>
      <c r="M19" s="2">
        <f t="shared" si="4"/>
        <v>0</v>
      </c>
      <c r="N19" s="396">
        <f t="shared" si="5"/>
        <v>0</v>
      </c>
    </row>
    <row r="20" spans="1:14" s="2" customFormat="1" ht="12.75" x14ac:dyDescent="0.2">
      <c r="A20" s="854"/>
      <c r="B20" s="831"/>
      <c r="C20" s="492"/>
      <c r="D20" s="465"/>
      <c r="E20" s="465"/>
      <c r="F20" s="465">
        <f t="shared" si="0"/>
        <v>0</v>
      </c>
      <c r="G20" s="465">
        <f t="shared" si="2"/>
        <v>0</v>
      </c>
      <c r="H20" s="529"/>
      <c r="I20" s="465">
        <f t="shared" si="1"/>
        <v>0</v>
      </c>
      <c r="J20" s="846"/>
      <c r="K20" s="529">
        <f t="shared" si="3"/>
        <v>0</v>
      </c>
      <c r="M20" s="2">
        <f t="shared" si="4"/>
        <v>0</v>
      </c>
      <c r="N20" s="396">
        <f t="shared" si="5"/>
        <v>0</v>
      </c>
    </row>
    <row r="21" spans="1:14" s="2" customFormat="1" ht="12.75" x14ac:dyDescent="0.2">
      <c r="A21" s="854"/>
      <c r="B21" s="831"/>
      <c r="C21" s="492"/>
      <c r="D21" s="465"/>
      <c r="E21" s="465"/>
      <c r="F21" s="465">
        <f t="shared" si="0"/>
        <v>0</v>
      </c>
      <c r="G21" s="465">
        <f t="shared" si="2"/>
        <v>0</v>
      </c>
      <c r="H21" s="529"/>
      <c r="I21" s="465">
        <f t="shared" si="1"/>
        <v>0</v>
      </c>
      <c r="J21" s="846"/>
      <c r="K21" s="529">
        <f t="shared" si="3"/>
        <v>0</v>
      </c>
      <c r="M21" s="2">
        <f t="shared" si="4"/>
        <v>0</v>
      </c>
      <c r="N21" s="396">
        <f t="shared" si="5"/>
        <v>0</v>
      </c>
    </row>
    <row r="22" spans="1:14" s="2" customFormat="1" ht="12.75" x14ac:dyDescent="0.2">
      <c r="A22" s="854"/>
      <c r="B22" s="831"/>
      <c r="C22" s="492"/>
      <c r="D22" s="465"/>
      <c r="E22" s="465"/>
      <c r="F22" s="465">
        <f t="shared" si="0"/>
        <v>0</v>
      </c>
      <c r="G22" s="465">
        <f t="shared" si="2"/>
        <v>0</v>
      </c>
      <c r="H22" s="529"/>
      <c r="I22" s="465">
        <f t="shared" si="1"/>
        <v>0</v>
      </c>
      <c r="J22" s="846"/>
      <c r="K22" s="529">
        <f t="shared" si="3"/>
        <v>0</v>
      </c>
      <c r="M22" s="2">
        <f t="shared" si="4"/>
        <v>0</v>
      </c>
      <c r="N22" s="396">
        <f t="shared" si="5"/>
        <v>0</v>
      </c>
    </row>
    <row r="23" spans="1:14" s="2" customFormat="1" ht="12.75" x14ac:dyDescent="0.2">
      <c r="A23" s="854"/>
      <c r="B23" s="825"/>
      <c r="C23" s="492"/>
      <c r="D23" s="465"/>
      <c r="E23" s="465"/>
      <c r="F23" s="465">
        <f t="shared" si="0"/>
        <v>0</v>
      </c>
      <c r="G23" s="465">
        <f t="shared" si="2"/>
        <v>0</v>
      </c>
      <c r="H23" s="529"/>
      <c r="I23" s="465">
        <f t="shared" si="1"/>
        <v>0</v>
      </c>
      <c r="J23" s="847"/>
      <c r="K23" s="529">
        <f t="shared" si="3"/>
        <v>0</v>
      </c>
      <c r="M23" s="2">
        <f t="shared" si="4"/>
        <v>0</v>
      </c>
      <c r="N23" s="396">
        <f t="shared" si="5"/>
        <v>0</v>
      </c>
    </row>
    <row r="24" spans="1:14" s="2" customFormat="1" ht="12.75" x14ac:dyDescent="0.2">
      <c r="A24" s="854"/>
      <c r="B24" s="824" t="s">
        <v>645</v>
      </c>
      <c r="C24" s="492"/>
      <c r="D24" s="465"/>
      <c r="E24" s="465"/>
      <c r="F24" s="465">
        <f t="shared" si="0"/>
        <v>0</v>
      </c>
      <c r="G24" s="465">
        <f t="shared" si="2"/>
        <v>0</v>
      </c>
      <c r="H24" s="456"/>
      <c r="I24" s="465">
        <f t="shared" si="1"/>
        <v>0</v>
      </c>
      <c r="J24" s="846">
        <f>SUM(I24:I26)</f>
        <v>0</v>
      </c>
      <c r="K24" s="529">
        <f t="shared" si="3"/>
        <v>0</v>
      </c>
      <c r="M24" s="2">
        <f t="shared" si="4"/>
        <v>0</v>
      </c>
      <c r="N24" s="396">
        <f t="shared" si="5"/>
        <v>0</v>
      </c>
    </row>
    <row r="25" spans="1:14" s="2" customFormat="1" ht="12.75" x14ac:dyDescent="0.2">
      <c r="A25" s="854"/>
      <c r="B25" s="831"/>
      <c r="C25" s="492"/>
      <c r="D25" s="465"/>
      <c r="E25" s="465"/>
      <c r="F25" s="465">
        <f t="shared" si="0"/>
        <v>0</v>
      </c>
      <c r="G25" s="465">
        <f t="shared" si="2"/>
        <v>0</v>
      </c>
      <c r="H25" s="456"/>
      <c r="I25" s="465">
        <f t="shared" si="1"/>
        <v>0</v>
      </c>
      <c r="J25" s="846"/>
      <c r="K25" s="529">
        <f t="shared" si="3"/>
        <v>0</v>
      </c>
      <c r="M25" s="2">
        <f t="shared" si="4"/>
        <v>0</v>
      </c>
      <c r="N25" s="396">
        <f t="shared" si="5"/>
        <v>0</v>
      </c>
    </row>
    <row r="26" spans="1:14" s="2" customFormat="1" ht="12.75" x14ac:dyDescent="0.2">
      <c r="A26" s="854"/>
      <c r="B26" s="825"/>
      <c r="C26" s="492"/>
      <c r="D26" s="465"/>
      <c r="E26" s="465"/>
      <c r="F26" s="465">
        <f t="shared" si="0"/>
        <v>0</v>
      </c>
      <c r="G26" s="465">
        <f t="shared" si="2"/>
        <v>0</v>
      </c>
      <c r="H26" s="456"/>
      <c r="I26" s="465">
        <f t="shared" si="1"/>
        <v>0</v>
      </c>
      <c r="J26" s="847"/>
      <c r="K26" s="529">
        <f t="shared" si="3"/>
        <v>0</v>
      </c>
      <c r="M26" s="2">
        <f t="shared" si="4"/>
        <v>0</v>
      </c>
      <c r="N26" s="396">
        <f t="shared" si="5"/>
        <v>0</v>
      </c>
    </row>
    <row r="27" spans="1:14" s="2" customFormat="1" ht="12.75" x14ac:dyDescent="0.2">
      <c r="A27" s="854"/>
      <c r="B27" s="824" t="s">
        <v>705</v>
      </c>
      <c r="C27" s="492"/>
      <c r="D27" s="465"/>
      <c r="E27" s="465"/>
      <c r="F27" s="465">
        <f t="shared" si="0"/>
        <v>0</v>
      </c>
      <c r="G27" s="465">
        <f t="shared" si="2"/>
        <v>0</v>
      </c>
      <c r="H27" s="456"/>
      <c r="I27" s="465">
        <f t="shared" si="1"/>
        <v>0</v>
      </c>
      <c r="J27" s="845">
        <f>SUM(I27:I29)</f>
        <v>0</v>
      </c>
      <c r="K27" s="529">
        <f t="shared" si="3"/>
        <v>0</v>
      </c>
      <c r="M27" s="2">
        <f t="shared" si="4"/>
        <v>0</v>
      </c>
      <c r="N27" s="396">
        <f t="shared" si="5"/>
        <v>0</v>
      </c>
    </row>
    <row r="28" spans="1:14" s="2" customFormat="1" ht="12.75" x14ac:dyDescent="0.2">
      <c r="A28" s="854"/>
      <c r="B28" s="831"/>
      <c r="C28" s="492"/>
      <c r="D28" s="465"/>
      <c r="E28" s="465"/>
      <c r="F28" s="465">
        <f t="shared" si="0"/>
        <v>0</v>
      </c>
      <c r="G28" s="465">
        <f t="shared" si="2"/>
        <v>0</v>
      </c>
      <c r="H28" s="456"/>
      <c r="I28" s="465">
        <f t="shared" si="1"/>
        <v>0</v>
      </c>
      <c r="J28" s="846"/>
      <c r="K28" s="529">
        <f t="shared" si="3"/>
        <v>0</v>
      </c>
      <c r="M28" s="2">
        <f t="shared" si="4"/>
        <v>0</v>
      </c>
      <c r="N28" s="396">
        <f t="shared" si="5"/>
        <v>0</v>
      </c>
    </row>
    <row r="29" spans="1:14" s="2" customFormat="1" ht="12.75" x14ac:dyDescent="0.2">
      <c r="A29" s="854"/>
      <c r="B29" s="825"/>
      <c r="C29" s="492"/>
      <c r="D29" s="465"/>
      <c r="E29" s="465"/>
      <c r="F29" s="465">
        <f t="shared" si="0"/>
        <v>0</v>
      </c>
      <c r="G29" s="465">
        <f t="shared" si="2"/>
        <v>0</v>
      </c>
      <c r="H29" s="456"/>
      <c r="I29" s="465">
        <f t="shared" si="1"/>
        <v>0</v>
      </c>
      <c r="J29" s="847"/>
      <c r="K29" s="529">
        <f t="shared" si="3"/>
        <v>0</v>
      </c>
    </row>
    <row r="30" spans="1:14" s="2" customFormat="1" ht="12.75" x14ac:dyDescent="0.2">
      <c r="A30" s="854"/>
      <c r="B30" s="859" t="s">
        <v>646</v>
      </c>
      <c r="C30" s="492"/>
      <c r="D30" s="465"/>
      <c r="E30" s="465"/>
      <c r="F30" s="465">
        <f t="shared" si="0"/>
        <v>0</v>
      </c>
      <c r="G30" s="465">
        <f t="shared" si="2"/>
        <v>0</v>
      </c>
      <c r="H30" s="456"/>
      <c r="I30" s="465">
        <f t="shared" si="1"/>
        <v>0</v>
      </c>
      <c r="J30" s="845">
        <f>SUM(I30:I32)</f>
        <v>0</v>
      </c>
      <c r="K30" s="529">
        <f t="shared" si="3"/>
        <v>0</v>
      </c>
    </row>
    <row r="31" spans="1:14" s="2" customFormat="1" ht="12.75" x14ac:dyDescent="0.2">
      <c r="A31" s="854"/>
      <c r="B31" s="860"/>
      <c r="C31" s="492"/>
      <c r="D31" s="465"/>
      <c r="E31" s="465"/>
      <c r="F31" s="465">
        <f t="shared" si="0"/>
        <v>0</v>
      </c>
      <c r="G31" s="465">
        <f t="shared" si="2"/>
        <v>0</v>
      </c>
      <c r="H31" s="456"/>
      <c r="I31" s="465">
        <f t="shared" si="1"/>
        <v>0</v>
      </c>
      <c r="J31" s="846"/>
      <c r="K31" s="529">
        <f t="shared" si="3"/>
        <v>0</v>
      </c>
    </row>
    <row r="32" spans="1:14" s="2" customFormat="1" ht="12.75" x14ac:dyDescent="0.2">
      <c r="A32" s="854"/>
      <c r="B32" s="861"/>
      <c r="C32" s="492"/>
      <c r="D32" s="465"/>
      <c r="E32" s="465"/>
      <c r="F32" s="465">
        <f t="shared" si="0"/>
        <v>0</v>
      </c>
      <c r="G32" s="465">
        <f t="shared" si="2"/>
        <v>0</v>
      </c>
      <c r="H32" s="456"/>
      <c r="I32" s="465">
        <f t="shared" si="1"/>
        <v>0</v>
      </c>
      <c r="J32" s="847"/>
      <c r="K32" s="529">
        <f t="shared" si="3"/>
        <v>0</v>
      </c>
    </row>
    <row r="33" spans="1:11" s="2" customFormat="1" ht="12.75" x14ac:dyDescent="0.2">
      <c r="A33" s="854"/>
      <c r="B33" s="859" t="s">
        <v>647</v>
      </c>
      <c r="C33" s="492"/>
      <c r="D33" s="465"/>
      <c r="E33" s="465"/>
      <c r="F33" s="465">
        <f t="shared" si="0"/>
        <v>0</v>
      </c>
      <c r="G33" s="465">
        <f t="shared" si="2"/>
        <v>0</v>
      </c>
      <c r="H33" s="456"/>
      <c r="I33" s="465">
        <f t="shared" si="1"/>
        <v>0</v>
      </c>
      <c r="J33" s="845">
        <f>SUM(I33:I34)</f>
        <v>0</v>
      </c>
      <c r="K33" s="529">
        <f t="shared" si="3"/>
        <v>0</v>
      </c>
    </row>
    <row r="34" spans="1:11" s="2" customFormat="1" ht="12.75" x14ac:dyDescent="0.2">
      <c r="A34" s="854"/>
      <c r="B34" s="861"/>
      <c r="C34" s="492"/>
      <c r="D34" s="465"/>
      <c r="E34" s="465"/>
      <c r="F34" s="465">
        <f t="shared" si="0"/>
        <v>0</v>
      </c>
      <c r="G34" s="465">
        <f t="shared" si="2"/>
        <v>0</v>
      </c>
      <c r="H34" s="456"/>
      <c r="I34" s="465">
        <f t="shared" si="1"/>
        <v>0</v>
      </c>
      <c r="J34" s="847"/>
      <c r="K34" s="529">
        <f t="shared" si="3"/>
        <v>0</v>
      </c>
    </row>
    <row r="35" spans="1:11" s="2" customFormat="1" ht="12.75" x14ac:dyDescent="0.2">
      <c r="A35" s="854"/>
      <c r="B35" s="859" t="s">
        <v>706</v>
      </c>
      <c r="C35" s="492"/>
      <c r="D35" s="465"/>
      <c r="E35" s="465"/>
      <c r="F35" s="465">
        <f t="shared" si="0"/>
        <v>0</v>
      </c>
      <c r="G35" s="465">
        <f t="shared" si="2"/>
        <v>0</v>
      </c>
      <c r="H35" s="456"/>
      <c r="I35" s="465">
        <f t="shared" si="1"/>
        <v>0</v>
      </c>
      <c r="J35" s="845">
        <f>SUM(I35:I36)</f>
        <v>0</v>
      </c>
      <c r="K35" s="529">
        <f t="shared" si="3"/>
        <v>0</v>
      </c>
    </row>
    <row r="36" spans="1:11" s="2" customFormat="1" ht="12.75" x14ac:dyDescent="0.2">
      <c r="A36" s="854"/>
      <c r="B36" s="861"/>
      <c r="C36" s="492"/>
      <c r="D36" s="465"/>
      <c r="E36" s="465"/>
      <c r="F36" s="465">
        <f t="shared" si="0"/>
        <v>0</v>
      </c>
      <c r="G36" s="465">
        <f t="shared" si="2"/>
        <v>0</v>
      </c>
      <c r="H36" s="456"/>
      <c r="I36" s="465">
        <f t="shared" si="1"/>
        <v>0</v>
      </c>
      <c r="J36" s="847"/>
      <c r="K36" s="529">
        <f t="shared" si="3"/>
        <v>0</v>
      </c>
    </row>
    <row r="37" spans="1:11" s="2" customFormat="1" ht="12.75" x14ac:dyDescent="0.2">
      <c r="A37" s="854"/>
      <c r="B37" s="821" t="s">
        <v>686</v>
      </c>
      <c r="C37" s="821"/>
      <c r="D37" s="821"/>
      <c r="E37" s="821"/>
      <c r="F37" s="821"/>
      <c r="G37" s="821"/>
      <c r="H37" s="823" t="str">
        <f>C7</f>
        <v>Siena 1</v>
      </c>
      <c r="I37" s="823"/>
      <c r="J37" s="565">
        <f>J7-J30</f>
        <v>44.6875</v>
      </c>
      <c r="K37" s="822"/>
    </row>
    <row r="38" spans="1:11" s="2" customFormat="1" ht="12.75" x14ac:dyDescent="0.2">
      <c r="A38" s="854"/>
      <c r="B38" s="821"/>
      <c r="C38" s="821"/>
      <c r="D38" s="821"/>
      <c r="E38" s="821"/>
      <c r="F38" s="821"/>
      <c r="G38" s="821"/>
      <c r="H38" s="823" t="str">
        <f>C11</f>
        <v>Siena 2</v>
      </c>
      <c r="I38" s="823"/>
      <c r="J38" s="565">
        <f>J11-J33</f>
        <v>0</v>
      </c>
      <c r="K38" s="822"/>
    </row>
    <row r="39" spans="1:11" s="2" customFormat="1" ht="12.75" x14ac:dyDescent="0.2">
      <c r="A39" s="854"/>
      <c r="B39" s="821"/>
      <c r="C39" s="821"/>
      <c r="D39" s="821"/>
      <c r="E39" s="821"/>
      <c r="F39" s="821"/>
      <c r="G39" s="821"/>
      <c r="H39" s="823" t="str">
        <f>C14</f>
        <v>Siena 3</v>
      </c>
      <c r="I39" s="823"/>
      <c r="J39" s="565">
        <f>J14-J35</f>
        <v>0</v>
      </c>
      <c r="K39" s="822"/>
    </row>
    <row r="40" spans="1:11" s="2" customFormat="1" ht="12.75" x14ac:dyDescent="0.2">
      <c r="A40" s="854"/>
      <c r="B40" s="821"/>
      <c r="C40" s="821"/>
      <c r="D40" s="821"/>
      <c r="E40" s="821"/>
      <c r="F40" s="821"/>
      <c r="G40" s="821"/>
      <c r="H40" s="822" t="s">
        <v>527</v>
      </c>
      <c r="I40" s="822"/>
      <c r="J40" s="565">
        <f>J15</f>
        <v>0</v>
      </c>
      <c r="K40" s="822"/>
    </row>
    <row r="41" spans="1:11" s="2" customFormat="1" ht="12.75" x14ac:dyDescent="0.2">
      <c r="A41" s="854" t="s">
        <v>42</v>
      </c>
      <c r="B41" s="823" t="s">
        <v>251</v>
      </c>
      <c r="C41" s="843" t="s">
        <v>520</v>
      </c>
      <c r="D41" s="465">
        <v>13.75</v>
      </c>
      <c r="E41" s="465">
        <v>3.25</v>
      </c>
      <c r="F41" s="465">
        <f>D41*E41</f>
        <v>44.6875</v>
      </c>
      <c r="G41" s="855"/>
      <c r="H41" s="456">
        <v>1</v>
      </c>
      <c r="I41" s="465">
        <f>F41*H41</f>
        <v>44.6875</v>
      </c>
      <c r="J41" s="820">
        <f>I41+I42+I43+I44</f>
        <v>44.6875</v>
      </c>
      <c r="K41" s="820"/>
    </row>
    <row r="42" spans="1:11" s="2" customFormat="1" ht="12.75" x14ac:dyDescent="0.2">
      <c r="A42" s="854"/>
      <c r="B42" s="823"/>
      <c r="C42" s="843"/>
      <c r="D42" s="465"/>
      <c r="E42" s="465"/>
      <c r="F42" s="465">
        <f t="shared" ref="F42:F62" si="6">D42*E42</f>
        <v>0</v>
      </c>
      <c r="G42" s="856"/>
      <c r="H42" s="456"/>
      <c r="I42" s="465">
        <f>F42*H42</f>
        <v>0</v>
      </c>
      <c r="J42" s="820"/>
      <c r="K42" s="820"/>
    </row>
    <row r="43" spans="1:11" s="2" customFormat="1" ht="12.75" x14ac:dyDescent="0.2">
      <c r="A43" s="854"/>
      <c r="B43" s="823"/>
      <c r="C43" s="843"/>
      <c r="D43" s="465"/>
      <c r="E43" s="465"/>
      <c r="F43" s="465">
        <f t="shared" si="6"/>
        <v>0</v>
      </c>
      <c r="G43" s="856"/>
      <c r="H43" s="456"/>
      <c r="I43" s="465">
        <f>F43*H43</f>
        <v>0</v>
      </c>
      <c r="J43" s="820"/>
      <c r="K43" s="820"/>
    </row>
    <row r="44" spans="1:11" s="2" customFormat="1" ht="12.75" x14ac:dyDescent="0.2">
      <c r="A44" s="854"/>
      <c r="B44" s="823"/>
      <c r="C44" s="843"/>
      <c r="D44" s="465"/>
      <c r="E44" s="465"/>
      <c r="F44" s="465">
        <f t="shared" si="6"/>
        <v>0</v>
      </c>
      <c r="G44" s="856"/>
      <c r="H44" s="456"/>
      <c r="I44" s="465">
        <f>F44*H44</f>
        <v>0</v>
      </c>
      <c r="J44" s="820"/>
      <c r="K44" s="820"/>
    </row>
    <row r="45" spans="1:11" s="2" customFormat="1" ht="12.75" x14ac:dyDescent="0.2">
      <c r="A45" s="854"/>
      <c r="B45" s="823"/>
      <c r="C45" s="823" t="s">
        <v>356</v>
      </c>
      <c r="D45" s="465"/>
      <c r="E45" s="465"/>
      <c r="F45" s="465">
        <f t="shared" si="6"/>
        <v>0</v>
      </c>
      <c r="G45" s="856"/>
      <c r="H45" s="456"/>
      <c r="I45" s="465">
        <f t="shared" ref="I45:I68" si="7">F45*H45</f>
        <v>0</v>
      </c>
      <c r="J45" s="820">
        <f>I47+I46+I45</f>
        <v>0</v>
      </c>
      <c r="K45" s="820"/>
    </row>
    <row r="46" spans="1:11" s="2" customFormat="1" ht="12.75" x14ac:dyDescent="0.2">
      <c r="A46" s="854"/>
      <c r="B46" s="823"/>
      <c r="C46" s="823"/>
      <c r="D46" s="465"/>
      <c r="E46" s="465"/>
      <c r="F46" s="465">
        <f t="shared" si="6"/>
        <v>0</v>
      </c>
      <c r="G46" s="856"/>
      <c r="H46" s="456"/>
      <c r="I46" s="465">
        <f t="shared" si="7"/>
        <v>0</v>
      </c>
      <c r="J46" s="820"/>
      <c r="K46" s="820"/>
    </row>
    <row r="47" spans="1:11" s="2" customFormat="1" ht="12.75" x14ac:dyDescent="0.2">
      <c r="A47" s="854"/>
      <c r="B47" s="823"/>
      <c r="C47" s="823"/>
      <c r="D47" s="465"/>
      <c r="E47" s="465"/>
      <c r="F47" s="465">
        <f t="shared" si="6"/>
        <v>0</v>
      </c>
      <c r="G47" s="856"/>
      <c r="H47" s="456"/>
      <c r="I47" s="465">
        <f t="shared" si="7"/>
        <v>0</v>
      </c>
      <c r="J47" s="820"/>
      <c r="K47" s="820"/>
    </row>
    <row r="48" spans="1:11" s="2" customFormat="1" ht="12.75" x14ac:dyDescent="0.2">
      <c r="A48" s="854"/>
      <c r="B48" s="823"/>
      <c r="C48" s="665" t="s">
        <v>523</v>
      </c>
      <c r="D48" s="465"/>
      <c r="E48" s="465"/>
      <c r="F48" s="465">
        <f t="shared" si="6"/>
        <v>0</v>
      </c>
      <c r="G48" s="856"/>
      <c r="H48" s="456"/>
      <c r="I48" s="465">
        <f t="shared" si="7"/>
        <v>0</v>
      </c>
      <c r="J48" s="565">
        <f>I48</f>
        <v>0</v>
      </c>
      <c r="K48" s="820"/>
    </row>
    <row r="49" spans="1:14" s="2" customFormat="1" ht="12.75" x14ac:dyDescent="0.2">
      <c r="A49" s="854"/>
      <c r="B49" s="823"/>
      <c r="C49" s="665" t="s">
        <v>527</v>
      </c>
      <c r="D49" s="465"/>
      <c r="E49" s="465"/>
      <c r="F49" s="465">
        <f t="shared" si="6"/>
        <v>0</v>
      </c>
      <c r="G49" s="856"/>
      <c r="H49" s="456"/>
      <c r="I49" s="465">
        <f t="shared" si="7"/>
        <v>0</v>
      </c>
      <c r="J49" s="565">
        <f>I49</f>
        <v>0</v>
      </c>
      <c r="K49" s="820"/>
    </row>
    <row r="50" spans="1:14" s="2" customFormat="1" ht="12.75" x14ac:dyDescent="0.2">
      <c r="A50" s="854"/>
      <c r="B50" s="823"/>
      <c r="C50" s="665" t="s">
        <v>563</v>
      </c>
      <c r="D50" s="465"/>
      <c r="E50" s="465"/>
      <c r="F50" s="465">
        <f t="shared" si="6"/>
        <v>0</v>
      </c>
      <c r="G50" s="857"/>
      <c r="H50" s="456"/>
      <c r="I50" s="465">
        <f t="shared" si="7"/>
        <v>0</v>
      </c>
      <c r="J50" s="565">
        <f>I50</f>
        <v>0</v>
      </c>
      <c r="K50" s="820"/>
    </row>
    <row r="51" spans="1:14" s="2" customFormat="1" ht="12.75" x14ac:dyDescent="0.2">
      <c r="A51" s="854"/>
      <c r="B51" s="823" t="str">
        <f>B17</f>
        <v>Logi 1</v>
      </c>
      <c r="C51" s="492" t="s">
        <v>852</v>
      </c>
      <c r="D51" s="465">
        <v>1.2</v>
      </c>
      <c r="E51" s="465">
        <v>1.5</v>
      </c>
      <c r="F51" s="465">
        <f t="shared" si="6"/>
        <v>1.7999999999999998</v>
      </c>
      <c r="G51" s="465">
        <f>(2*D51)+(2*E51)</f>
        <v>5.4</v>
      </c>
      <c r="H51" s="456">
        <v>1</v>
      </c>
      <c r="I51" s="465">
        <f t="shared" si="7"/>
        <v>1.7999999999999998</v>
      </c>
      <c r="J51" s="845">
        <f>SUM(I51:I56)</f>
        <v>6.12</v>
      </c>
      <c r="K51" s="529">
        <f t="shared" ref="K51:K68" si="8">G51*H51</f>
        <v>5.4</v>
      </c>
      <c r="M51" s="2">
        <f t="shared" ref="M51:M62" si="9">K51*0.08</f>
        <v>0.43200000000000005</v>
      </c>
      <c r="N51" s="2">
        <f t="shared" ref="N51:N62" si="10">I51-M51</f>
        <v>1.3679999999999999</v>
      </c>
    </row>
    <row r="52" spans="1:14" s="2" customFormat="1" ht="12.75" x14ac:dyDescent="0.2">
      <c r="A52" s="854"/>
      <c r="B52" s="823"/>
      <c r="C52" s="492" t="s">
        <v>853</v>
      </c>
      <c r="D52" s="465">
        <v>0.6</v>
      </c>
      <c r="E52" s="465">
        <v>1.6</v>
      </c>
      <c r="F52" s="465">
        <f t="shared" si="6"/>
        <v>0.96</v>
      </c>
      <c r="G52" s="465">
        <f t="shared" ref="G52:G68" si="11">(2*D52)+(2*E52)</f>
        <v>4.4000000000000004</v>
      </c>
      <c r="H52" s="456">
        <v>2</v>
      </c>
      <c r="I52" s="465">
        <f t="shared" si="7"/>
        <v>1.92</v>
      </c>
      <c r="J52" s="846"/>
      <c r="K52" s="529">
        <f t="shared" si="8"/>
        <v>8.8000000000000007</v>
      </c>
      <c r="M52" s="2">
        <f t="shared" si="9"/>
        <v>0.70400000000000007</v>
      </c>
      <c r="N52" s="2">
        <f t="shared" si="10"/>
        <v>1.2159999999999997</v>
      </c>
    </row>
    <row r="53" spans="1:14" s="2" customFormat="1" ht="12.75" x14ac:dyDescent="0.2">
      <c r="A53" s="854"/>
      <c r="B53" s="823"/>
      <c r="C53" s="492" t="s">
        <v>850</v>
      </c>
      <c r="D53" s="465">
        <v>1.5</v>
      </c>
      <c r="E53" s="465">
        <v>1.6</v>
      </c>
      <c r="F53" s="465">
        <f t="shared" si="6"/>
        <v>2.4000000000000004</v>
      </c>
      <c r="G53" s="465">
        <f t="shared" si="11"/>
        <v>6.2</v>
      </c>
      <c r="H53" s="456">
        <v>1</v>
      </c>
      <c r="I53" s="465">
        <f t="shared" si="7"/>
        <v>2.4000000000000004</v>
      </c>
      <c r="J53" s="846"/>
      <c r="K53" s="529">
        <f t="shared" si="8"/>
        <v>6.2</v>
      </c>
      <c r="M53" s="2">
        <f t="shared" si="9"/>
        <v>0.49600000000000005</v>
      </c>
      <c r="N53" s="2">
        <f t="shared" si="10"/>
        <v>1.9040000000000004</v>
      </c>
    </row>
    <row r="54" spans="1:14" s="2" customFormat="1" ht="12.75" x14ac:dyDescent="0.2">
      <c r="A54" s="854"/>
      <c r="B54" s="823"/>
      <c r="C54" s="492"/>
      <c r="D54" s="465"/>
      <c r="E54" s="465"/>
      <c r="F54" s="465">
        <f t="shared" si="6"/>
        <v>0</v>
      </c>
      <c r="G54" s="465">
        <f t="shared" si="11"/>
        <v>0</v>
      </c>
      <c r="H54" s="456"/>
      <c r="I54" s="465">
        <f t="shared" si="7"/>
        <v>0</v>
      </c>
      <c r="J54" s="846"/>
      <c r="K54" s="529">
        <f t="shared" si="8"/>
        <v>0</v>
      </c>
      <c r="M54" s="2">
        <f t="shared" si="9"/>
        <v>0</v>
      </c>
      <c r="N54" s="2">
        <f t="shared" si="10"/>
        <v>0</v>
      </c>
    </row>
    <row r="55" spans="1:14" s="2" customFormat="1" ht="12.75" x14ac:dyDescent="0.2">
      <c r="A55" s="854"/>
      <c r="B55" s="823"/>
      <c r="C55" s="492"/>
      <c r="D55" s="465"/>
      <c r="E55" s="465"/>
      <c r="F55" s="465">
        <f t="shared" si="6"/>
        <v>0</v>
      </c>
      <c r="G55" s="465">
        <f t="shared" si="11"/>
        <v>0</v>
      </c>
      <c r="H55" s="456"/>
      <c r="I55" s="465">
        <f t="shared" si="7"/>
        <v>0</v>
      </c>
      <c r="J55" s="846"/>
      <c r="K55" s="529">
        <f t="shared" si="8"/>
        <v>0</v>
      </c>
      <c r="M55" s="2">
        <f t="shared" si="9"/>
        <v>0</v>
      </c>
      <c r="N55" s="2">
        <f t="shared" si="10"/>
        <v>0</v>
      </c>
    </row>
    <row r="56" spans="1:14" s="2" customFormat="1" ht="12.75" x14ac:dyDescent="0.2">
      <c r="A56" s="854"/>
      <c r="B56" s="823"/>
      <c r="C56" s="492"/>
      <c r="D56" s="465"/>
      <c r="E56" s="465"/>
      <c r="F56" s="465">
        <f t="shared" si="6"/>
        <v>0</v>
      </c>
      <c r="G56" s="465">
        <f t="shared" si="11"/>
        <v>0</v>
      </c>
      <c r="H56" s="529"/>
      <c r="I56" s="465">
        <f t="shared" si="7"/>
        <v>0</v>
      </c>
      <c r="J56" s="847"/>
      <c r="K56" s="529">
        <f t="shared" si="8"/>
        <v>0</v>
      </c>
      <c r="M56" s="2">
        <f t="shared" si="9"/>
        <v>0</v>
      </c>
      <c r="N56" s="2">
        <f t="shared" si="10"/>
        <v>0</v>
      </c>
    </row>
    <row r="57" spans="1:14" s="2" customFormat="1" ht="12.75" x14ac:dyDescent="0.2">
      <c r="A57" s="854"/>
      <c r="B57" s="823" t="str">
        <f>B24</f>
        <v>Logi 2</v>
      </c>
      <c r="C57" s="492"/>
      <c r="D57" s="465"/>
      <c r="E57" s="465"/>
      <c r="F57" s="465">
        <f t="shared" si="6"/>
        <v>0</v>
      </c>
      <c r="G57" s="465">
        <f t="shared" si="11"/>
        <v>0</v>
      </c>
      <c r="H57" s="529"/>
      <c r="I57" s="465">
        <f t="shared" si="7"/>
        <v>0</v>
      </c>
      <c r="J57" s="845">
        <f>SUM(I57:I59)</f>
        <v>0</v>
      </c>
      <c r="K57" s="529">
        <f t="shared" si="8"/>
        <v>0</v>
      </c>
      <c r="M57" s="2">
        <f t="shared" si="9"/>
        <v>0</v>
      </c>
      <c r="N57" s="2">
        <f t="shared" si="10"/>
        <v>0</v>
      </c>
    </row>
    <row r="58" spans="1:14" s="2" customFormat="1" ht="12.75" x14ac:dyDescent="0.2">
      <c r="A58" s="854"/>
      <c r="B58" s="823"/>
      <c r="C58" s="492"/>
      <c r="D58" s="465"/>
      <c r="E58" s="465"/>
      <c r="F58" s="465">
        <f t="shared" si="6"/>
        <v>0</v>
      </c>
      <c r="G58" s="465">
        <f t="shared" si="11"/>
        <v>0</v>
      </c>
      <c r="H58" s="529"/>
      <c r="I58" s="465">
        <f t="shared" si="7"/>
        <v>0</v>
      </c>
      <c r="J58" s="846"/>
      <c r="K58" s="529">
        <f t="shared" si="8"/>
        <v>0</v>
      </c>
      <c r="M58" s="2">
        <f t="shared" si="9"/>
        <v>0</v>
      </c>
      <c r="N58" s="2">
        <f t="shared" si="10"/>
        <v>0</v>
      </c>
    </row>
    <row r="59" spans="1:14" s="2" customFormat="1" ht="12.75" x14ac:dyDescent="0.2">
      <c r="A59" s="854"/>
      <c r="B59" s="823"/>
      <c r="C59" s="492"/>
      <c r="D59" s="465"/>
      <c r="E59" s="465"/>
      <c r="F59" s="465">
        <f t="shared" si="6"/>
        <v>0</v>
      </c>
      <c r="G59" s="465">
        <f t="shared" si="11"/>
        <v>0</v>
      </c>
      <c r="H59" s="529"/>
      <c r="I59" s="465">
        <f t="shared" si="7"/>
        <v>0</v>
      </c>
      <c r="J59" s="847"/>
      <c r="K59" s="529">
        <f t="shared" si="8"/>
        <v>0</v>
      </c>
      <c r="M59" s="2">
        <f t="shared" si="9"/>
        <v>0</v>
      </c>
      <c r="N59" s="2">
        <f t="shared" si="10"/>
        <v>0</v>
      </c>
    </row>
    <row r="60" spans="1:14" s="2" customFormat="1" ht="12.75" x14ac:dyDescent="0.2">
      <c r="A60" s="854"/>
      <c r="B60" s="823" t="str">
        <f>B27</f>
        <v>Logi 3</v>
      </c>
      <c r="C60" s="492"/>
      <c r="D60" s="465"/>
      <c r="E60" s="465"/>
      <c r="F60" s="465">
        <f t="shared" si="6"/>
        <v>0</v>
      </c>
      <c r="G60" s="465">
        <f t="shared" si="11"/>
        <v>0</v>
      </c>
      <c r="H60" s="529"/>
      <c r="I60" s="465">
        <f t="shared" si="7"/>
        <v>0</v>
      </c>
      <c r="J60" s="846">
        <f>SUM(I60:I62)</f>
        <v>0</v>
      </c>
      <c r="K60" s="529">
        <f t="shared" si="8"/>
        <v>0</v>
      </c>
      <c r="M60" s="2">
        <f t="shared" si="9"/>
        <v>0</v>
      </c>
      <c r="N60" s="2">
        <f t="shared" si="10"/>
        <v>0</v>
      </c>
    </row>
    <row r="61" spans="1:14" s="2" customFormat="1" ht="12.75" x14ac:dyDescent="0.2">
      <c r="A61" s="854"/>
      <c r="B61" s="823"/>
      <c r="C61" s="492"/>
      <c r="D61" s="465"/>
      <c r="E61" s="465"/>
      <c r="F61" s="465">
        <f t="shared" si="6"/>
        <v>0</v>
      </c>
      <c r="G61" s="465">
        <f t="shared" si="11"/>
        <v>0</v>
      </c>
      <c r="H61" s="529"/>
      <c r="I61" s="465">
        <f t="shared" si="7"/>
        <v>0</v>
      </c>
      <c r="J61" s="846"/>
      <c r="K61" s="529">
        <f t="shared" si="8"/>
        <v>0</v>
      </c>
      <c r="M61" s="2">
        <f t="shared" si="9"/>
        <v>0</v>
      </c>
      <c r="N61" s="2">
        <f t="shared" si="10"/>
        <v>0</v>
      </c>
    </row>
    <row r="62" spans="1:14" s="2" customFormat="1" ht="12.75" x14ac:dyDescent="0.2">
      <c r="A62" s="854"/>
      <c r="B62" s="823"/>
      <c r="C62" s="492"/>
      <c r="D62" s="465"/>
      <c r="E62" s="465"/>
      <c r="F62" s="465">
        <f t="shared" si="6"/>
        <v>0</v>
      </c>
      <c r="G62" s="465">
        <f t="shared" si="11"/>
        <v>0</v>
      </c>
      <c r="H62" s="529"/>
      <c r="I62" s="465">
        <f t="shared" si="7"/>
        <v>0</v>
      </c>
      <c r="J62" s="847"/>
      <c r="K62" s="529">
        <f t="shared" si="8"/>
        <v>0</v>
      </c>
      <c r="M62" s="2">
        <f t="shared" si="9"/>
        <v>0</v>
      </c>
      <c r="N62" s="2">
        <f t="shared" si="10"/>
        <v>0</v>
      </c>
    </row>
    <row r="63" spans="1:14" s="2" customFormat="1" ht="12.75" x14ac:dyDescent="0.2">
      <c r="A63" s="854"/>
      <c r="B63" s="824" t="str">
        <f>B30</f>
        <v>Durvis, vārti 1</v>
      </c>
      <c r="C63" s="492" t="s">
        <v>851</v>
      </c>
      <c r="D63" s="465">
        <v>1.5</v>
      </c>
      <c r="E63" s="465">
        <v>2.4</v>
      </c>
      <c r="F63" s="465">
        <f t="shared" ref="F63:F68" si="12">D63*E63</f>
        <v>3.5999999999999996</v>
      </c>
      <c r="G63" s="465">
        <f t="shared" si="11"/>
        <v>7.8</v>
      </c>
      <c r="H63" s="456">
        <v>1</v>
      </c>
      <c r="I63" s="465">
        <f t="shared" si="7"/>
        <v>3.5999999999999996</v>
      </c>
      <c r="J63" s="845">
        <f>I63+I64</f>
        <v>3.5999999999999996</v>
      </c>
      <c r="K63" s="529">
        <f t="shared" si="8"/>
        <v>7.8</v>
      </c>
    </row>
    <row r="64" spans="1:14" s="2" customFormat="1" ht="12.75" x14ac:dyDescent="0.2">
      <c r="A64" s="854"/>
      <c r="B64" s="825"/>
      <c r="C64" s="492"/>
      <c r="D64" s="465"/>
      <c r="E64" s="465"/>
      <c r="F64" s="465">
        <f t="shared" si="12"/>
        <v>0</v>
      </c>
      <c r="G64" s="465">
        <f t="shared" si="11"/>
        <v>0</v>
      </c>
      <c r="H64" s="529"/>
      <c r="I64" s="465">
        <f t="shared" si="7"/>
        <v>0</v>
      </c>
      <c r="J64" s="847"/>
      <c r="K64" s="529">
        <f t="shared" si="8"/>
        <v>0</v>
      </c>
    </row>
    <row r="65" spans="1:15" s="2" customFormat="1" ht="12.75" x14ac:dyDescent="0.2">
      <c r="A65" s="854"/>
      <c r="B65" s="824" t="str">
        <f>B33</f>
        <v>Durvis, vārti 2</v>
      </c>
      <c r="C65" s="492"/>
      <c r="D65" s="465"/>
      <c r="E65" s="465"/>
      <c r="F65" s="465">
        <f t="shared" si="12"/>
        <v>0</v>
      </c>
      <c r="G65" s="465">
        <f t="shared" si="11"/>
        <v>0</v>
      </c>
      <c r="H65" s="529"/>
      <c r="I65" s="465">
        <f t="shared" si="7"/>
        <v>0</v>
      </c>
      <c r="J65" s="845">
        <f>I65+I66</f>
        <v>0</v>
      </c>
      <c r="K65" s="529">
        <f t="shared" si="8"/>
        <v>0</v>
      </c>
    </row>
    <row r="66" spans="1:15" s="2" customFormat="1" ht="12.75" x14ac:dyDescent="0.2">
      <c r="A66" s="854"/>
      <c r="B66" s="825"/>
      <c r="C66" s="492"/>
      <c r="D66" s="465"/>
      <c r="E66" s="465"/>
      <c r="F66" s="465">
        <f t="shared" si="12"/>
        <v>0</v>
      </c>
      <c r="G66" s="465">
        <f t="shared" si="11"/>
        <v>0</v>
      </c>
      <c r="H66" s="529"/>
      <c r="I66" s="465">
        <f t="shared" si="7"/>
        <v>0</v>
      </c>
      <c r="J66" s="847"/>
      <c r="K66" s="529">
        <f t="shared" si="8"/>
        <v>0</v>
      </c>
    </row>
    <row r="67" spans="1:15" s="2" customFormat="1" ht="12.75" x14ac:dyDescent="0.2">
      <c r="A67" s="854"/>
      <c r="B67" s="824" t="str">
        <f>B35</f>
        <v>Durvis, vārti 3</v>
      </c>
      <c r="C67" s="492"/>
      <c r="D67" s="465"/>
      <c r="E67" s="465"/>
      <c r="F67" s="465">
        <f t="shared" si="12"/>
        <v>0</v>
      </c>
      <c r="G67" s="465">
        <f t="shared" si="11"/>
        <v>0</v>
      </c>
      <c r="H67" s="529"/>
      <c r="I67" s="465">
        <f t="shared" si="7"/>
        <v>0</v>
      </c>
      <c r="J67" s="845">
        <f>I67+I68</f>
        <v>0</v>
      </c>
      <c r="K67" s="529">
        <f t="shared" si="8"/>
        <v>0</v>
      </c>
    </row>
    <row r="68" spans="1:15" s="2" customFormat="1" ht="12.75" x14ac:dyDescent="0.2">
      <c r="A68" s="854"/>
      <c r="B68" s="825"/>
      <c r="C68" s="492"/>
      <c r="D68" s="465"/>
      <c r="E68" s="465"/>
      <c r="F68" s="465">
        <f t="shared" si="12"/>
        <v>0</v>
      </c>
      <c r="G68" s="465">
        <f t="shared" si="11"/>
        <v>0</v>
      </c>
      <c r="H68" s="529"/>
      <c r="I68" s="465">
        <f t="shared" si="7"/>
        <v>0</v>
      </c>
      <c r="J68" s="847"/>
      <c r="K68" s="529">
        <f t="shared" si="8"/>
        <v>0</v>
      </c>
    </row>
    <row r="69" spans="1:15" s="2" customFormat="1" ht="12.75" x14ac:dyDescent="0.2">
      <c r="A69" s="854"/>
      <c r="B69" s="821" t="str">
        <f>B37</f>
        <v>Kopā siena (ar logiem un bez durvīm):</v>
      </c>
      <c r="C69" s="821"/>
      <c r="D69" s="821"/>
      <c r="E69" s="821"/>
      <c r="F69" s="821"/>
      <c r="G69" s="821"/>
      <c r="H69" s="820" t="str">
        <f>C41</f>
        <v>Siena 1</v>
      </c>
      <c r="I69" s="820"/>
      <c r="J69" s="565">
        <f>J41-J63</f>
        <v>41.087499999999999</v>
      </c>
      <c r="K69" s="822"/>
    </row>
    <row r="70" spans="1:15" s="2" customFormat="1" ht="12.75" x14ac:dyDescent="0.2">
      <c r="A70" s="854"/>
      <c r="B70" s="821"/>
      <c r="C70" s="821"/>
      <c r="D70" s="821"/>
      <c r="E70" s="821"/>
      <c r="F70" s="821"/>
      <c r="G70" s="821"/>
      <c r="H70" s="823" t="str">
        <f>C45</f>
        <v>Siena 2</v>
      </c>
      <c r="I70" s="823"/>
      <c r="J70" s="565">
        <f>J45-J65</f>
        <v>0</v>
      </c>
      <c r="K70" s="822"/>
    </row>
    <row r="71" spans="1:15" s="2" customFormat="1" ht="12.75" x14ac:dyDescent="0.2">
      <c r="A71" s="854"/>
      <c r="B71" s="821"/>
      <c r="C71" s="821"/>
      <c r="D71" s="821"/>
      <c r="E71" s="821"/>
      <c r="F71" s="821"/>
      <c r="G71" s="821"/>
      <c r="H71" s="822" t="str">
        <f>C48</f>
        <v>Siena 3</v>
      </c>
      <c r="I71" s="822"/>
      <c r="J71" s="565">
        <f>J48-J67</f>
        <v>0</v>
      </c>
      <c r="K71" s="822"/>
    </row>
    <row r="72" spans="1:15" s="2" customFormat="1" ht="12.75" x14ac:dyDescent="0.2">
      <c r="A72" s="854" t="s">
        <v>46</v>
      </c>
      <c r="B72" s="823" t="s">
        <v>251</v>
      </c>
      <c r="C72" s="843" t="s">
        <v>520</v>
      </c>
      <c r="D72" s="465">
        <f>7.75+0.6</f>
        <v>8.35</v>
      </c>
      <c r="E72" s="465">
        <v>3.25</v>
      </c>
      <c r="F72" s="465">
        <f t="shared" ref="F72:F106" si="13">D72*E72</f>
        <v>27.137499999999999</v>
      </c>
      <c r="G72" s="822"/>
      <c r="H72" s="456">
        <v>1</v>
      </c>
      <c r="I72" s="465">
        <f>F72*H72</f>
        <v>27.137499999999999</v>
      </c>
      <c r="J72" s="820">
        <f>I72+I73+I74+I75</f>
        <v>27.137499999999999</v>
      </c>
      <c r="K72" s="820"/>
    </row>
    <row r="73" spans="1:15" s="2" customFormat="1" ht="12.75" x14ac:dyDescent="0.2">
      <c r="A73" s="854"/>
      <c r="B73" s="823"/>
      <c r="C73" s="843"/>
      <c r="D73" s="465"/>
      <c r="E73" s="465"/>
      <c r="F73" s="465">
        <f t="shared" si="13"/>
        <v>0</v>
      </c>
      <c r="G73" s="822"/>
      <c r="H73" s="456"/>
      <c r="I73" s="465">
        <f>F73*H73</f>
        <v>0</v>
      </c>
      <c r="J73" s="820"/>
      <c r="K73" s="820"/>
    </row>
    <row r="74" spans="1:15" s="2" customFormat="1" ht="12.75" x14ac:dyDescent="0.2">
      <c r="A74" s="854"/>
      <c r="B74" s="823"/>
      <c r="C74" s="843"/>
      <c r="D74" s="465"/>
      <c r="E74" s="465"/>
      <c r="F74" s="465">
        <f t="shared" si="13"/>
        <v>0</v>
      </c>
      <c r="G74" s="822"/>
      <c r="H74" s="456"/>
      <c r="I74" s="465">
        <f>F74*H74</f>
        <v>0</v>
      </c>
      <c r="J74" s="820"/>
      <c r="K74" s="820"/>
    </row>
    <row r="75" spans="1:15" s="2" customFormat="1" ht="12.75" x14ac:dyDescent="0.2">
      <c r="A75" s="854"/>
      <c r="B75" s="823"/>
      <c r="C75" s="843"/>
      <c r="D75" s="465"/>
      <c r="E75" s="465"/>
      <c r="F75" s="465">
        <f t="shared" si="13"/>
        <v>0</v>
      </c>
      <c r="G75" s="822"/>
      <c r="H75" s="456"/>
      <c r="I75" s="465">
        <f>F75*H75</f>
        <v>0</v>
      </c>
      <c r="J75" s="820"/>
      <c r="K75" s="820"/>
    </row>
    <row r="76" spans="1:15" s="2" customFormat="1" ht="12.75" x14ac:dyDescent="0.2">
      <c r="A76" s="854"/>
      <c r="B76" s="823"/>
      <c r="C76" s="823" t="s">
        <v>356</v>
      </c>
      <c r="D76" s="465"/>
      <c r="E76" s="465"/>
      <c r="F76" s="465">
        <f t="shared" si="13"/>
        <v>0</v>
      </c>
      <c r="G76" s="822"/>
      <c r="H76" s="456"/>
      <c r="I76" s="465">
        <f t="shared" ref="I76:I106" si="14">F76*H76</f>
        <v>0</v>
      </c>
      <c r="J76" s="820">
        <f>I76+I77</f>
        <v>0</v>
      </c>
      <c r="K76" s="820"/>
    </row>
    <row r="77" spans="1:15" s="2" customFormat="1" ht="12.75" x14ac:dyDescent="0.2">
      <c r="A77" s="854"/>
      <c r="B77" s="823"/>
      <c r="C77" s="823"/>
      <c r="D77" s="465"/>
      <c r="E77" s="465"/>
      <c r="F77" s="465">
        <f t="shared" si="13"/>
        <v>0</v>
      </c>
      <c r="G77" s="822"/>
      <c r="H77" s="456"/>
      <c r="I77" s="465">
        <f t="shared" si="14"/>
        <v>0</v>
      </c>
      <c r="J77" s="820"/>
      <c r="K77" s="820"/>
      <c r="M77" s="433"/>
    </row>
    <row r="78" spans="1:15" s="2" customFormat="1" ht="13.9" customHeight="1" x14ac:dyDescent="0.2">
      <c r="A78" s="854"/>
      <c r="B78" s="823"/>
      <c r="C78" s="665" t="s">
        <v>523</v>
      </c>
      <c r="D78" s="465"/>
      <c r="E78" s="465"/>
      <c r="F78" s="465">
        <f t="shared" si="13"/>
        <v>0</v>
      </c>
      <c r="G78" s="822"/>
      <c r="H78" s="456"/>
      <c r="I78" s="465">
        <f t="shared" si="14"/>
        <v>0</v>
      </c>
      <c r="J78" s="565">
        <f>I78</f>
        <v>0</v>
      </c>
      <c r="K78" s="820"/>
      <c r="O78" s="433"/>
    </row>
    <row r="79" spans="1:15" s="2" customFormat="1" ht="12.75" customHeight="1" x14ac:dyDescent="0.2">
      <c r="A79" s="854"/>
      <c r="B79" s="823"/>
      <c r="C79" s="665" t="s">
        <v>527</v>
      </c>
      <c r="D79" s="465"/>
      <c r="E79" s="465"/>
      <c r="F79" s="465">
        <f t="shared" si="13"/>
        <v>0</v>
      </c>
      <c r="G79" s="822"/>
      <c r="H79" s="456"/>
      <c r="I79" s="465">
        <f t="shared" si="14"/>
        <v>0</v>
      </c>
      <c r="J79" s="565">
        <f>I79</f>
        <v>0</v>
      </c>
      <c r="K79" s="820"/>
    </row>
    <row r="80" spans="1:15" s="2" customFormat="1" ht="12.75" x14ac:dyDescent="0.2">
      <c r="A80" s="854"/>
      <c r="B80" s="824" t="str">
        <f>B51</f>
        <v>Logi 1</v>
      </c>
      <c r="C80" s="492" t="s">
        <v>854</v>
      </c>
      <c r="D80" s="465">
        <v>2.5</v>
      </c>
      <c r="E80" s="465">
        <v>2.4</v>
      </c>
      <c r="F80" s="465">
        <f t="shared" si="13"/>
        <v>6</v>
      </c>
      <c r="G80" s="465">
        <f>(2*D80)+(2*E80)</f>
        <v>9.8000000000000007</v>
      </c>
      <c r="H80" s="456">
        <v>1</v>
      </c>
      <c r="I80" s="465">
        <f t="shared" si="14"/>
        <v>6</v>
      </c>
      <c r="J80" s="845">
        <f>SUM(I80:I85)</f>
        <v>6</v>
      </c>
      <c r="K80" s="529">
        <f t="shared" ref="K80:K106" si="15">G80*H80</f>
        <v>9.8000000000000007</v>
      </c>
      <c r="M80" s="2">
        <f t="shared" ref="M80:M97" si="16">K80*0.08</f>
        <v>0.78400000000000003</v>
      </c>
      <c r="N80" s="2">
        <f t="shared" ref="N80:N97" si="17">I80-M80</f>
        <v>5.2160000000000002</v>
      </c>
    </row>
    <row r="81" spans="1:14" s="2" customFormat="1" ht="12.75" customHeight="1" x14ac:dyDescent="0.2">
      <c r="A81" s="854"/>
      <c r="B81" s="831"/>
      <c r="C81" s="492"/>
      <c r="D81" s="465"/>
      <c r="E81" s="465"/>
      <c r="F81" s="465">
        <f>D81*E81</f>
        <v>0</v>
      </c>
      <c r="G81" s="465">
        <f>(2*D81)+(2*E81)</f>
        <v>0</v>
      </c>
      <c r="H81" s="456"/>
      <c r="I81" s="465">
        <f t="shared" si="14"/>
        <v>0</v>
      </c>
      <c r="J81" s="846"/>
      <c r="K81" s="529">
        <f t="shared" si="15"/>
        <v>0</v>
      </c>
      <c r="M81" s="2">
        <f t="shared" si="16"/>
        <v>0</v>
      </c>
      <c r="N81" s="2">
        <f t="shared" si="17"/>
        <v>0</v>
      </c>
    </row>
    <row r="82" spans="1:14" s="2" customFormat="1" ht="12.75" customHeight="1" x14ac:dyDescent="0.2">
      <c r="A82" s="854"/>
      <c r="B82" s="831"/>
      <c r="C82" s="492"/>
      <c r="D82" s="465"/>
      <c r="E82" s="465"/>
      <c r="F82" s="465">
        <f>D82*E82</f>
        <v>0</v>
      </c>
      <c r="G82" s="465">
        <f>(2*D82)+(2*E82)</f>
        <v>0</v>
      </c>
      <c r="H82" s="456"/>
      <c r="I82" s="465">
        <f t="shared" si="14"/>
        <v>0</v>
      </c>
      <c r="J82" s="846"/>
      <c r="K82" s="529">
        <f t="shared" si="15"/>
        <v>0</v>
      </c>
      <c r="M82" s="2">
        <f t="shared" si="16"/>
        <v>0</v>
      </c>
      <c r="N82" s="2">
        <f t="shared" si="17"/>
        <v>0</v>
      </c>
    </row>
    <row r="83" spans="1:14" s="2" customFormat="1" ht="12.75" customHeight="1" x14ac:dyDescent="0.2">
      <c r="A83" s="854"/>
      <c r="B83" s="831"/>
      <c r="C83" s="492"/>
      <c r="D83" s="465"/>
      <c r="E83" s="465"/>
      <c r="F83" s="465">
        <f>D83*E83</f>
        <v>0</v>
      </c>
      <c r="G83" s="465">
        <f>(2*D83)+(2*E83)</f>
        <v>0</v>
      </c>
      <c r="H83" s="456"/>
      <c r="I83" s="465">
        <f t="shared" si="14"/>
        <v>0</v>
      </c>
      <c r="J83" s="846"/>
      <c r="K83" s="529">
        <f>G83*H83</f>
        <v>0</v>
      </c>
      <c r="M83" s="2">
        <f t="shared" si="16"/>
        <v>0</v>
      </c>
      <c r="N83" s="2">
        <f t="shared" si="17"/>
        <v>0</v>
      </c>
    </row>
    <row r="84" spans="1:14" s="2" customFormat="1" ht="12.75" customHeight="1" x14ac:dyDescent="0.2">
      <c r="A84" s="854"/>
      <c r="B84" s="831"/>
      <c r="C84" s="492"/>
      <c r="D84" s="465"/>
      <c r="E84" s="465"/>
      <c r="F84" s="465">
        <f>D84*E84</f>
        <v>0</v>
      </c>
      <c r="G84" s="465">
        <f>(2*D84)+(2*E84)</f>
        <v>0</v>
      </c>
      <c r="H84" s="456"/>
      <c r="I84" s="465">
        <f t="shared" si="14"/>
        <v>0</v>
      </c>
      <c r="J84" s="846"/>
      <c r="K84" s="529">
        <f t="shared" si="15"/>
        <v>0</v>
      </c>
      <c r="M84" s="2">
        <f t="shared" si="16"/>
        <v>0</v>
      </c>
      <c r="N84" s="2">
        <f t="shared" si="17"/>
        <v>0</v>
      </c>
    </row>
    <row r="85" spans="1:14" s="2" customFormat="1" ht="12.75" x14ac:dyDescent="0.2">
      <c r="A85" s="854"/>
      <c r="B85" s="825"/>
      <c r="C85" s="492"/>
      <c r="D85" s="465"/>
      <c r="E85" s="465"/>
      <c r="F85" s="465">
        <f t="shared" si="13"/>
        <v>0</v>
      </c>
      <c r="G85" s="465">
        <f t="shared" ref="G85:G106" si="18">(2*D85)+(2*E85)</f>
        <v>0</v>
      </c>
      <c r="H85" s="529"/>
      <c r="I85" s="465">
        <f t="shared" si="14"/>
        <v>0</v>
      </c>
      <c r="J85" s="847"/>
      <c r="K85" s="529">
        <f t="shared" si="15"/>
        <v>0</v>
      </c>
      <c r="M85" s="2">
        <f t="shared" si="16"/>
        <v>0</v>
      </c>
      <c r="N85" s="2">
        <f t="shared" si="17"/>
        <v>0</v>
      </c>
    </row>
    <row r="86" spans="1:14" s="2" customFormat="1" ht="12.75" x14ac:dyDescent="0.2">
      <c r="A86" s="854"/>
      <c r="B86" s="824" t="str">
        <f>B57</f>
        <v>Logi 2</v>
      </c>
      <c r="C86" s="492"/>
      <c r="D86" s="465"/>
      <c r="E86" s="465"/>
      <c r="F86" s="465">
        <f t="shared" si="13"/>
        <v>0</v>
      </c>
      <c r="G86" s="465">
        <f t="shared" si="18"/>
        <v>0</v>
      </c>
      <c r="H86" s="456"/>
      <c r="I86" s="465">
        <f t="shared" si="14"/>
        <v>0</v>
      </c>
      <c r="J86" s="845">
        <f>SUM(I86:I91)</f>
        <v>0</v>
      </c>
      <c r="K86" s="529">
        <f t="shared" si="15"/>
        <v>0</v>
      </c>
      <c r="M86" s="2">
        <f t="shared" si="16"/>
        <v>0</v>
      </c>
      <c r="N86" s="2">
        <f t="shared" si="17"/>
        <v>0</v>
      </c>
    </row>
    <row r="87" spans="1:14" s="2" customFormat="1" ht="12.75" customHeight="1" x14ac:dyDescent="0.2">
      <c r="A87" s="854"/>
      <c r="B87" s="831"/>
      <c r="C87" s="492"/>
      <c r="D87" s="465"/>
      <c r="E87" s="465"/>
      <c r="F87" s="465">
        <f t="shared" si="13"/>
        <v>0</v>
      </c>
      <c r="G87" s="465">
        <f t="shared" si="18"/>
        <v>0</v>
      </c>
      <c r="H87" s="456"/>
      <c r="I87" s="465">
        <f t="shared" si="14"/>
        <v>0</v>
      </c>
      <c r="J87" s="846"/>
      <c r="K87" s="529">
        <f t="shared" si="15"/>
        <v>0</v>
      </c>
      <c r="M87" s="2">
        <f t="shared" si="16"/>
        <v>0</v>
      </c>
      <c r="N87" s="2">
        <f t="shared" si="17"/>
        <v>0</v>
      </c>
    </row>
    <row r="88" spans="1:14" s="2" customFormat="1" ht="12.75" customHeight="1" x14ac:dyDescent="0.2">
      <c r="A88" s="854"/>
      <c r="B88" s="831"/>
      <c r="C88" s="492"/>
      <c r="D88" s="465"/>
      <c r="E88" s="465"/>
      <c r="F88" s="465">
        <f t="shared" si="13"/>
        <v>0</v>
      </c>
      <c r="G88" s="465">
        <f t="shared" si="18"/>
        <v>0</v>
      </c>
      <c r="H88" s="456"/>
      <c r="I88" s="465">
        <f t="shared" si="14"/>
        <v>0</v>
      </c>
      <c r="J88" s="846"/>
      <c r="K88" s="529">
        <f t="shared" si="15"/>
        <v>0</v>
      </c>
      <c r="M88" s="2">
        <f t="shared" si="16"/>
        <v>0</v>
      </c>
      <c r="N88" s="2">
        <f t="shared" si="17"/>
        <v>0</v>
      </c>
    </row>
    <row r="89" spans="1:14" s="2" customFormat="1" ht="12.75" customHeight="1" x14ac:dyDescent="0.2">
      <c r="A89" s="854"/>
      <c r="B89" s="831"/>
      <c r="C89" s="492"/>
      <c r="D89" s="465"/>
      <c r="E89" s="465"/>
      <c r="F89" s="465">
        <f t="shared" si="13"/>
        <v>0</v>
      </c>
      <c r="G89" s="465">
        <f t="shared" si="18"/>
        <v>0</v>
      </c>
      <c r="H89" s="456"/>
      <c r="I89" s="465">
        <f t="shared" si="14"/>
        <v>0</v>
      </c>
      <c r="J89" s="846"/>
      <c r="K89" s="529">
        <f t="shared" si="15"/>
        <v>0</v>
      </c>
      <c r="M89" s="2">
        <f t="shared" si="16"/>
        <v>0</v>
      </c>
      <c r="N89" s="2">
        <f t="shared" si="17"/>
        <v>0</v>
      </c>
    </row>
    <row r="90" spans="1:14" s="2" customFormat="1" ht="12.75" customHeight="1" x14ac:dyDescent="0.2">
      <c r="A90" s="854"/>
      <c r="B90" s="831"/>
      <c r="C90" s="492"/>
      <c r="D90" s="465"/>
      <c r="E90" s="465"/>
      <c r="F90" s="465">
        <f t="shared" si="13"/>
        <v>0</v>
      </c>
      <c r="G90" s="465">
        <f t="shared" si="18"/>
        <v>0</v>
      </c>
      <c r="H90" s="456"/>
      <c r="I90" s="465">
        <f t="shared" si="14"/>
        <v>0</v>
      </c>
      <c r="J90" s="846"/>
      <c r="K90" s="529">
        <f t="shared" si="15"/>
        <v>0</v>
      </c>
      <c r="M90" s="2">
        <f t="shared" si="16"/>
        <v>0</v>
      </c>
      <c r="N90" s="2">
        <f t="shared" si="17"/>
        <v>0</v>
      </c>
    </row>
    <row r="91" spans="1:14" s="2" customFormat="1" ht="12.75" x14ac:dyDescent="0.2">
      <c r="A91" s="854"/>
      <c r="B91" s="825"/>
      <c r="C91" s="492"/>
      <c r="D91" s="465"/>
      <c r="E91" s="465"/>
      <c r="F91" s="465">
        <f t="shared" si="13"/>
        <v>0</v>
      </c>
      <c r="G91" s="465">
        <f t="shared" si="18"/>
        <v>0</v>
      </c>
      <c r="H91" s="456"/>
      <c r="I91" s="465">
        <f t="shared" si="14"/>
        <v>0</v>
      </c>
      <c r="J91" s="847"/>
      <c r="K91" s="529">
        <f t="shared" si="15"/>
        <v>0</v>
      </c>
      <c r="M91" s="2">
        <f t="shared" si="16"/>
        <v>0</v>
      </c>
      <c r="N91" s="2">
        <f t="shared" si="17"/>
        <v>0</v>
      </c>
    </row>
    <row r="92" spans="1:14" s="2" customFormat="1" ht="12.75" x14ac:dyDescent="0.2">
      <c r="A92" s="854"/>
      <c r="B92" s="824" t="s">
        <v>705</v>
      </c>
      <c r="C92" s="492"/>
      <c r="D92" s="465"/>
      <c r="E92" s="465"/>
      <c r="F92" s="465">
        <f t="shared" si="13"/>
        <v>0</v>
      </c>
      <c r="G92" s="465">
        <f t="shared" si="18"/>
        <v>0</v>
      </c>
      <c r="H92" s="456"/>
      <c r="I92" s="465">
        <f t="shared" si="14"/>
        <v>0</v>
      </c>
      <c r="J92" s="845">
        <f>SUM(I92:I97)</f>
        <v>0</v>
      </c>
      <c r="K92" s="529">
        <f t="shared" si="15"/>
        <v>0</v>
      </c>
      <c r="M92" s="2">
        <f t="shared" si="16"/>
        <v>0</v>
      </c>
      <c r="N92" s="2">
        <f t="shared" si="17"/>
        <v>0</v>
      </c>
    </row>
    <row r="93" spans="1:14" s="2" customFormat="1" ht="12.75" customHeight="1" x14ac:dyDescent="0.2">
      <c r="A93" s="854"/>
      <c r="B93" s="831"/>
      <c r="C93" s="492"/>
      <c r="D93" s="465"/>
      <c r="E93" s="465"/>
      <c r="F93" s="465">
        <f t="shared" si="13"/>
        <v>0</v>
      </c>
      <c r="G93" s="465">
        <f t="shared" si="18"/>
        <v>0</v>
      </c>
      <c r="H93" s="456"/>
      <c r="I93" s="465">
        <f t="shared" si="14"/>
        <v>0</v>
      </c>
      <c r="J93" s="846"/>
      <c r="K93" s="529">
        <f t="shared" si="15"/>
        <v>0</v>
      </c>
      <c r="M93" s="2">
        <f t="shared" si="16"/>
        <v>0</v>
      </c>
      <c r="N93" s="2">
        <f t="shared" si="17"/>
        <v>0</v>
      </c>
    </row>
    <row r="94" spans="1:14" s="2" customFormat="1" ht="12.75" customHeight="1" x14ac:dyDescent="0.2">
      <c r="A94" s="854"/>
      <c r="B94" s="831"/>
      <c r="C94" s="492"/>
      <c r="D94" s="465"/>
      <c r="E94" s="465"/>
      <c r="F94" s="465">
        <f t="shared" si="13"/>
        <v>0</v>
      </c>
      <c r="G94" s="465">
        <f t="shared" si="18"/>
        <v>0</v>
      </c>
      <c r="H94" s="456"/>
      <c r="I94" s="465">
        <f t="shared" si="14"/>
        <v>0</v>
      </c>
      <c r="J94" s="846"/>
      <c r="K94" s="529">
        <f t="shared" si="15"/>
        <v>0</v>
      </c>
      <c r="M94" s="2">
        <f t="shared" si="16"/>
        <v>0</v>
      </c>
      <c r="N94" s="2">
        <f t="shared" si="17"/>
        <v>0</v>
      </c>
    </row>
    <row r="95" spans="1:14" s="2" customFormat="1" ht="12.75" customHeight="1" x14ac:dyDescent="0.2">
      <c r="A95" s="854"/>
      <c r="B95" s="831"/>
      <c r="C95" s="492"/>
      <c r="D95" s="465"/>
      <c r="E95" s="465"/>
      <c r="F95" s="465">
        <f t="shared" si="13"/>
        <v>0</v>
      </c>
      <c r="G95" s="465">
        <f t="shared" si="18"/>
        <v>0</v>
      </c>
      <c r="H95" s="456"/>
      <c r="I95" s="465">
        <f t="shared" si="14"/>
        <v>0</v>
      </c>
      <c r="J95" s="846"/>
      <c r="K95" s="529">
        <f t="shared" si="15"/>
        <v>0</v>
      </c>
      <c r="M95" s="2">
        <f t="shared" si="16"/>
        <v>0</v>
      </c>
      <c r="N95" s="2">
        <f t="shared" si="17"/>
        <v>0</v>
      </c>
    </row>
    <row r="96" spans="1:14" s="2" customFormat="1" ht="12.75" customHeight="1" x14ac:dyDescent="0.2">
      <c r="A96" s="854"/>
      <c r="B96" s="831"/>
      <c r="C96" s="492"/>
      <c r="D96" s="465"/>
      <c r="E96" s="465"/>
      <c r="F96" s="465">
        <f t="shared" si="13"/>
        <v>0</v>
      </c>
      <c r="G96" s="465">
        <f t="shared" si="18"/>
        <v>0</v>
      </c>
      <c r="H96" s="456"/>
      <c r="I96" s="465">
        <f t="shared" si="14"/>
        <v>0</v>
      </c>
      <c r="J96" s="846"/>
      <c r="K96" s="529">
        <f t="shared" si="15"/>
        <v>0</v>
      </c>
      <c r="M96" s="2">
        <f t="shared" si="16"/>
        <v>0</v>
      </c>
      <c r="N96" s="2">
        <f t="shared" si="17"/>
        <v>0</v>
      </c>
    </row>
    <row r="97" spans="1:14" s="2" customFormat="1" ht="12.75" x14ac:dyDescent="0.2">
      <c r="A97" s="854"/>
      <c r="B97" s="825"/>
      <c r="C97" s="492"/>
      <c r="D97" s="465"/>
      <c r="E97" s="465"/>
      <c r="F97" s="465">
        <f t="shared" si="13"/>
        <v>0</v>
      </c>
      <c r="G97" s="465">
        <f t="shared" si="18"/>
        <v>0</v>
      </c>
      <c r="H97" s="456"/>
      <c r="I97" s="465">
        <f t="shared" si="14"/>
        <v>0</v>
      </c>
      <c r="J97" s="847"/>
      <c r="K97" s="529">
        <f t="shared" si="15"/>
        <v>0</v>
      </c>
      <c r="M97" s="2">
        <f t="shared" si="16"/>
        <v>0</v>
      </c>
      <c r="N97" s="2">
        <f t="shared" si="17"/>
        <v>0</v>
      </c>
    </row>
    <row r="98" spans="1:14" s="2" customFormat="1" ht="12.75" x14ac:dyDescent="0.2">
      <c r="A98" s="854"/>
      <c r="B98" s="823" t="str">
        <f>B63</f>
        <v>Durvis, vārti 1</v>
      </c>
      <c r="C98" s="492"/>
      <c r="D98" s="465"/>
      <c r="E98" s="465"/>
      <c r="F98" s="465">
        <f>D98*E98</f>
        <v>0</v>
      </c>
      <c r="G98" s="465">
        <f>(2*D98)+(2*E98)</f>
        <v>0</v>
      </c>
      <c r="H98" s="456"/>
      <c r="I98" s="465">
        <f t="shared" si="14"/>
        <v>0</v>
      </c>
      <c r="J98" s="820">
        <f>SUM(I98:I100)</f>
        <v>0</v>
      </c>
      <c r="K98" s="529">
        <f t="shared" si="15"/>
        <v>0</v>
      </c>
    </row>
    <row r="99" spans="1:14" s="2" customFormat="1" ht="12.75" x14ac:dyDescent="0.2">
      <c r="A99" s="854"/>
      <c r="B99" s="823"/>
      <c r="C99" s="492"/>
      <c r="D99" s="465"/>
      <c r="E99" s="465"/>
      <c r="F99" s="465">
        <f>D99*E99</f>
        <v>0</v>
      </c>
      <c r="G99" s="465">
        <f>(2*D99)+(2*E99)</f>
        <v>0</v>
      </c>
      <c r="H99" s="456"/>
      <c r="I99" s="465">
        <f t="shared" si="14"/>
        <v>0</v>
      </c>
      <c r="J99" s="820"/>
      <c r="K99" s="529">
        <f t="shared" si="15"/>
        <v>0</v>
      </c>
    </row>
    <row r="100" spans="1:14" s="2" customFormat="1" ht="12.75" x14ac:dyDescent="0.2">
      <c r="A100" s="854"/>
      <c r="B100" s="823"/>
      <c r="C100" s="492"/>
      <c r="D100" s="465"/>
      <c r="E100" s="465"/>
      <c r="F100" s="465">
        <f t="shared" si="13"/>
        <v>0</v>
      </c>
      <c r="G100" s="465">
        <f t="shared" si="18"/>
        <v>0</v>
      </c>
      <c r="H100" s="456"/>
      <c r="I100" s="465">
        <f t="shared" si="14"/>
        <v>0</v>
      </c>
      <c r="J100" s="820"/>
      <c r="K100" s="529">
        <f t="shared" si="15"/>
        <v>0</v>
      </c>
    </row>
    <row r="101" spans="1:14" s="2" customFormat="1" ht="12.75" x14ac:dyDescent="0.2">
      <c r="A101" s="854"/>
      <c r="B101" s="823" t="str">
        <f>B65</f>
        <v>Durvis, vārti 2</v>
      </c>
      <c r="C101" s="492"/>
      <c r="D101" s="465"/>
      <c r="E101" s="465"/>
      <c r="F101" s="465">
        <f t="shared" si="13"/>
        <v>0</v>
      </c>
      <c r="G101" s="465">
        <f t="shared" si="18"/>
        <v>0</v>
      </c>
      <c r="H101" s="456"/>
      <c r="I101" s="465">
        <f t="shared" si="14"/>
        <v>0</v>
      </c>
      <c r="J101" s="820">
        <f>SUM(I101:I103)</f>
        <v>0</v>
      </c>
      <c r="K101" s="529">
        <f t="shared" si="15"/>
        <v>0</v>
      </c>
    </row>
    <row r="102" spans="1:14" s="2" customFormat="1" ht="12.75" x14ac:dyDescent="0.2">
      <c r="A102" s="854"/>
      <c r="B102" s="823"/>
      <c r="C102" s="492"/>
      <c r="D102" s="465"/>
      <c r="E102" s="465"/>
      <c r="F102" s="465">
        <f t="shared" si="13"/>
        <v>0</v>
      </c>
      <c r="G102" s="465">
        <f t="shared" si="18"/>
        <v>0</v>
      </c>
      <c r="H102" s="456"/>
      <c r="I102" s="465">
        <f t="shared" si="14"/>
        <v>0</v>
      </c>
      <c r="J102" s="820"/>
      <c r="K102" s="529">
        <f t="shared" si="15"/>
        <v>0</v>
      </c>
    </row>
    <row r="103" spans="1:14" s="2" customFormat="1" ht="12.75" x14ac:dyDescent="0.2">
      <c r="A103" s="854"/>
      <c r="B103" s="823"/>
      <c r="C103" s="492"/>
      <c r="D103" s="465"/>
      <c r="E103" s="465"/>
      <c r="F103" s="465">
        <f t="shared" si="13"/>
        <v>0</v>
      </c>
      <c r="G103" s="465">
        <f t="shared" si="18"/>
        <v>0</v>
      </c>
      <c r="H103" s="456"/>
      <c r="I103" s="465">
        <f t="shared" si="14"/>
        <v>0</v>
      </c>
      <c r="J103" s="820"/>
      <c r="K103" s="529">
        <f t="shared" si="15"/>
        <v>0</v>
      </c>
    </row>
    <row r="104" spans="1:14" s="2" customFormat="1" ht="12.75" x14ac:dyDescent="0.2">
      <c r="A104" s="854"/>
      <c r="B104" s="823" t="s">
        <v>706</v>
      </c>
      <c r="C104" s="492"/>
      <c r="D104" s="465"/>
      <c r="E104" s="465"/>
      <c r="F104" s="465">
        <f t="shared" si="13"/>
        <v>0</v>
      </c>
      <c r="G104" s="465">
        <f t="shared" si="18"/>
        <v>0</v>
      </c>
      <c r="H104" s="456"/>
      <c r="I104" s="465">
        <f t="shared" si="14"/>
        <v>0</v>
      </c>
      <c r="J104" s="820">
        <f>SUM(I104:I106)</f>
        <v>0</v>
      </c>
      <c r="K104" s="529">
        <f t="shared" si="15"/>
        <v>0</v>
      </c>
    </row>
    <row r="105" spans="1:14" s="2" customFormat="1" ht="12.75" x14ac:dyDescent="0.2">
      <c r="A105" s="854"/>
      <c r="B105" s="823"/>
      <c r="C105" s="492"/>
      <c r="D105" s="465"/>
      <c r="E105" s="465"/>
      <c r="F105" s="465">
        <f t="shared" si="13"/>
        <v>0</v>
      </c>
      <c r="G105" s="465">
        <f t="shared" si="18"/>
        <v>0</v>
      </c>
      <c r="H105" s="456"/>
      <c r="I105" s="465">
        <f t="shared" si="14"/>
        <v>0</v>
      </c>
      <c r="J105" s="820"/>
      <c r="K105" s="529">
        <f t="shared" si="15"/>
        <v>0</v>
      </c>
    </row>
    <row r="106" spans="1:14" s="2" customFormat="1" ht="12.75" x14ac:dyDescent="0.2">
      <c r="A106" s="854"/>
      <c r="B106" s="823"/>
      <c r="C106" s="492"/>
      <c r="D106" s="465"/>
      <c r="E106" s="465"/>
      <c r="F106" s="465">
        <f t="shared" si="13"/>
        <v>0</v>
      </c>
      <c r="G106" s="465">
        <f t="shared" si="18"/>
        <v>0</v>
      </c>
      <c r="H106" s="456"/>
      <c r="I106" s="465">
        <f t="shared" si="14"/>
        <v>0</v>
      </c>
      <c r="J106" s="820"/>
      <c r="K106" s="529">
        <f t="shared" si="15"/>
        <v>0</v>
      </c>
    </row>
    <row r="107" spans="1:14" s="2" customFormat="1" ht="12.75" x14ac:dyDescent="0.2">
      <c r="A107" s="854"/>
      <c r="B107" s="821" t="str">
        <f>B69</f>
        <v>Kopā siena (ar logiem un bez durvīm):</v>
      </c>
      <c r="C107" s="821"/>
      <c r="D107" s="821"/>
      <c r="E107" s="821"/>
      <c r="F107" s="821"/>
      <c r="G107" s="821"/>
      <c r="H107" s="823" t="str">
        <f>C72</f>
        <v>Siena 1</v>
      </c>
      <c r="I107" s="823"/>
      <c r="J107" s="565">
        <f>J72-J98</f>
        <v>27.137499999999999</v>
      </c>
      <c r="K107" s="822"/>
    </row>
    <row r="108" spans="1:14" s="2" customFormat="1" ht="12.75" x14ac:dyDescent="0.2">
      <c r="A108" s="854"/>
      <c r="B108" s="821"/>
      <c r="C108" s="821"/>
      <c r="D108" s="821"/>
      <c r="E108" s="821"/>
      <c r="F108" s="821"/>
      <c r="G108" s="821"/>
      <c r="H108" s="823" t="str">
        <f>C76</f>
        <v>Siena 2</v>
      </c>
      <c r="I108" s="823"/>
      <c r="J108" s="565">
        <f>J76-J101</f>
        <v>0</v>
      </c>
      <c r="K108" s="822"/>
    </row>
    <row r="109" spans="1:14" s="2" customFormat="1" ht="12.75" x14ac:dyDescent="0.2">
      <c r="A109" s="854"/>
      <c r="B109" s="821"/>
      <c r="C109" s="821"/>
      <c r="D109" s="821"/>
      <c r="E109" s="821"/>
      <c r="F109" s="821"/>
      <c r="G109" s="821"/>
      <c r="H109" s="822" t="str">
        <f>C78</f>
        <v>Siena 3</v>
      </c>
      <c r="I109" s="822"/>
      <c r="J109" s="565">
        <f>J78-J104</f>
        <v>0</v>
      </c>
      <c r="K109" s="822"/>
    </row>
    <row r="110" spans="1:14" s="2" customFormat="1" ht="12.75" x14ac:dyDescent="0.2">
      <c r="A110" s="854" t="s">
        <v>9</v>
      </c>
      <c r="B110" s="823" t="s">
        <v>251</v>
      </c>
      <c r="C110" s="843" t="s">
        <v>520</v>
      </c>
      <c r="D110" s="465">
        <f>7.75+0.6</f>
        <v>8.35</v>
      </c>
      <c r="E110" s="465">
        <v>3.25</v>
      </c>
      <c r="F110" s="465">
        <f t="shared" ref="F110:F118" si="19">D110*E110</f>
        <v>27.137499999999999</v>
      </c>
      <c r="G110" s="822"/>
      <c r="H110" s="456">
        <v>1</v>
      </c>
      <c r="I110" s="465">
        <f>F110*H110</f>
        <v>27.137499999999999</v>
      </c>
      <c r="J110" s="820">
        <f>I110+I111+I112+I113</f>
        <v>27.137499999999999</v>
      </c>
      <c r="K110" s="820"/>
    </row>
    <row r="111" spans="1:14" s="2" customFormat="1" ht="12.75" x14ac:dyDescent="0.2">
      <c r="A111" s="854"/>
      <c r="B111" s="823"/>
      <c r="C111" s="843"/>
      <c r="D111" s="465"/>
      <c r="E111" s="465"/>
      <c r="F111" s="465">
        <f t="shared" si="19"/>
        <v>0</v>
      </c>
      <c r="G111" s="822"/>
      <c r="H111" s="456"/>
      <c r="I111" s="465">
        <f>F111*H111</f>
        <v>0</v>
      </c>
      <c r="J111" s="820"/>
      <c r="K111" s="820"/>
      <c r="N111" s="433"/>
    </row>
    <row r="112" spans="1:14" s="2" customFormat="1" ht="12.75" x14ac:dyDescent="0.2">
      <c r="A112" s="854"/>
      <c r="B112" s="823"/>
      <c r="C112" s="843"/>
      <c r="D112" s="465"/>
      <c r="E112" s="465"/>
      <c r="F112" s="465">
        <f t="shared" si="19"/>
        <v>0</v>
      </c>
      <c r="G112" s="822"/>
      <c r="H112" s="456"/>
      <c r="I112" s="465">
        <f t="shared" ref="I112:I143" si="20">F112*H112</f>
        <v>0</v>
      </c>
      <c r="J112" s="820"/>
      <c r="K112" s="820"/>
    </row>
    <row r="113" spans="1:14" s="2" customFormat="1" ht="12.75" x14ac:dyDescent="0.2">
      <c r="A113" s="854"/>
      <c r="B113" s="823"/>
      <c r="C113" s="843"/>
      <c r="D113" s="465"/>
      <c r="E113" s="465"/>
      <c r="F113" s="465">
        <f t="shared" si="19"/>
        <v>0</v>
      </c>
      <c r="G113" s="822"/>
      <c r="H113" s="456"/>
      <c r="I113" s="465">
        <f t="shared" si="20"/>
        <v>0</v>
      </c>
      <c r="J113" s="820"/>
      <c r="K113" s="820"/>
    </row>
    <row r="114" spans="1:14" s="2" customFormat="1" ht="12.75" x14ac:dyDescent="0.2">
      <c r="A114" s="854"/>
      <c r="B114" s="823"/>
      <c r="C114" s="823" t="s">
        <v>356</v>
      </c>
      <c r="D114" s="465"/>
      <c r="E114" s="465"/>
      <c r="F114" s="465">
        <f t="shared" si="19"/>
        <v>0</v>
      </c>
      <c r="G114" s="822"/>
      <c r="H114" s="456"/>
      <c r="I114" s="465">
        <f t="shared" si="20"/>
        <v>0</v>
      </c>
      <c r="J114" s="820">
        <f>I114+I115</f>
        <v>0</v>
      </c>
      <c r="K114" s="820"/>
    </row>
    <row r="115" spans="1:14" s="2" customFormat="1" ht="12.75" x14ac:dyDescent="0.2">
      <c r="A115" s="854"/>
      <c r="B115" s="823"/>
      <c r="C115" s="823"/>
      <c r="D115" s="465"/>
      <c r="E115" s="465"/>
      <c r="F115" s="465">
        <f t="shared" si="19"/>
        <v>0</v>
      </c>
      <c r="G115" s="822"/>
      <c r="H115" s="456"/>
      <c r="I115" s="465">
        <f t="shared" si="20"/>
        <v>0</v>
      </c>
      <c r="J115" s="820"/>
      <c r="K115" s="820"/>
    </row>
    <row r="116" spans="1:14" s="2" customFormat="1" ht="12.75" x14ac:dyDescent="0.2">
      <c r="A116" s="854"/>
      <c r="B116" s="823"/>
      <c r="C116" s="823" t="s">
        <v>523</v>
      </c>
      <c r="D116" s="465"/>
      <c r="E116" s="465"/>
      <c r="F116" s="465">
        <f t="shared" si="19"/>
        <v>0</v>
      </c>
      <c r="G116" s="822"/>
      <c r="H116" s="456"/>
      <c r="I116" s="465">
        <f t="shared" si="20"/>
        <v>0</v>
      </c>
      <c r="J116" s="820">
        <f>I116+I117</f>
        <v>0</v>
      </c>
      <c r="K116" s="820"/>
    </row>
    <row r="117" spans="1:14" s="2" customFormat="1" ht="12.75" x14ac:dyDescent="0.2">
      <c r="A117" s="854"/>
      <c r="B117" s="823"/>
      <c r="C117" s="823"/>
      <c r="D117" s="465"/>
      <c r="E117" s="465"/>
      <c r="F117" s="465">
        <f t="shared" si="19"/>
        <v>0</v>
      </c>
      <c r="G117" s="822"/>
      <c r="H117" s="456"/>
      <c r="I117" s="465">
        <f t="shared" si="20"/>
        <v>0</v>
      </c>
      <c r="J117" s="820"/>
      <c r="K117" s="820"/>
    </row>
    <row r="118" spans="1:14" s="2" customFormat="1" ht="12.75" x14ac:dyDescent="0.2">
      <c r="A118" s="854"/>
      <c r="B118" s="823"/>
      <c r="C118" s="823" t="s">
        <v>527</v>
      </c>
      <c r="D118" s="465"/>
      <c r="E118" s="465"/>
      <c r="F118" s="465">
        <f t="shared" si="19"/>
        <v>0</v>
      </c>
      <c r="G118" s="822"/>
      <c r="H118" s="456"/>
      <c r="I118" s="465">
        <f t="shared" si="20"/>
        <v>0</v>
      </c>
      <c r="J118" s="820">
        <f>I118+I119</f>
        <v>0</v>
      </c>
      <c r="K118" s="820"/>
    </row>
    <row r="119" spans="1:14" s="2" customFormat="1" ht="12.75" x14ac:dyDescent="0.2">
      <c r="A119" s="854"/>
      <c r="B119" s="823"/>
      <c r="C119" s="823"/>
      <c r="D119" s="465"/>
      <c r="E119" s="465"/>
      <c r="F119" s="465">
        <f>D119*E119</f>
        <v>0</v>
      </c>
      <c r="G119" s="822"/>
      <c r="H119" s="456"/>
      <c r="I119" s="465">
        <f t="shared" si="20"/>
        <v>0</v>
      </c>
      <c r="J119" s="820"/>
      <c r="K119" s="820"/>
    </row>
    <row r="120" spans="1:14" s="2" customFormat="1" ht="12.75" x14ac:dyDescent="0.2">
      <c r="A120" s="854"/>
      <c r="B120" s="824" t="str">
        <f>B80</f>
        <v>Logi 1</v>
      </c>
      <c r="C120" s="492" t="s">
        <v>850</v>
      </c>
      <c r="D120" s="465">
        <v>1.5</v>
      </c>
      <c r="E120" s="465">
        <v>1.6</v>
      </c>
      <c r="F120" s="465">
        <f t="shared" ref="F120:F143" si="21">D120*E120</f>
        <v>2.4000000000000004</v>
      </c>
      <c r="G120" s="465">
        <f>(2*D120)+(2*E120)</f>
        <v>6.2</v>
      </c>
      <c r="H120" s="456">
        <v>1</v>
      </c>
      <c r="I120" s="465">
        <f t="shared" si="20"/>
        <v>2.4000000000000004</v>
      </c>
      <c r="J120" s="845">
        <f>SUM(I120:I124)</f>
        <v>2.4000000000000004</v>
      </c>
      <c r="K120" s="529">
        <f t="shared" ref="K120:K143" si="22">G120*H120</f>
        <v>6.2</v>
      </c>
      <c r="M120" s="2">
        <f t="shared" ref="M120:M134" si="23">K120*0.08</f>
        <v>0.49600000000000005</v>
      </c>
      <c r="N120" s="2">
        <f t="shared" ref="N120:N134" si="24">I120-M120</f>
        <v>1.9040000000000004</v>
      </c>
    </row>
    <row r="121" spans="1:14" s="2" customFormat="1" ht="12.75" x14ac:dyDescent="0.2">
      <c r="A121" s="854"/>
      <c r="B121" s="831"/>
      <c r="C121" s="492"/>
      <c r="D121" s="465"/>
      <c r="E121" s="465"/>
      <c r="F121" s="465">
        <f>D121*E121</f>
        <v>0</v>
      </c>
      <c r="G121" s="465">
        <f>(2*D121)+(2*E121)</f>
        <v>0</v>
      </c>
      <c r="H121" s="456"/>
      <c r="I121" s="465">
        <f t="shared" si="20"/>
        <v>0</v>
      </c>
      <c r="J121" s="846"/>
      <c r="K121" s="529">
        <f>G121*H121</f>
        <v>0</v>
      </c>
      <c r="M121" s="2">
        <f t="shared" si="23"/>
        <v>0</v>
      </c>
      <c r="N121" s="2">
        <f t="shared" si="24"/>
        <v>0</v>
      </c>
    </row>
    <row r="122" spans="1:14" s="2" customFormat="1" ht="12.75" x14ac:dyDescent="0.2">
      <c r="A122" s="854"/>
      <c r="B122" s="831"/>
      <c r="C122" s="492"/>
      <c r="D122" s="465"/>
      <c r="E122" s="465"/>
      <c r="F122" s="465">
        <f>D122*E122</f>
        <v>0</v>
      </c>
      <c r="G122" s="465">
        <f>(2*D122)+(2*E122)</f>
        <v>0</v>
      </c>
      <c r="H122" s="456"/>
      <c r="I122" s="465">
        <f t="shared" si="20"/>
        <v>0</v>
      </c>
      <c r="J122" s="846"/>
      <c r="K122" s="529">
        <f>G122*H122</f>
        <v>0</v>
      </c>
      <c r="M122" s="2">
        <f t="shared" si="23"/>
        <v>0</v>
      </c>
      <c r="N122" s="2">
        <f t="shared" si="24"/>
        <v>0</v>
      </c>
    </row>
    <row r="123" spans="1:14" s="2" customFormat="1" ht="12.75" x14ac:dyDescent="0.2">
      <c r="A123" s="854"/>
      <c r="B123" s="831"/>
      <c r="C123" s="492"/>
      <c r="D123" s="465"/>
      <c r="E123" s="465"/>
      <c r="F123" s="465">
        <f t="shared" si="21"/>
        <v>0</v>
      </c>
      <c r="G123" s="465">
        <f t="shared" ref="G123:G127" si="25">(2*D123)+(2*E123)</f>
        <v>0</v>
      </c>
      <c r="H123" s="456"/>
      <c r="I123" s="465">
        <f t="shared" si="20"/>
        <v>0</v>
      </c>
      <c r="J123" s="846"/>
      <c r="K123" s="529">
        <f t="shared" si="22"/>
        <v>0</v>
      </c>
      <c r="M123" s="2">
        <f t="shared" si="23"/>
        <v>0</v>
      </c>
      <c r="N123" s="2">
        <f t="shared" si="24"/>
        <v>0</v>
      </c>
    </row>
    <row r="124" spans="1:14" s="2" customFormat="1" ht="12.75" x14ac:dyDescent="0.2">
      <c r="A124" s="854"/>
      <c r="B124" s="825"/>
      <c r="C124" s="492"/>
      <c r="D124" s="465"/>
      <c r="E124" s="465"/>
      <c r="F124" s="465">
        <f t="shared" si="21"/>
        <v>0</v>
      </c>
      <c r="G124" s="465">
        <f t="shared" si="25"/>
        <v>0</v>
      </c>
      <c r="H124" s="456"/>
      <c r="I124" s="465">
        <f t="shared" si="20"/>
        <v>0</v>
      </c>
      <c r="J124" s="847"/>
      <c r="K124" s="529">
        <f t="shared" si="22"/>
        <v>0</v>
      </c>
      <c r="M124" s="2">
        <f t="shared" si="23"/>
        <v>0</v>
      </c>
      <c r="N124" s="2">
        <f t="shared" si="24"/>
        <v>0</v>
      </c>
    </row>
    <row r="125" spans="1:14" s="2" customFormat="1" ht="12.75" x14ac:dyDescent="0.2">
      <c r="A125" s="854"/>
      <c r="B125" s="824" t="str">
        <f>B86</f>
        <v>Logi 2</v>
      </c>
      <c r="C125" s="492"/>
      <c r="D125" s="465"/>
      <c r="E125" s="465"/>
      <c r="F125" s="465">
        <f t="shared" si="21"/>
        <v>0</v>
      </c>
      <c r="G125" s="465">
        <f t="shared" si="25"/>
        <v>0</v>
      </c>
      <c r="H125" s="456"/>
      <c r="I125" s="465">
        <f t="shared" si="20"/>
        <v>0</v>
      </c>
      <c r="J125" s="845">
        <f>SUM(I125:I129)</f>
        <v>0</v>
      </c>
      <c r="K125" s="529">
        <f t="shared" si="22"/>
        <v>0</v>
      </c>
      <c r="M125" s="2">
        <f t="shared" si="23"/>
        <v>0</v>
      </c>
      <c r="N125" s="2">
        <f t="shared" si="24"/>
        <v>0</v>
      </c>
    </row>
    <row r="126" spans="1:14" s="2" customFormat="1" ht="12.75" x14ac:dyDescent="0.2">
      <c r="A126" s="854"/>
      <c r="B126" s="831"/>
      <c r="C126" s="492"/>
      <c r="D126" s="465"/>
      <c r="E126" s="465"/>
      <c r="F126" s="465">
        <f t="shared" si="21"/>
        <v>0</v>
      </c>
      <c r="G126" s="465">
        <f t="shared" si="25"/>
        <v>0</v>
      </c>
      <c r="H126" s="456"/>
      <c r="I126" s="465">
        <f t="shared" si="20"/>
        <v>0</v>
      </c>
      <c r="J126" s="846"/>
      <c r="K126" s="529">
        <f t="shared" si="22"/>
        <v>0</v>
      </c>
      <c r="M126" s="2">
        <f t="shared" si="23"/>
        <v>0</v>
      </c>
      <c r="N126" s="2">
        <f t="shared" si="24"/>
        <v>0</v>
      </c>
    </row>
    <row r="127" spans="1:14" s="2" customFormat="1" ht="12.75" x14ac:dyDescent="0.2">
      <c r="A127" s="854"/>
      <c r="B127" s="831"/>
      <c r="C127" s="492"/>
      <c r="D127" s="465"/>
      <c r="E127" s="465"/>
      <c r="F127" s="465">
        <f t="shared" si="21"/>
        <v>0</v>
      </c>
      <c r="G127" s="465">
        <f t="shared" si="25"/>
        <v>0</v>
      </c>
      <c r="H127" s="456"/>
      <c r="I127" s="465">
        <f t="shared" si="20"/>
        <v>0</v>
      </c>
      <c r="J127" s="846"/>
      <c r="K127" s="529">
        <f t="shared" si="22"/>
        <v>0</v>
      </c>
      <c r="M127" s="2">
        <f t="shared" si="23"/>
        <v>0</v>
      </c>
      <c r="N127" s="2">
        <f t="shared" si="24"/>
        <v>0</v>
      </c>
    </row>
    <row r="128" spans="1:14" s="2" customFormat="1" ht="12.75" x14ac:dyDescent="0.2">
      <c r="A128" s="854"/>
      <c r="B128" s="831"/>
      <c r="C128" s="492"/>
      <c r="D128" s="465"/>
      <c r="E128" s="465"/>
      <c r="F128" s="465">
        <f t="shared" si="21"/>
        <v>0</v>
      </c>
      <c r="G128" s="465">
        <f t="shared" ref="G128:G137" si="26">(2*D128)+(2*E128)</f>
        <v>0</v>
      </c>
      <c r="H128" s="456"/>
      <c r="I128" s="465">
        <f t="shared" si="20"/>
        <v>0</v>
      </c>
      <c r="J128" s="846"/>
      <c r="K128" s="529">
        <f t="shared" si="22"/>
        <v>0</v>
      </c>
      <c r="M128" s="2">
        <f t="shared" si="23"/>
        <v>0</v>
      </c>
      <c r="N128" s="2">
        <f t="shared" si="24"/>
        <v>0</v>
      </c>
    </row>
    <row r="129" spans="1:14" s="2" customFormat="1" ht="12.75" x14ac:dyDescent="0.2">
      <c r="A129" s="854"/>
      <c r="B129" s="825"/>
      <c r="C129" s="492"/>
      <c r="D129" s="465"/>
      <c r="E129" s="465"/>
      <c r="F129" s="465">
        <f t="shared" si="21"/>
        <v>0</v>
      </c>
      <c r="G129" s="465">
        <f t="shared" si="26"/>
        <v>0</v>
      </c>
      <c r="H129" s="456"/>
      <c r="I129" s="465">
        <f t="shared" si="20"/>
        <v>0</v>
      </c>
      <c r="J129" s="847"/>
      <c r="K129" s="529">
        <f t="shared" si="22"/>
        <v>0</v>
      </c>
      <c r="M129" s="2">
        <f t="shared" si="23"/>
        <v>0</v>
      </c>
      <c r="N129" s="2">
        <f t="shared" si="24"/>
        <v>0</v>
      </c>
    </row>
    <row r="130" spans="1:14" s="2" customFormat="1" ht="12.75" x14ac:dyDescent="0.2">
      <c r="A130" s="854"/>
      <c r="B130" s="824" t="s">
        <v>705</v>
      </c>
      <c r="C130" s="492"/>
      <c r="D130" s="465"/>
      <c r="E130" s="465"/>
      <c r="F130" s="465">
        <f t="shared" si="21"/>
        <v>0</v>
      </c>
      <c r="G130" s="465">
        <f>(2*D130)+(2*E130)</f>
        <v>0</v>
      </c>
      <c r="H130" s="456"/>
      <c r="I130" s="465">
        <f t="shared" si="20"/>
        <v>0</v>
      </c>
      <c r="J130" s="845">
        <f>SUM(I130:I134)</f>
        <v>0</v>
      </c>
      <c r="K130" s="529">
        <f t="shared" si="22"/>
        <v>0</v>
      </c>
      <c r="M130" s="2">
        <f t="shared" si="23"/>
        <v>0</v>
      </c>
      <c r="N130" s="2">
        <f t="shared" si="24"/>
        <v>0</v>
      </c>
    </row>
    <row r="131" spans="1:14" s="2" customFormat="1" ht="12.75" x14ac:dyDescent="0.2">
      <c r="A131" s="854"/>
      <c r="B131" s="831"/>
      <c r="C131" s="492"/>
      <c r="D131" s="465"/>
      <c r="E131" s="465"/>
      <c r="F131" s="465">
        <f t="shared" si="21"/>
        <v>0</v>
      </c>
      <c r="G131" s="465">
        <f>(2*D131)+(2*E131)</f>
        <v>0</v>
      </c>
      <c r="H131" s="456"/>
      <c r="I131" s="465">
        <f t="shared" si="20"/>
        <v>0</v>
      </c>
      <c r="J131" s="846"/>
      <c r="K131" s="529">
        <f t="shared" si="22"/>
        <v>0</v>
      </c>
      <c r="M131" s="2">
        <f t="shared" si="23"/>
        <v>0</v>
      </c>
      <c r="N131" s="2">
        <f t="shared" si="24"/>
        <v>0</v>
      </c>
    </row>
    <row r="132" spans="1:14" s="2" customFormat="1" ht="12.75" x14ac:dyDescent="0.2">
      <c r="A132" s="854"/>
      <c r="B132" s="831"/>
      <c r="C132" s="492"/>
      <c r="D132" s="465"/>
      <c r="E132" s="465"/>
      <c r="F132" s="465">
        <f t="shared" si="21"/>
        <v>0</v>
      </c>
      <c r="G132" s="465">
        <f>(2*D132)+(2*E132)</f>
        <v>0</v>
      </c>
      <c r="H132" s="456"/>
      <c r="I132" s="465">
        <f t="shared" si="20"/>
        <v>0</v>
      </c>
      <c r="J132" s="846"/>
      <c r="K132" s="529">
        <f t="shared" si="22"/>
        <v>0</v>
      </c>
      <c r="M132" s="2">
        <f t="shared" si="23"/>
        <v>0</v>
      </c>
      <c r="N132" s="2">
        <f t="shared" si="24"/>
        <v>0</v>
      </c>
    </row>
    <row r="133" spans="1:14" s="2" customFormat="1" ht="12.75" x14ac:dyDescent="0.2">
      <c r="A133" s="854"/>
      <c r="B133" s="831"/>
      <c r="C133" s="492"/>
      <c r="D133" s="465"/>
      <c r="E133" s="465"/>
      <c r="F133" s="465">
        <f t="shared" si="21"/>
        <v>0</v>
      </c>
      <c r="G133" s="465">
        <f>(2*D133)+(2*E133)</f>
        <v>0</v>
      </c>
      <c r="H133" s="456"/>
      <c r="I133" s="465">
        <f t="shared" si="20"/>
        <v>0</v>
      </c>
      <c r="J133" s="846"/>
      <c r="K133" s="529">
        <f t="shared" si="22"/>
        <v>0</v>
      </c>
      <c r="M133" s="2">
        <f t="shared" si="23"/>
        <v>0</v>
      </c>
      <c r="N133" s="2">
        <f t="shared" si="24"/>
        <v>0</v>
      </c>
    </row>
    <row r="134" spans="1:14" s="2" customFormat="1" ht="12.75" x14ac:dyDescent="0.2">
      <c r="A134" s="854"/>
      <c r="B134" s="825"/>
      <c r="C134" s="492"/>
      <c r="D134" s="465"/>
      <c r="E134" s="465"/>
      <c r="F134" s="465">
        <f t="shared" si="21"/>
        <v>0</v>
      </c>
      <c r="G134" s="465">
        <f>(2*D134)+(2*E134)</f>
        <v>0</v>
      </c>
      <c r="H134" s="456"/>
      <c r="I134" s="465">
        <f t="shared" si="20"/>
        <v>0</v>
      </c>
      <c r="J134" s="847"/>
      <c r="K134" s="529">
        <f t="shared" si="22"/>
        <v>0</v>
      </c>
      <c r="M134" s="2">
        <f t="shared" si="23"/>
        <v>0</v>
      </c>
      <c r="N134" s="2">
        <f t="shared" si="24"/>
        <v>0</v>
      </c>
    </row>
    <row r="135" spans="1:14" s="2" customFormat="1" ht="12.75" x14ac:dyDescent="0.2">
      <c r="A135" s="854"/>
      <c r="B135" s="823" t="str">
        <f>B98</f>
        <v>Durvis, vārti 1</v>
      </c>
      <c r="C135" s="492"/>
      <c r="D135" s="465"/>
      <c r="E135" s="465"/>
      <c r="F135" s="465">
        <f t="shared" si="21"/>
        <v>0</v>
      </c>
      <c r="G135" s="465">
        <f t="shared" si="26"/>
        <v>0</v>
      </c>
      <c r="H135" s="456"/>
      <c r="I135" s="465">
        <f t="shared" si="20"/>
        <v>0</v>
      </c>
      <c r="J135" s="820">
        <f>SUM(I135:I137)</f>
        <v>0</v>
      </c>
      <c r="K135" s="529">
        <f t="shared" si="22"/>
        <v>0</v>
      </c>
      <c r="N135" s="433">
        <f>SUM(N17:N134)</f>
        <v>13.512</v>
      </c>
    </row>
    <row r="136" spans="1:14" s="2" customFormat="1" ht="12.75" x14ac:dyDescent="0.2">
      <c r="A136" s="854"/>
      <c r="B136" s="823"/>
      <c r="C136" s="492"/>
      <c r="D136" s="465"/>
      <c r="E136" s="465"/>
      <c r="F136" s="465">
        <f t="shared" si="21"/>
        <v>0</v>
      </c>
      <c r="G136" s="465">
        <f t="shared" si="26"/>
        <v>0</v>
      </c>
      <c r="H136" s="456"/>
      <c r="I136" s="465">
        <f t="shared" si="20"/>
        <v>0</v>
      </c>
      <c r="J136" s="820"/>
      <c r="K136" s="529">
        <f t="shared" si="22"/>
        <v>0</v>
      </c>
    </row>
    <row r="137" spans="1:14" s="2" customFormat="1" ht="12.75" x14ac:dyDescent="0.2">
      <c r="A137" s="854"/>
      <c r="B137" s="823"/>
      <c r="C137" s="492"/>
      <c r="D137" s="465"/>
      <c r="E137" s="465"/>
      <c r="F137" s="465">
        <f t="shared" si="21"/>
        <v>0</v>
      </c>
      <c r="G137" s="465">
        <f t="shared" si="26"/>
        <v>0</v>
      </c>
      <c r="H137" s="456"/>
      <c r="I137" s="465">
        <f t="shared" si="20"/>
        <v>0</v>
      </c>
      <c r="J137" s="820"/>
      <c r="K137" s="529">
        <f t="shared" si="22"/>
        <v>0</v>
      </c>
    </row>
    <row r="138" spans="1:14" s="2" customFormat="1" ht="12.75" x14ac:dyDescent="0.2">
      <c r="A138" s="854"/>
      <c r="B138" s="823" t="str">
        <f>B101</f>
        <v>Durvis, vārti 2</v>
      </c>
      <c r="C138" s="676"/>
      <c r="D138" s="465"/>
      <c r="E138" s="465"/>
      <c r="F138" s="465">
        <f t="shared" si="21"/>
        <v>0</v>
      </c>
      <c r="G138" s="465">
        <f t="shared" ref="G138:G143" si="27">(2*D138)+(2*E138)</f>
        <v>0</v>
      </c>
      <c r="H138" s="456"/>
      <c r="I138" s="465">
        <f t="shared" si="20"/>
        <v>0</v>
      </c>
      <c r="J138" s="820">
        <f>SUM(I138:I140)</f>
        <v>0</v>
      </c>
      <c r="K138" s="529">
        <f t="shared" si="22"/>
        <v>0</v>
      </c>
    </row>
    <row r="139" spans="1:14" s="2" customFormat="1" ht="12.75" x14ac:dyDescent="0.2">
      <c r="A139" s="854"/>
      <c r="B139" s="823"/>
      <c r="C139" s="665"/>
      <c r="D139" s="465"/>
      <c r="E139" s="465"/>
      <c r="F139" s="465">
        <f t="shared" si="21"/>
        <v>0</v>
      </c>
      <c r="G139" s="465">
        <f t="shared" si="27"/>
        <v>0</v>
      </c>
      <c r="H139" s="456"/>
      <c r="I139" s="465">
        <f t="shared" si="20"/>
        <v>0</v>
      </c>
      <c r="J139" s="820"/>
      <c r="K139" s="529">
        <f t="shared" si="22"/>
        <v>0</v>
      </c>
    </row>
    <row r="140" spans="1:14" s="2" customFormat="1" ht="12.75" x14ac:dyDescent="0.2">
      <c r="A140" s="854"/>
      <c r="B140" s="823"/>
      <c r="C140" s="665"/>
      <c r="D140" s="465"/>
      <c r="E140" s="465"/>
      <c r="F140" s="465">
        <f t="shared" si="21"/>
        <v>0</v>
      </c>
      <c r="G140" s="465">
        <f t="shared" si="27"/>
        <v>0</v>
      </c>
      <c r="H140" s="456"/>
      <c r="I140" s="465">
        <f t="shared" si="20"/>
        <v>0</v>
      </c>
      <c r="J140" s="820"/>
      <c r="K140" s="529">
        <f t="shared" si="22"/>
        <v>0</v>
      </c>
    </row>
    <row r="141" spans="1:14" s="2" customFormat="1" ht="12.75" x14ac:dyDescent="0.2">
      <c r="A141" s="854"/>
      <c r="B141" s="823" t="str">
        <f>B104</f>
        <v>Durvis, vārti 3</v>
      </c>
      <c r="C141" s="492"/>
      <c r="D141" s="465"/>
      <c r="E141" s="465"/>
      <c r="F141" s="465">
        <f t="shared" si="21"/>
        <v>0</v>
      </c>
      <c r="G141" s="465">
        <f t="shared" si="27"/>
        <v>0</v>
      </c>
      <c r="H141" s="456"/>
      <c r="I141" s="465">
        <f t="shared" si="20"/>
        <v>0</v>
      </c>
      <c r="J141" s="820">
        <f>SUM(I141:I143)</f>
        <v>0</v>
      </c>
      <c r="K141" s="529">
        <f t="shared" si="22"/>
        <v>0</v>
      </c>
    </row>
    <row r="142" spans="1:14" s="2" customFormat="1" ht="12.75" x14ac:dyDescent="0.2">
      <c r="A142" s="854"/>
      <c r="B142" s="823"/>
      <c r="C142" s="665"/>
      <c r="D142" s="465"/>
      <c r="E142" s="465"/>
      <c r="F142" s="465">
        <f t="shared" si="21"/>
        <v>0</v>
      </c>
      <c r="G142" s="465">
        <f t="shared" si="27"/>
        <v>0</v>
      </c>
      <c r="H142" s="456"/>
      <c r="I142" s="465">
        <f t="shared" si="20"/>
        <v>0</v>
      </c>
      <c r="J142" s="820"/>
      <c r="K142" s="529">
        <f t="shared" si="22"/>
        <v>0</v>
      </c>
    </row>
    <row r="143" spans="1:14" s="2" customFormat="1" ht="12.75" x14ac:dyDescent="0.2">
      <c r="A143" s="854"/>
      <c r="B143" s="823"/>
      <c r="C143" s="665"/>
      <c r="D143" s="465"/>
      <c r="E143" s="465"/>
      <c r="F143" s="465">
        <f t="shared" si="21"/>
        <v>0</v>
      </c>
      <c r="G143" s="465">
        <f t="shared" si="27"/>
        <v>0</v>
      </c>
      <c r="H143" s="456"/>
      <c r="I143" s="465">
        <f t="shared" si="20"/>
        <v>0</v>
      </c>
      <c r="J143" s="820"/>
      <c r="K143" s="529">
        <f t="shared" si="22"/>
        <v>0</v>
      </c>
    </row>
    <row r="144" spans="1:14" s="2" customFormat="1" ht="12.75" x14ac:dyDescent="0.2">
      <c r="A144" s="854"/>
      <c r="B144" s="821" t="str">
        <f>B107</f>
        <v>Kopā siena (ar logiem un bez durvīm):</v>
      </c>
      <c r="C144" s="821"/>
      <c r="D144" s="821"/>
      <c r="E144" s="821"/>
      <c r="F144" s="821"/>
      <c r="G144" s="821"/>
      <c r="H144" s="822" t="str">
        <f>C110</f>
        <v>Siena 1</v>
      </c>
      <c r="I144" s="822"/>
      <c r="J144" s="565">
        <f>J110-J135</f>
        <v>27.137499999999999</v>
      </c>
      <c r="K144" s="822"/>
    </row>
    <row r="145" spans="1:16" s="2" customFormat="1" ht="12.75" x14ac:dyDescent="0.2">
      <c r="A145" s="854"/>
      <c r="B145" s="821"/>
      <c r="C145" s="821"/>
      <c r="D145" s="821"/>
      <c r="E145" s="821"/>
      <c r="F145" s="821"/>
      <c r="G145" s="821"/>
      <c r="H145" s="822" t="str">
        <f>C114</f>
        <v>Siena 2</v>
      </c>
      <c r="I145" s="822"/>
      <c r="J145" s="565">
        <f>J114-J138</f>
        <v>0</v>
      </c>
      <c r="K145" s="822"/>
    </row>
    <row r="146" spans="1:16" s="2" customFormat="1" ht="12.75" x14ac:dyDescent="0.2">
      <c r="A146" s="854"/>
      <c r="B146" s="821"/>
      <c r="C146" s="821"/>
      <c r="D146" s="821"/>
      <c r="E146" s="821"/>
      <c r="F146" s="821"/>
      <c r="G146" s="821"/>
      <c r="H146" s="822" t="str">
        <f>C116</f>
        <v>Siena 3</v>
      </c>
      <c r="I146" s="822"/>
      <c r="J146" s="565">
        <f>J116-J141</f>
        <v>0</v>
      </c>
      <c r="K146" s="822"/>
    </row>
    <row r="147" spans="1:16" s="2" customFormat="1" ht="12.75" x14ac:dyDescent="0.2">
      <c r="A147" s="854"/>
      <c r="B147" s="821"/>
      <c r="C147" s="821"/>
      <c r="D147" s="821"/>
      <c r="E147" s="821"/>
      <c r="F147" s="821"/>
      <c r="G147" s="821"/>
      <c r="H147" s="822" t="str">
        <f>C118</f>
        <v>Siena 4</v>
      </c>
      <c r="I147" s="822"/>
      <c r="J147" s="565">
        <v>0</v>
      </c>
      <c r="K147" s="822"/>
    </row>
    <row r="148" spans="1:16" s="2" customFormat="1" ht="13.5" customHeight="1" x14ac:dyDescent="0.2">
      <c r="A148" s="832" t="s">
        <v>707</v>
      </c>
      <c r="B148" s="833"/>
      <c r="C148" s="833"/>
      <c r="D148" s="833"/>
      <c r="E148" s="833"/>
      <c r="F148" s="833"/>
      <c r="G148" s="834"/>
      <c r="H148" s="823" t="s">
        <v>520</v>
      </c>
      <c r="I148" s="823"/>
      <c r="J148" s="664">
        <f>J144-J120+J107-J80+J69-J51+J37-J17</f>
        <v>123.13</v>
      </c>
      <c r="K148" s="822"/>
    </row>
    <row r="149" spans="1:16" s="2" customFormat="1" ht="14.1" customHeight="1" x14ac:dyDescent="0.2">
      <c r="A149" s="835"/>
      <c r="B149" s="836"/>
      <c r="C149" s="836"/>
      <c r="D149" s="836"/>
      <c r="E149" s="836"/>
      <c r="F149" s="836"/>
      <c r="G149" s="837"/>
      <c r="H149" s="823" t="s">
        <v>356</v>
      </c>
      <c r="I149" s="823"/>
      <c r="J149" s="664">
        <f>J145-J125+J108-J86+J70-J57+J38-J24</f>
        <v>0</v>
      </c>
      <c r="K149" s="822"/>
    </row>
    <row r="150" spans="1:16" s="2" customFormat="1" ht="14.1" customHeight="1" x14ac:dyDescent="0.2">
      <c r="A150" s="835"/>
      <c r="B150" s="836"/>
      <c r="C150" s="836"/>
      <c r="D150" s="836"/>
      <c r="E150" s="836"/>
      <c r="F150" s="836"/>
      <c r="G150" s="837"/>
      <c r="H150" s="823" t="s">
        <v>523</v>
      </c>
      <c r="I150" s="823"/>
      <c r="J150" s="664">
        <f>J146-J130+J109-J92+J71-J60+J39-J27</f>
        <v>0</v>
      </c>
      <c r="K150" s="822"/>
    </row>
    <row r="151" spans="1:16" s="2" customFormat="1" ht="14.1" customHeight="1" x14ac:dyDescent="0.2">
      <c r="A151" s="835"/>
      <c r="B151" s="836"/>
      <c r="C151" s="836"/>
      <c r="D151" s="836"/>
      <c r="E151" s="836"/>
      <c r="F151" s="836"/>
      <c r="G151" s="837"/>
      <c r="H151" s="822" t="s">
        <v>527</v>
      </c>
      <c r="I151" s="822"/>
      <c r="J151" s="664">
        <f>J40+J49+J79+J147</f>
        <v>0</v>
      </c>
      <c r="K151" s="822"/>
    </row>
    <row r="152" spans="1:16" s="2" customFormat="1" ht="14.1" customHeight="1" x14ac:dyDescent="0.2">
      <c r="A152" s="838"/>
      <c r="B152" s="839"/>
      <c r="C152" s="839"/>
      <c r="D152" s="839"/>
      <c r="E152" s="839"/>
      <c r="F152" s="839"/>
      <c r="G152" s="840"/>
      <c r="H152" s="822" t="s">
        <v>563</v>
      </c>
      <c r="I152" s="822"/>
      <c r="J152" s="664">
        <f>I16+I50</f>
        <v>0</v>
      </c>
      <c r="K152" s="822"/>
    </row>
    <row r="153" spans="1:16" ht="13.5" customHeight="1" x14ac:dyDescent="0.25">
      <c r="A153" s="832" t="s">
        <v>685</v>
      </c>
      <c r="B153" s="833"/>
      <c r="C153" s="833"/>
      <c r="D153" s="833"/>
      <c r="E153" s="833"/>
      <c r="F153" s="833"/>
      <c r="G153" s="834"/>
      <c r="H153" s="823" t="s">
        <v>644</v>
      </c>
      <c r="I153" s="823"/>
      <c r="J153" s="664">
        <f>J17+J51+J80+J120</f>
        <v>16.920000000000002</v>
      </c>
      <c r="K153" s="828">
        <f>SUM(K7:K152)</f>
        <v>50.400000000000006</v>
      </c>
    </row>
    <row r="154" spans="1:16" ht="14.1" customHeight="1" x14ac:dyDescent="0.25">
      <c r="A154" s="835"/>
      <c r="B154" s="836"/>
      <c r="C154" s="836"/>
      <c r="D154" s="836"/>
      <c r="E154" s="836"/>
      <c r="F154" s="836"/>
      <c r="G154" s="837"/>
      <c r="H154" s="823" t="s">
        <v>645</v>
      </c>
      <c r="I154" s="823"/>
      <c r="J154" s="664">
        <f>J24+J57+J86+J125</f>
        <v>0</v>
      </c>
      <c r="K154" s="829"/>
    </row>
    <row r="155" spans="1:16" ht="14.1" customHeight="1" x14ac:dyDescent="0.25">
      <c r="A155" s="835"/>
      <c r="B155" s="836"/>
      <c r="C155" s="836"/>
      <c r="D155" s="836"/>
      <c r="E155" s="836"/>
      <c r="F155" s="836"/>
      <c r="G155" s="837"/>
      <c r="H155" s="823" t="s">
        <v>705</v>
      </c>
      <c r="I155" s="823"/>
      <c r="J155" s="664">
        <f>J130+J92+J60+J27</f>
        <v>0</v>
      </c>
      <c r="K155" s="829"/>
    </row>
    <row r="156" spans="1:16" ht="13.5" customHeight="1" x14ac:dyDescent="0.25">
      <c r="A156" s="835"/>
      <c r="B156" s="836"/>
      <c r="C156" s="836"/>
      <c r="D156" s="836"/>
      <c r="E156" s="836"/>
      <c r="F156" s="836"/>
      <c r="G156" s="837"/>
      <c r="H156" s="841" t="str">
        <f>'4.lapa'!B23</f>
        <v>Jumta Logi</v>
      </c>
      <c r="I156" s="842"/>
      <c r="J156" s="664">
        <v>0</v>
      </c>
      <c r="K156" s="829"/>
    </row>
    <row r="157" spans="1:16" ht="13.5" customHeight="1" x14ac:dyDescent="0.25">
      <c r="A157" s="835"/>
      <c r="B157" s="836"/>
      <c r="C157" s="836"/>
      <c r="D157" s="836"/>
      <c r="E157" s="836"/>
      <c r="F157" s="836"/>
      <c r="G157" s="837"/>
      <c r="H157" s="823" t="s">
        <v>646</v>
      </c>
      <c r="I157" s="823"/>
      <c r="J157" s="664">
        <f>J30+J63+J98+J135</f>
        <v>3.5999999999999996</v>
      </c>
      <c r="K157" s="829"/>
    </row>
    <row r="158" spans="1:16" ht="13.5" customHeight="1" x14ac:dyDescent="0.25">
      <c r="A158" s="835"/>
      <c r="B158" s="836"/>
      <c r="C158" s="836"/>
      <c r="D158" s="836"/>
      <c r="E158" s="836"/>
      <c r="F158" s="836"/>
      <c r="G158" s="837"/>
      <c r="H158" s="823" t="s">
        <v>647</v>
      </c>
      <c r="I158" s="823"/>
      <c r="J158" s="664">
        <f>J33+J65+J101+J138</f>
        <v>0</v>
      </c>
      <c r="K158" s="829"/>
    </row>
    <row r="159" spans="1:16" ht="14.1" customHeight="1" x14ac:dyDescent="0.25">
      <c r="A159" s="838"/>
      <c r="B159" s="839"/>
      <c r="C159" s="839"/>
      <c r="D159" s="839"/>
      <c r="E159" s="839"/>
      <c r="F159" s="839"/>
      <c r="G159" s="840"/>
      <c r="H159" s="823" t="s">
        <v>706</v>
      </c>
      <c r="I159" s="823"/>
      <c r="J159" s="664">
        <f>J141+J104+J67+J35</f>
        <v>0</v>
      </c>
      <c r="K159" s="830"/>
    </row>
    <row r="160" spans="1:16" x14ac:dyDescent="0.25">
      <c r="A160" s="843" t="s">
        <v>57</v>
      </c>
      <c r="B160" s="843"/>
      <c r="C160" s="823" t="s">
        <v>519</v>
      </c>
      <c r="D160" s="565">
        <v>1</v>
      </c>
      <c r="E160" s="565">
        <f>E168</f>
        <v>79.09</v>
      </c>
      <c r="F160" s="532">
        <f t="shared" ref="F160:F167" si="28">D160*E160</f>
        <v>79.09</v>
      </c>
      <c r="G160" s="824"/>
      <c r="H160" s="565">
        <v>1.04</v>
      </c>
      <c r="I160" s="565">
        <f>F160*H160</f>
        <v>82.253600000000006</v>
      </c>
      <c r="J160" s="844">
        <f>SUM(I160:I163)</f>
        <v>82.253600000000006</v>
      </c>
      <c r="K160" s="824"/>
      <c r="P160" s="429"/>
    </row>
    <row r="161" spans="1:17" x14ac:dyDescent="0.25">
      <c r="A161" s="843"/>
      <c r="B161" s="843"/>
      <c r="C161" s="823"/>
      <c r="D161" s="565"/>
      <c r="E161" s="565"/>
      <c r="F161" s="532">
        <f t="shared" si="28"/>
        <v>0</v>
      </c>
      <c r="G161" s="831"/>
      <c r="H161" s="565">
        <v>1</v>
      </c>
      <c r="I161" s="565">
        <f t="shared" ref="I161:I169" si="29">H161*F161</f>
        <v>0</v>
      </c>
      <c r="J161" s="844"/>
      <c r="K161" s="831"/>
    </row>
    <row r="162" spans="1:17" x14ac:dyDescent="0.25">
      <c r="A162" s="843"/>
      <c r="B162" s="843"/>
      <c r="C162" s="823"/>
      <c r="D162" s="565"/>
      <c r="E162" s="565"/>
      <c r="F162" s="565">
        <f t="shared" si="28"/>
        <v>0</v>
      </c>
      <c r="G162" s="831"/>
      <c r="H162" s="565">
        <v>1</v>
      </c>
      <c r="I162" s="565">
        <f t="shared" si="29"/>
        <v>0</v>
      </c>
      <c r="J162" s="844"/>
      <c r="K162" s="831"/>
      <c r="N162" s="429"/>
      <c r="O162" s="679"/>
    </row>
    <row r="163" spans="1:17" x14ac:dyDescent="0.25">
      <c r="A163" s="843"/>
      <c r="B163" s="843"/>
      <c r="C163" s="823"/>
      <c r="D163" s="565"/>
      <c r="E163" s="565"/>
      <c r="F163" s="565">
        <f t="shared" si="28"/>
        <v>0</v>
      </c>
      <c r="G163" s="825"/>
      <c r="H163" s="565">
        <v>1</v>
      </c>
      <c r="I163" s="565">
        <f t="shared" si="29"/>
        <v>0</v>
      </c>
      <c r="J163" s="844"/>
      <c r="K163" s="825"/>
    </row>
    <row r="164" spans="1:17" x14ac:dyDescent="0.25">
      <c r="A164" s="843"/>
      <c r="B164" s="843"/>
      <c r="C164" s="824" t="s">
        <v>531</v>
      </c>
      <c r="D164" s="565"/>
      <c r="E164" s="565"/>
      <c r="F164" s="532">
        <f t="shared" si="28"/>
        <v>0</v>
      </c>
      <c r="G164" s="824"/>
      <c r="H164" s="565">
        <v>1</v>
      </c>
      <c r="I164" s="565">
        <f t="shared" si="29"/>
        <v>0</v>
      </c>
      <c r="J164" s="826">
        <f>I164+I165</f>
        <v>0</v>
      </c>
      <c r="K164" s="824"/>
    </row>
    <row r="165" spans="1:17" x14ac:dyDescent="0.25">
      <c r="A165" s="843"/>
      <c r="B165" s="843"/>
      <c r="C165" s="825"/>
      <c r="D165" s="465"/>
      <c r="E165" s="465"/>
      <c r="F165" s="532">
        <f t="shared" si="28"/>
        <v>0</v>
      </c>
      <c r="G165" s="825"/>
      <c r="H165" s="465">
        <v>1</v>
      </c>
      <c r="I165" s="465">
        <f t="shared" si="29"/>
        <v>0</v>
      </c>
      <c r="J165" s="827"/>
      <c r="K165" s="825"/>
      <c r="N165" s="429"/>
      <c r="O165" s="429"/>
    </row>
    <row r="166" spans="1:17" x14ac:dyDescent="0.25">
      <c r="A166" s="843"/>
      <c r="B166" s="843"/>
      <c r="C166" s="824" t="s">
        <v>553</v>
      </c>
      <c r="D166" s="465"/>
      <c r="E166" s="465"/>
      <c r="F166" s="532">
        <f t="shared" si="28"/>
        <v>0</v>
      </c>
      <c r="G166" s="667"/>
      <c r="H166" s="465">
        <v>1</v>
      </c>
      <c r="I166" s="465">
        <f t="shared" si="29"/>
        <v>0</v>
      </c>
      <c r="J166" s="826">
        <f>I166+I167</f>
        <v>0</v>
      </c>
      <c r="K166" s="667"/>
      <c r="O166" s="706"/>
    </row>
    <row r="167" spans="1:17" x14ac:dyDescent="0.25">
      <c r="A167" s="843"/>
      <c r="B167" s="843"/>
      <c r="C167" s="825"/>
      <c r="D167" s="465"/>
      <c r="E167" s="465"/>
      <c r="F167" s="532">
        <f t="shared" si="28"/>
        <v>0</v>
      </c>
      <c r="G167" s="668"/>
      <c r="H167" s="465">
        <v>1</v>
      </c>
      <c r="I167" s="465">
        <f t="shared" si="29"/>
        <v>0</v>
      </c>
      <c r="J167" s="827"/>
      <c r="K167" s="668"/>
    </row>
    <row r="168" spans="1:17" ht="14.25" customHeight="1" x14ac:dyDescent="0.25">
      <c r="A168" s="848" t="s">
        <v>363</v>
      </c>
      <c r="B168" s="849"/>
      <c r="C168" s="492" t="s">
        <v>521</v>
      </c>
      <c r="D168" s="465">
        <v>1</v>
      </c>
      <c r="E168" s="465">
        <f>'4.lapa'!P2</f>
        <v>79.09</v>
      </c>
      <c r="F168" s="666">
        <f>D168*E168</f>
        <v>79.09</v>
      </c>
      <c r="G168" s="456"/>
      <c r="H168" s="456">
        <v>1</v>
      </c>
      <c r="I168" s="465">
        <f t="shared" si="29"/>
        <v>79.09</v>
      </c>
      <c r="J168" s="664">
        <f>H168*I168</f>
        <v>79.09</v>
      </c>
      <c r="K168" s="455"/>
      <c r="N168" s="429"/>
    </row>
    <row r="169" spans="1:17" ht="14.25" customHeight="1" x14ac:dyDescent="0.25">
      <c r="A169" s="850"/>
      <c r="B169" s="851"/>
      <c r="C169" s="492" t="s">
        <v>518</v>
      </c>
      <c r="D169" s="465"/>
      <c r="E169" s="465"/>
      <c r="F169" s="666">
        <f>D169*E169</f>
        <v>0</v>
      </c>
      <c r="G169" s="456"/>
      <c r="H169" s="456">
        <v>1</v>
      </c>
      <c r="I169" s="465">
        <f t="shared" si="29"/>
        <v>0</v>
      </c>
      <c r="J169" s="543">
        <f>I169</f>
        <v>0</v>
      </c>
      <c r="K169" s="455"/>
      <c r="N169" s="429"/>
    </row>
    <row r="170" spans="1:17" ht="14.25" customHeight="1" x14ac:dyDescent="0.25">
      <c r="A170" s="852"/>
      <c r="B170" s="853"/>
      <c r="C170" s="492" t="s">
        <v>844</v>
      </c>
      <c r="D170" s="465"/>
      <c r="E170" s="465"/>
      <c r="F170" s="666">
        <f>D170*E170</f>
        <v>0</v>
      </c>
      <c r="G170" s="456"/>
      <c r="H170" s="456">
        <v>1</v>
      </c>
      <c r="I170" s="465">
        <f>D170*E170*H170</f>
        <v>0</v>
      </c>
      <c r="J170" s="498">
        <f>I170</f>
        <v>0</v>
      </c>
      <c r="K170" s="456"/>
      <c r="N170" s="429"/>
      <c r="P170" s="429"/>
    </row>
    <row r="171" spans="1:17" ht="14.25" customHeight="1" x14ac:dyDescent="0.25">
      <c r="A171" s="517"/>
      <c r="B171" s="518"/>
      <c r="C171" s="499"/>
      <c r="D171" s="465"/>
      <c r="E171" s="465"/>
      <c r="F171" s="456"/>
      <c r="G171" s="456"/>
      <c r="H171" s="456">
        <v>1</v>
      </c>
      <c r="I171" s="465">
        <f>D171*E171*H171</f>
        <v>0</v>
      </c>
      <c r="J171" s="498">
        <f>I171*H171</f>
        <v>0</v>
      </c>
      <c r="K171" s="456"/>
      <c r="N171" s="429"/>
    </row>
    <row r="172" spans="1:17" x14ac:dyDescent="0.25">
      <c r="A172" s="430"/>
      <c r="B172" s="430"/>
      <c r="C172" s="430"/>
      <c r="D172" s="430"/>
      <c r="E172" s="430"/>
      <c r="F172" s="430"/>
      <c r="G172" s="430"/>
      <c r="H172" s="430"/>
      <c r="I172" s="430"/>
      <c r="J172" s="430"/>
      <c r="K172" s="430"/>
      <c r="P172" s="429"/>
      <c r="Q172" s="429"/>
    </row>
    <row r="173" spans="1:17" x14ac:dyDescent="0.25">
      <c r="F173" s="429"/>
      <c r="I173" s="429"/>
      <c r="L173" s="429"/>
    </row>
    <row r="176" spans="1:17" x14ac:dyDescent="0.25">
      <c r="O176" s="429"/>
    </row>
  </sheetData>
  <mergeCells count="139">
    <mergeCell ref="I1:K1"/>
    <mergeCell ref="B5:B6"/>
    <mergeCell ref="C5:C6"/>
    <mergeCell ref="G7:G16"/>
    <mergeCell ref="B7:B16"/>
    <mergeCell ref="K7:K16"/>
    <mergeCell ref="C7:C10"/>
    <mergeCell ref="J7:J10"/>
    <mergeCell ref="C11:C13"/>
    <mergeCell ref="A3:K3"/>
    <mergeCell ref="K69:K71"/>
    <mergeCell ref="H70:I70"/>
    <mergeCell ref="H71:I71"/>
    <mergeCell ref="K107:K109"/>
    <mergeCell ref="J110:J113"/>
    <mergeCell ref="K110:K119"/>
    <mergeCell ref="B107:G109"/>
    <mergeCell ref="H107:I107"/>
    <mergeCell ref="H108:I108"/>
    <mergeCell ref="H109:I109"/>
    <mergeCell ref="B110:B119"/>
    <mergeCell ref="C110:C113"/>
    <mergeCell ref="G110:G119"/>
    <mergeCell ref="K72:K79"/>
    <mergeCell ref="C76:C77"/>
    <mergeCell ref="J76:J77"/>
    <mergeCell ref="B80:B85"/>
    <mergeCell ref="J80:J85"/>
    <mergeCell ref="B86:B91"/>
    <mergeCell ref="J114:J115"/>
    <mergeCell ref="C116:C117"/>
    <mergeCell ref="J116:J117"/>
    <mergeCell ref="C118:C119"/>
    <mergeCell ref="J118:J119"/>
    <mergeCell ref="K37:K40"/>
    <mergeCell ref="A5:A6"/>
    <mergeCell ref="J11:J13"/>
    <mergeCell ref="A7:A40"/>
    <mergeCell ref="B30:B32"/>
    <mergeCell ref="J30:J32"/>
    <mergeCell ref="B33:B34"/>
    <mergeCell ref="J33:J34"/>
    <mergeCell ref="B35:B36"/>
    <mergeCell ref="J35:J36"/>
    <mergeCell ref="B37:G40"/>
    <mergeCell ref="H37:I37"/>
    <mergeCell ref="H38:I38"/>
    <mergeCell ref="H39:I39"/>
    <mergeCell ref="H40:I40"/>
    <mergeCell ref="C45:C47"/>
    <mergeCell ref="J45:J47"/>
    <mergeCell ref="B51:B56"/>
    <mergeCell ref="B69:G71"/>
    <mergeCell ref="H69:I69"/>
    <mergeCell ref="J67:J68"/>
    <mergeCell ref="G41:G50"/>
    <mergeCell ref="B17:B23"/>
    <mergeCell ref="B24:B26"/>
    <mergeCell ref="J17:J23"/>
    <mergeCell ref="J24:J26"/>
    <mergeCell ref="B27:B29"/>
    <mergeCell ref="J27:J29"/>
    <mergeCell ref="B63:B64"/>
    <mergeCell ref="J63:J64"/>
    <mergeCell ref="B65:B66"/>
    <mergeCell ref="J65:J66"/>
    <mergeCell ref="B67:B68"/>
    <mergeCell ref="K41:K50"/>
    <mergeCell ref="J51:J56"/>
    <mergeCell ref="B57:B59"/>
    <mergeCell ref="J57:J59"/>
    <mergeCell ref="B60:B62"/>
    <mergeCell ref="J60:J62"/>
    <mergeCell ref="A72:A109"/>
    <mergeCell ref="B72:B79"/>
    <mergeCell ref="C72:C75"/>
    <mergeCell ref="G72:G79"/>
    <mergeCell ref="J72:J75"/>
    <mergeCell ref="B92:B97"/>
    <mergeCell ref="J92:J97"/>
    <mergeCell ref="B98:B100"/>
    <mergeCell ref="J98:J100"/>
    <mergeCell ref="B101:B103"/>
    <mergeCell ref="J101:J103"/>
    <mergeCell ref="B104:B106"/>
    <mergeCell ref="J104:J106"/>
    <mergeCell ref="J86:J91"/>
    <mergeCell ref="A41:A71"/>
    <mergeCell ref="B41:B50"/>
    <mergeCell ref="C41:C44"/>
    <mergeCell ref="J41:J44"/>
    <mergeCell ref="B120:B124"/>
    <mergeCell ref="J120:J124"/>
    <mergeCell ref="B125:B129"/>
    <mergeCell ref="J125:J129"/>
    <mergeCell ref="A168:B170"/>
    <mergeCell ref="K144:K147"/>
    <mergeCell ref="H145:I145"/>
    <mergeCell ref="H146:I146"/>
    <mergeCell ref="H147:I147"/>
    <mergeCell ref="A148:G152"/>
    <mergeCell ref="H148:I148"/>
    <mergeCell ref="K148:K152"/>
    <mergeCell ref="H149:I149"/>
    <mergeCell ref="H150:I150"/>
    <mergeCell ref="H151:I151"/>
    <mergeCell ref="H152:I152"/>
    <mergeCell ref="A110:A147"/>
    <mergeCell ref="B130:B134"/>
    <mergeCell ref="J130:J134"/>
    <mergeCell ref="B135:B137"/>
    <mergeCell ref="J135:J137"/>
    <mergeCell ref="B138:B140"/>
    <mergeCell ref="J138:J140"/>
    <mergeCell ref="B141:B143"/>
    <mergeCell ref="J141:J143"/>
    <mergeCell ref="B144:G147"/>
    <mergeCell ref="H144:I144"/>
    <mergeCell ref="C114:C115"/>
    <mergeCell ref="C166:C167"/>
    <mergeCell ref="J166:J167"/>
    <mergeCell ref="H155:I155"/>
    <mergeCell ref="H159:I159"/>
    <mergeCell ref="K153:K159"/>
    <mergeCell ref="K160:K163"/>
    <mergeCell ref="K164:K165"/>
    <mergeCell ref="G160:G163"/>
    <mergeCell ref="G164:G165"/>
    <mergeCell ref="A153:G159"/>
    <mergeCell ref="H153:I153"/>
    <mergeCell ref="H154:I154"/>
    <mergeCell ref="H156:I156"/>
    <mergeCell ref="H157:I157"/>
    <mergeCell ref="H158:I158"/>
    <mergeCell ref="A160:B167"/>
    <mergeCell ref="C160:C163"/>
    <mergeCell ref="J160:J163"/>
    <mergeCell ref="C164:C165"/>
    <mergeCell ref="J164:J165"/>
  </mergeCells>
  <printOptions horizontalCentered="1"/>
  <pageMargins left="0.9055118110236221" right="0.70866141732283472" top="0.74803149606299213" bottom="0.74803149606299213" header="0.31496062992125984" footer="0.31496062992125984"/>
  <pageSetup paperSize="9" scale="33" orientation="portrait" r:id="rId1"/>
  <headerFooter>
    <oddFooter>&amp;C&amp;A&amp;R&amp;F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W49"/>
  <sheetViews>
    <sheetView showGridLines="0" view="pageBreakPreview" topLeftCell="A2" zoomScaleNormal="100" zoomScaleSheetLayoutView="100" workbookViewId="0">
      <selection activeCell="T28" sqref="T28"/>
    </sheetView>
  </sheetViews>
  <sheetFormatPr defaultColWidth="9.140625" defaultRowHeight="12.75" x14ac:dyDescent="0.2"/>
  <cols>
    <col min="1" max="1" width="3.7109375" style="2" customWidth="1"/>
    <col min="2" max="2" width="1.5703125" style="2" customWidth="1"/>
    <col min="3" max="3" width="8.140625" style="2" customWidth="1"/>
    <col min="4" max="5" width="7.7109375" style="2" customWidth="1"/>
    <col min="6" max="9" width="10.28515625" style="2" customWidth="1"/>
    <col min="10" max="10" width="0.85546875" style="2" customWidth="1"/>
    <col min="11" max="11" width="8.5703125" style="2" customWidth="1"/>
    <col min="12" max="12" width="4.28515625" style="2" customWidth="1"/>
    <col min="13" max="16384" width="9.140625" style="2"/>
  </cols>
  <sheetData>
    <row r="1" spans="2:22" ht="29.25" hidden="1" customHeight="1" x14ac:dyDescent="0.2">
      <c r="B1" s="864" t="s">
        <v>217</v>
      </c>
      <c r="C1" s="865"/>
      <c r="D1" s="865"/>
      <c r="E1" s="865"/>
      <c r="F1" s="865"/>
      <c r="G1" s="865"/>
      <c r="H1" s="865"/>
      <c r="I1" s="865"/>
      <c r="J1" s="865"/>
      <c r="K1" s="865"/>
      <c r="L1" s="866"/>
      <c r="M1" s="438"/>
      <c r="N1" s="438"/>
      <c r="O1" s="438"/>
    </row>
    <row r="2" spans="2:22" ht="43.15" customHeight="1" x14ac:dyDescent="0.2"/>
    <row r="3" spans="2:22" ht="15.6" customHeight="1" x14ac:dyDescent="0.2">
      <c r="B3" s="385"/>
      <c r="C3" s="99"/>
      <c r="D3" s="99"/>
      <c r="E3" s="99"/>
      <c r="F3" s="99"/>
      <c r="G3" s="99"/>
      <c r="H3" s="99"/>
      <c r="I3" s="99"/>
      <c r="J3" s="99"/>
      <c r="K3" s="99"/>
      <c r="L3" s="81"/>
    </row>
    <row r="4" spans="2:22" ht="21" customHeight="1" x14ac:dyDescent="0.2">
      <c r="B4" s="386"/>
      <c r="C4" s="387"/>
      <c r="D4" s="868" t="s">
        <v>518</v>
      </c>
      <c r="E4" s="868"/>
      <c r="F4" s="868"/>
      <c r="G4" s="868"/>
      <c r="H4" s="868"/>
      <c r="I4" s="868"/>
      <c r="J4" s="868"/>
      <c r="K4" s="869"/>
      <c r="L4" s="83"/>
      <c r="O4" s="2" t="s">
        <v>90</v>
      </c>
      <c r="P4" s="2" t="s">
        <v>91</v>
      </c>
      <c r="Q4" s="2" t="s">
        <v>392</v>
      </c>
      <c r="R4" s="2" t="s">
        <v>393</v>
      </c>
    </row>
    <row r="5" spans="2:22" ht="14.45" customHeight="1" x14ac:dyDescent="0.2">
      <c r="B5" s="354"/>
      <c r="C5" s="341"/>
      <c r="D5" s="341"/>
      <c r="E5" s="341"/>
      <c r="F5" s="341"/>
      <c r="G5" s="341"/>
      <c r="H5" s="341"/>
      <c r="I5" s="341"/>
      <c r="J5" s="341"/>
      <c r="K5" s="341"/>
      <c r="L5" s="83"/>
    </row>
    <row r="6" spans="2:22" ht="15" customHeight="1" x14ac:dyDescent="0.25">
      <c r="B6" s="354"/>
      <c r="C6" s="870" t="s">
        <v>299</v>
      </c>
      <c r="D6" s="870"/>
      <c r="E6" s="870"/>
      <c r="F6" s="870"/>
      <c r="G6" s="341" t="s">
        <v>300</v>
      </c>
      <c r="H6" s="930">
        <v>0.17</v>
      </c>
      <c r="I6" s="930"/>
      <c r="J6" s="930"/>
      <c r="K6" s="359"/>
      <c r="L6" s="83"/>
    </row>
    <row r="7" spans="2:22" ht="15" x14ac:dyDescent="0.25">
      <c r="B7" s="354"/>
      <c r="C7" s="870"/>
      <c r="D7" s="870"/>
      <c r="E7" s="870"/>
      <c r="F7" s="870"/>
      <c r="G7" s="341" t="s">
        <v>301</v>
      </c>
      <c r="H7" s="930">
        <v>0</v>
      </c>
      <c r="I7" s="930"/>
      <c r="J7" s="930"/>
      <c r="K7" s="359"/>
      <c r="L7" s="83"/>
      <c r="U7" s="2">
        <v>35.799999999999997</v>
      </c>
      <c r="V7" s="2">
        <v>23</v>
      </c>
    </row>
    <row r="8" spans="2:22" x14ac:dyDescent="0.2">
      <c r="B8" s="389"/>
      <c r="C8" s="390"/>
      <c r="D8" s="390"/>
      <c r="E8" s="390"/>
      <c r="F8" s="390"/>
      <c r="G8" s="390"/>
      <c r="H8" s="390"/>
      <c r="I8" s="391"/>
      <c r="J8" s="391"/>
      <c r="K8" s="391"/>
      <c r="L8" s="392"/>
      <c r="U8" s="2">
        <v>11.2</v>
      </c>
      <c r="V8" s="2">
        <v>6.4</v>
      </c>
    </row>
    <row r="9" spans="2:22" ht="13.9" customHeight="1" x14ac:dyDescent="0.2">
      <c r="B9" s="389"/>
      <c r="C9" s="390"/>
      <c r="D9" s="390"/>
      <c r="E9" s="1120" t="s">
        <v>155</v>
      </c>
      <c r="F9" s="1120"/>
      <c r="G9" s="1120"/>
      <c r="H9" s="391" t="s">
        <v>145</v>
      </c>
      <c r="I9" s="531">
        <f>'6.lapa'!M19/1000</f>
        <v>5.0000000000000001E-4</v>
      </c>
      <c r="J9" s="391"/>
      <c r="K9" s="391"/>
      <c r="L9" s="392"/>
      <c r="U9" s="2">
        <v>5.3</v>
      </c>
      <c r="V9" s="2">
        <v>8.5</v>
      </c>
    </row>
    <row r="10" spans="2:22" ht="15" customHeight="1" x14ac:dyDescent="0.2">
      <c r="B10" s="394"/>
      <c r="C10" s="395"/>
      <c r="D10" s="395"/>
      <c r="E10" s="1121" t="s">
        <v>374</v>
      </c>
      <c r="F10" s="1121"/>
      <c r="G10" s="1121"/>
      <c r="H10" s="396" t="s">
        <v>9</v>
      </c>
      <c r="I10" s="565">
        <v>75.8</v>
      </c>
      <c r="J10" s="396"/>
      <c r="L10" s="83"/>
      <c r="U10" s="2">
        <v>7.6</v>
      </c>
      <c r="V10" s="2">
        <v>15.3</v>
      </c>
    </row>
    <row r="11" spans="2:22" ht="14.45" customHeight="1" x14ac:dyDescent="0.2">
      <c r="B11" s="394"/>
      <c r="C11" s="398"/>
      <c r="D11" s="395"/>
      <c r="E11" s="1121" t="s">
        <v>157</v>
      </c>
      <c r="F11" s="1121"/>
      <c r="G11" s="1121"/>
      <c r="H11" s="399" t="s">
        <v>129</v>
      </c>
      <c r="I11" s="486">
        <f>(6.3+3.3+11.45)*2</f>
        <v>42.099999999999994</v>
      </c>
      <c r="J11" s="399"/>
      <c r="L11" s="83"/>
      <c r="N11" s="454">
        <f>I10/I11</f>
        <v>1.800475059382423</v>
      </c>
      <c r="U11" s="2">
        <v>4.8</v>
      </c>
      <c r="V11" s="2">
        <v>13</v>
      </c>
    </row>
    <row r="12" spans="2:22" x14ac:dyDescent="0.2">
      <c r="B12" s="394"/>
      <c r="C12" s="398"/>
      <c r="D12" s="400"/>
      <c r="E12" s="1113" t="s">
        <v>158</v>
      </c>
      <c r="F12" s="1113"/>
      <c r="G12" s="1113"/>
      <c r="H12" s="399" t="s">
        <v>130</v>
      </c>
      <c r="I12" s="465">
        <f>ROUND(I10/(0.5*I11),2)</f>
        <v>3.6</v>
      </c>
      <c r="J12" s="399"/>
      <c r="L12" s="83"/>
      <c r="N12" s="2">
        <v>1.8</v>
      </c>
      <c r="U12" s="2">
        <v>27</v>
      </c>
    </row>
    <row r="13" spans="2:22" x14ac:dyDescent="0.2">
      <c r="B13" s="394"/>
      <c r="C13" s="398"/>
      <c r="D13" s="404"/>
      <c r="E13" s="398"/>
      <c r="F13" s="398"/>
      <c r="G13" s="398"/>
      <c r="H13" s="335"/>
      <c r="L13" s="83"/>
      <c r="U13" s="2">
        <v>29.2</v>
      </c>
    </row>
    <row r="14" spans="2:22" x14ac:dyDescent="0.2">
      <c r="B14" s="394"/>
      <c r="C14" s="1121" t="s">
        <v>133</v>
      </c>
      <c r="D14" s="1121"/>
      <c r="E14" s="1121"/>
      <c r="F14" s="1121"/>
      <c r="G14" s="1121"/>
      <c r="H14" s="418" t="s">
        <v>10</v>
      </c>
      <c r="I14" s="532">
        <v>2</v>
      </c>
      <c r="J14" s="403"/>
      <c r="L14" s="83"/>
      <c r="U14" s="2">
        <v>16</v>
      </c>
    </row>
    <row r="15" spans="2:22" x14ac:dyDescent="0.2">
      <c r="B15" s="86"/>
      <c r="H15" s="762"/>
      <c r="I15" s="762"/>
      <c r="J15" s="335"/>
      <c r="L15" s="83"/>
      <c r="U15" s="2">
        <v>13.3</v>
      </c>
    </row>
    <row r="16" spans="2:22" ht="33" customHeight="1" x14ac:dyDescent="0.2">
      <c r="B16" s="339"/>
      <c r="C16" s="961" t="s">
        <v>6</v>
      </c>
      <c r="D16" s="961"/>
      <c r="E16" s="961"/>
      <c r="F16" s="489" t="s">
        <v>326</v>
      </c>
      <c r="G16" s="489" t="s">
        <v>327</v>
      </c>
      <c r="H16" s="489" t="s">
        <v>412</v>
      </c>
      <c r="I16" s="489" t="s">
        <v>329</v>
      </c>
      <c r="J16" s="405"/>
      <c r="K16" s="489" t="s">
        <v>406</v>
      </c>
      <c r="L16" s="83"/>
      <c r="U16" s="2">
        <v>13</v>
      </c>
    </row>
    <row r="17" spans="2:23" x14ac:dyDescent="0.2">
      <c r="B17" s="367"/>
      <c r="C17" s="874" t="s">
        <v>223</v>
      </c>
      <c r="D17" s="874"/>
      <c r="E17" s="874"/>
      <c r="F17" s="459">
        <v>0.13</v>
      </c>
      <c r="G17" s="459">
        <v>0</v>
      </c>
      <c r="H17" s="459">
        <f t="shared" ref="H17:H23" si="0">F17+G17</f>
        <v>0.13</v>
      </c>
      <c r="I17" s="456">
        <f>ROUND(K17/H17,3)</f>
        <v>0.154</v>
      </c>
      <c r="J17" s="335"/>
      <c r="K17" s="485">
        <v>0.02</v>
      </c>
      <c r="L17" s="83"/>
      <c r="O17" s="2">
        <f>SUM(O5:O16)</f>
        <v>0</v>
      </c>
      <c r="P17" s="2">
        <f>SUM(P5:P16)</f>
        <v>0</v>
      </c>
      <c r="Q17" s="2">
        <f>SUM(Q5:Q16)</f>
        <v>0</v>
      </c>
      <c r="R17" s="2">
        <f>SUM(R5:R16)</f>
        <v>0</v>
      </c>
      <c r="S17" s="453">
        <f>SUM(O17:R17)</f>
        <v>0</v>
      </c>
      <c r="U17" s="2">
        <f>SUM(U7:U16)</f>
        <v>163.20000000000002</v>
      </c>
      <c r="V17" s="2">
        <f>SUM(V7:V16)</f>
        <v>66.2</v>
      </c>
      <c r="W17" s="2">
        <f>U17+V17</f>
        <v>229.40000000000003</v>
      </c>
    </row>
    <row r="18" spans="2:23" x14ac:dyDescent="0.2">
      <c r="B18" s="367"/>
      <c r="C18" s="1111" t="s">
        <v>554</v>
      </c>
      <c r="D18" s="1111"/>
      <c r="E18" s="1111"/>
      <c r="F18" s="586">
        <v>1.7</v>
      </c>
      <c r="G18" s="586">
        <v>0</v>
      </c>
      <c r="H18" s="459">
        <f t="shared" si="0"/>
        <v>1.7</v>
      </c>
      <c r="I18" s="456">
        <f t="shared" ref="I18:I23" si="1">ROUND(K18/H18,3)</f>
        <v>4.7E-2</v>
      </c>
      <c r="J18" s="335"/>
      <c r="K18" s="485">
        <v>0.08</v>
      </c>
      <c r="L18" s="407"/>
    </row>
    <row r="19" spans="2:23" x14ac:dyDescent="0.2">
      <c r="B19" s="367"/>
      <c r="C19" s="1111" t="s">
        <v>386</v>
      </c>
      <c r="D19" s="1111"/>
      <c r="E19" s="1111"/>
      <c r="F19" s="586">
        <v>3.2000000000000001E-2</v>
      </c>
      <c r="G19" s="586">
        <v>2E-3</v>
      </c>
      <c r="H19" s="459">
        <f t="shared" si="0"/>
        <v>3.4000000000000002E-2</v>
      </c>
      <c r="I19" s="456">
        <f t="shared" si="1"/>
        <v>2.9409999999999998</v>
      </c>
      <c r="J19" s="335"/>
      <c r="K19" s="485">
        <v>0.1</v>
      </c>
      <c r="L19" s="83"/>
      <c r="Q19" s="377"/>
    </row>
    <row r="20" spans="2:23" hidden="1" x14ac:dyDescent="0.2">
      <c r="B20" s="367"/>
      <c r="C20" s="1111" t="s">
        <v>395</v>
      </c>
      <c r="D20" s="1111"/>
      <c r="E20" s="1111"/>
      <c r="F20" s="586">
        <v>1.7</v>
      </c>
      <c r="G20" s="586">
        <v>0</v>
      </c>
      <c r="H20" s="459">
        <f t="shared" si="0"/>
        <v>1.7</v>
      </c>
      <c r="I20" s="456">
        <f t="shared" si="1"/>
        <v>0</v>
      </c>
      <c r="J20" s="335"/>
      <c r="K20" s="485">
        <v>0</v>
      </c>
      <c r="L20" s="83"/>
    </row>
    <row r="21" spans="2:23" ht="13.9" hidden="1" customHeight="1" x14ac:dyDescent="0.2">
      <c r="B21" s="367"/>
      <c r="C21" s="1111" t="s">
        <v>416</v>
      </c>
      <c r="D21" s="1111"/>
      <c r="E21" s="1111"/>
      <c r="F21" s="586">
        <v>0</v>
      </c>
      <c r="G21" s="586">
        <v>0</v>
      </c>
      <c r="H21" s="459">
        <v>3.4000000000000002E-2</v>
      </c>
      <c r="I21" s="456">
        <f t="shared" si="1"/>
        <v>0</v>
      </c>
      <c r="J21" s="335"/>
      <c r="K21" s="485">
        <v>0</v>
      </c>
      <c r="L21" s="83"/>
    </row>
    <row r="22" spans="2:23" ht="13.9" hidden="1" customHeight="1" x14ac:dyDescent="0.2">
      <c r="B22" s="367"/>
      <c r="C22" s="1111" t="s">
        <v>484</v>
      </c>
      <c r="D22" s="1111"/>
      <c r="E22" s="1111"/>
      <c r="F22" s="586">
        <v>0.09</v>
      </c>
      <c r="G22" s="586">
        <v>0.01</v>
      </c>
      <c r="H22" s="459">
        <f t="shared" si="0"/>
        <v>9.9999999999999992E-2</v>
      </c>
      <c r="I22" s="465">
        <f t="shared" si="1"/>
        <v>0</v>
      </c>
      <c r="J22" s="335"/>
      <c r="K22" s="485">
        <v>0</v>
      </c>
      <c r="L22" s="83"/>
    </row>
    <row r="23" spans="2:23" ht="13.9" customHeight="1" x14ac:dyDescent="0.2">
      <c r="B23" s="367"/>
      <c r="C23" s="1111" t="s">
        <v>522</v>
      </c>
      <c r="D23" s="1111"/>
      <c r="E23" s="1111"/>
      <c r="F23" s="586">
        <v>1.7</v>
      </c>
      <c r="G23" s="586">
        <v>0</v>
      </c>
      <c r="H23" s="459">
        <f t="shared" si="0"/>
        <v>1.7</v>
      </c>
      <c r="I23" s="456">
        <f t="shared" si="1"/>
        <v>0.11799999999999999</v>
      </c>
      <c r="J23" s="335"/>
      <c r="K23" s="485">
        <v>0.2</v>
      </c>
      <c r="L23" s="83"/>
    </row>
    <row r="24" spans="2:23" x14ac:dyDescent="0.2">
      <c r="B24" s="339"/>
      <c r="C24" s="977"/>
      <c r="D24" s="977"/>
      <c r="E24" s="977"/>
      <c r="F24" s="977"/>
      <c r="G24" s="977"/>
      <c r="H24" s="977"/>
      <c r="I24" s="335"/>
      <c r="J24" s="335"/>
      <c r="K24" s="343" t="s">
        <v>106</v>
      </c>
      <c r="L24" s="83"/>
    </row>
    <row r="25" spans="2:23" ht="16.5" thickBot="1" x14ac:dyDescent="0.25">
      <c r="B25" s="339"/>
      <c r="C25" s="411"/>
      <c r="D25" s="411"/>
      <c r="E25" s="411"/>
      <c r="F25" s="411"/>
      <c r="G25" s="411"/>
      <c r="H25" s="411"/>
      <c r="I25" s="335"/>
      <c r="J25" s="335"/>
      <c r="K25" s="381">
        <f>ROUND(SUM(K17:K23)*1000,0)</f>
        <v>400</v>
      </c>
      <c r="L25" s="83" t="s">
        <v>120</v>
      </c>
    </row>
    <row r="26" spans="2:23" ht="14.45" customHeight="1" x14ac:dyDescent="0.2">
      <c r="B26" s="339"/>
      <c r="C26" s="411"/>
      <c r="D26" s="411"/>
      <c r="E26" s="411"/>
      <c r="F26" s="411"/>
      <c r="G26" s="411"/>
      <c r="H26" s="411"/>
      <c r="I26" s="335"/>
      <c r="J26" s="335"/>
      <c r="L26" s="83"/>
      <c r="N26" s="1114">
        <v>0.9</v>
      </c>
      <c r="O26" s="1115"/>
    </row>
    <row r="27" spans="2:23" ht="15" x14ac:dyDescent="0.2">
      <c r="B27" s="1112" t="s">
        <v>373</v>
      </c>
      <c r="C27" s="1113"/>
      <c r="D27" s="1113"/>
      <c r="E27" s="1113"/>
      <c r="F27" s="1113"/>
      <c r="G27" s="1113"/>
      <c r="H27" s="412" t="s">
        <v>332</v>
      </c>
      <c r="I27" s="565">
        <f>SUM(I17:I24)+H6+H7</f>
        <v>3.4299999999999997</v>
      </c>
      <c r="J27" s="335"/>
      <c r="L27" s="407"/>
      <c r="N27" s="1116"/>
      <c r="O27" s="1117"/>
    </row>
    <row r="28" spans="2:23" ht="14.25" x14ac:dyDescent="0.2">
      <c r="B28" s="339"/>
      <c r="C28" s="1113" t="s">
        <v>160</v>
      </c>
      <c r="D28" s="1113"/>
      <c r="E28" s="1113"/>
      <c r="F28" s="1113"/>
      <c r="G28" s="1113"/>
      <c r="H28" s="418" t="s">
        <v>333</v>
      </c>
      <c r="I28" s="492">
        <f>I9+(I14*I27)</f>
        <v>6.8604999999999992</v>
      </c>
      <c r="J28" s="335"/>
      <c r="L28" s="83"/>
      <c r="N28" s="1116"/>
      <c r="O28" s="1117"/>
    </row>
    <row r="29" spans="2:23" ht="15.75" thickBot="1" x14ac:dyDescent="0.25">
      <c r="B29" s="339"/>
      <c r="C29" s="836" t="s">
        <v>334</v>
      </c>
      <c r="D29" s="836"/>
      <c r="E29" s="836"/>
      <c r="F29" s="836"/>
      <c r="G29" s="836"/>
      <c r="H29" s="418" t="s">
        <v>335</v>
      </c>
      <c r="I29" s="477">
        <f>IF(I12&lt;I28,I14/((0.457*I12)+I28),(2*I14/((3.14*I12)+I28)))*(LN((3.14*I12/I28)+1))*N26</f>
        <v>0.20605474752431191</v>
      </c>
      <c r="J29" s="952"/>
      <c r="K29" s="952"/>
      <c r="L29" s="415"/>
      <c r="N29" s="1118"/>
      <c r="O29" s="1119"/>
    </row>
    <row r="30" spans="2:23" hidden="1" x14ac:dyDescent="0.2">
      <c r="B30" s="339"/>
      <c r="C30" s="416"/>
      <c r="D30" s="416"/>
      <c r="E30" s="416"/>
      <c r="F30" s="416"/>
      <c r="G30" s="416"/>
      <c r="H30" s="418"/>
      <c r="I30" s="380"/>
      <c r="J30" s="417"/>
      <c r="K30" s="417"/>
      <c r="L30" s="415"/>
    </row>
    <row r="31" spans="2:23" ht="13.9" hidden="1" customHeight="1" x14ac:dyDescent="0.2">
      <c r="B31" s="339"/>
      <c r="C31" s="953"/>
      <c r="D31" s="953"/>
      <c r="E31" s="953"/>
      <c r="F31" s="953"/>
      <c r="G31" s="953"/>
      <c r="H31" s="953"/>
      <c r="I31" s="953"/>
      <c r="J31" s="417"/>
      <c r="K31" s="417"/>
      <c r="L31" s="415"/>
    </row>
    <row r="32" spans="2:23" ht="15" hidden="1" customHeight="1" x14ac:dyDescent="0.2">
      <c r="B32" s="339"/>
      <c r="C32" s="836" t="s">
        <v>161</v>
      </c>
      <c r="D32" s="836"/>
      <c r="E32" s="836"/>
      <c r="F32" s="836"/>
      <c r="G32" s="836"/>
      <c r="H32" s="418" t="s">
        <v>336</v>
      </c>
      <c r="I32" s="490">
        <v>0.1</v>
      </c>
      <c r="J32" s="417"/>
      <c r="K32" s="417"/>
      <c r="L32" s="415"/>
    </row>
    <row r="33" spans="2:15" ht="15" hidden="1" customHeight="1" x14ac:dyDescent="0.2">
      <c r="B33" s="339"/>
      <c r="C33" s="836" t="s">
        <v>163</v>
      </c>
      <c r="D33" s="836"/>
      <c r="E33" s="836"/>
      <c r="F33" s="836"/>
      <c r="G33" s="836"/>
      <c r="H33" s="418" t="s">
        <v>337</v>
      </c>
      <c r="I33" s="490">
        <v>3.4000000000000002E-2</v>
      </c>
      <c r="J33" s="417"/>
      <c r="K33" s="417"/>
      <c r="L33" s="415"/>
    </row>
    <row r="34" spans="2:15" ht="15" hidden="1" customHeight="1" x14ac:dyDescent="0.2">
      <c r="B34" s="339"/>
      <c r="C34" s="836" t="s">
        <v>339</v>
      </c>
      <c r="D34" s="836"/>
      <c r="E34" s="836"/>
      <c r="F34" s="836"/>
      <c r="G34" s="836"/>
      <c r="H34" s="418" t="s">
        <v>340</v>
      </c>
      <c r="I34" s="477">
        <f>I32/(I33)</f>
        <v>2.9411764705882351</v>
      </c>
      <c r="J34" s="417"/>
      <c r="K34" s="417"/>
      <c r="L34" s="415"/>
    </row>
    <row r="35" spans="2:15" ht="15" hidden="1" customHeight="1" x14ac:dyDescent="0.2">
      <c r="B35" s="339"/>
      <c r="C35" s="836" t="s">
        <v>341</v>
      </c>
      <c r="D35" s="836"/>
      <c r="E35" s="836"/>
      <c r="F35" s="836"/>
      <c r="G35" s="836"/>
      <c r="H35" s="418" t="s">
        <v>169</v>
      </c>
      <c r="I35" s="477">
        <f>I34-(I32/I14)</f>
        <v>2.8911764705882352</v>
      </c>
      <c r="J35" s="417"/>
      <c r="K35" s="417"/>
      <c r="L35" s="415"/>
    </row>
    <row r="36" spans="2:15" ht="13.9" hidden="1" customHeight="1" x14ac:dyDescent="0.2">
      <c r="B36" s="339"/>
      <c r="C36" s="836" t="s">
        <v>170</v>
      </c>
      <c r="D36" s="836"/>
      <c r="E36" s="836"/>
      <c r="F36" s="836"/>
      <c r="G36" s="836"/>
      <c r="H36" s="418" t="s">
        <v>171</v>
      </c>
      <c r="I36" s="477">
        <f>I35*I14</f>
        <v>5.7823529411764705</v>
      </c>
      <c r="J36" s="417"/>
      <c r="K36" s="417"/>
      <c r="L36" s="415"/>
    </row>
    <row r="37" spans="2:15" ht="13.9" hidden="1" customHeight="1" x14ac:dyDescent="0.2">
      <c r="B37" s="339"/>
      <c r="C37" s="836" t="s">
        <v>173</v>
      </c>
      <c r="D37" s="836"/>
      <c r="E37" s="836"/>
      <c r="F37" s="836"/>
      <c r="G37" s="836"/>
      <c r="H37" s="418" t="s">
        <v>42</v>
      </c>
      <c r="I37" s="487">
        <v>0.08</v>
      </c>
      <c r="J37" s="417"/>
      <c r="K37" s="417"/>
      <c r="L37" s="415"/>
    </row>
    <row r="38" spans="2:15" ht="13.9" hidden="1" customHeight="1" x14ac:dyDescent="0.2">
      <c r="B38" s="339"/>
      <c r="C38" s="836" t="s">
        <v>176</v>
      </c>
      <c r="D38" s="836"/>
      <c r="E38" s="836"/>
      <c r="F38" s="836"/>
      <c r="G38" s="836"/>
      <c r="H38" s="418" t="s">
        <v>172</v>
      </c>
      <c r="I38" s="477">
        <f>-I14/3.14*((LN((I37/I28)+1)-LN(((I37/(I28+I36))+1))))</f>
        <v>-3.366715085709961E-3</v>
      </c>
      <c r="J38" s="417"/>
      <c r="K38" s="417"/>
      <c r="L38" s="415"/>
    </row>
    <row r="39" spans="2:15" ht="13.9" customHeight="1" x14ac:dyDescent="0.2">
      <c r="B39" s="339"/>
      <c r="C39" s="416"/>
      <c r="D39" s="416"/>
      <c r="E39" s="416"/>
      <c r="F39" s="416"/>
      <c r="G39" s="416"/>
      <c r="H39" s="418"/>
      <c r="I39" s="380"/>
      <c r="J39" s="417"/>
      <c r="K39" s="417"/>
      <c r="L39" s="415"/>
    </row>
    <row r="40" spans="2:15" ht="14.25" x14ac:dyDescent="0.2">
      <c r="B40" s="339"/>
      <c r="C40" s="836" t="s">
        <v>161</v>
      </c>
      <c r="D40" s="836"/>
      <c r="E40" s="836"/>
      <c r="F40" s="836"/>
      <c r="G40" s="836"/>
      <c r="H40" s="418" t="s">
        <v>336</v>
      </c>
      <c r="I40" s="490">
        <v>0</v>
      </c>
      <c r="J40" s="417"/>
      <c r="K40" s="417"/>
      <c r="L40" s="415"/>
    </row>
    <row r="41" spans="2:15" ht="14.25" x14ac:dyDescent="0.2">
      <c r="B41" s="339"/>
      <c r="C41" s="836" t="s">
        <v>163</v>
      </c>
      <c r="D41" s="836"/>
      <c r="E41" s="836"/>
      <c r="F41" s="836"/>
      <c r="G41" s="836"/>
      <c r="H41" s="418" t="s">
        <v>337</v>
      </c>
      <c r="I41" s="490">
        <v>3.5999999999999997E-2</v>
      </c>
      <c r="J41" s="417"/>
      <c r="K41" s="417"/>
      <c r="L41" s="415"/>
    </row>
    <row r="42" spans="2:15" ht="15" x14ac:dyDescent="0.2">
      <c r="B42" s="339"/>
      <c r="C42" s="836" t="s">
        <v>339</v>
      </c>
      <c r="D42" s="836"/>
      <c r="E42" s="836"/>
      <c r="F42" s="836"/>
      <c r="G42" s="836"/>
      <c r="H42" s="418" t="s">
        <v>340</v>
      </c>
      <c r="I42" s="477">
        <f>I40/(I41)</f>
        <v>0</v>
      </c>
      <c r="J42" s="417"/>
      <c r="K42" s="417"/>
      <c r="L42" s="415"/>
      <c r="O42" s="2">
        <v>0.20599999999999999</v>
      </c>
    </row>
    <row r="43" spans="2:15" ht="15" x14ac:dyDescent="0.2">
      <c r="B43" s="339"/>
      <c r="C43" s="836" t="s">
        <v>341</v>
      </c>
      <c r="D43" s="836"/>
      <c r="E43" s="836"/>
      <c r="F43" s="836"/>
      <c r="G43" s="836"/>
      <c r="H43" s="418" t="s">
        <v>169</v>
      </c>
      <c r="I43" s="477">
        <f>I42-(I40/I14)</f>
        <v>0</v>
      </c>
      <c r="J43" s="417"/>
      <c r="K43" s="417"/>
      <c r="L43" s="415"/>
    </row>
    <row r="44" spans="2:15" x14ac:dyDescent="0.2">
      <c r="B44" s="339"/>
      <c r="C44" s="836" t="s">
        <v>170</v>
      </c>
      <c r="D44" s="836"/>
      <c r="E44" s="836"/>
      <c r="F44" s="836"/>
      <c r="G44" s="836"/>
      <c r="H44" s="418" t="s">
        <v>171</v>
      </c>
      <c r="I44" s="477">
        <f>I43*I14</f>
        <v>0</v>
      </c>
      <c r="J44" s="417"/>
      <c r="K44" s="417"/>
      <c r="L44" s="415"/>
    </row>
    <row r="45" spans="2:15" x14ac:dyDescent="0.2">
      <c r="B45" s="339"/>
      <c r="C45" s="836" t="s">
        <v>174</v>
      </c>
      <c r="D45" s="836"/>
      <c r="E45" s="836"/>
      <c r="F45" s="836"/>
      <c r="G45" s="836"/>
      <c r="H45" s="418" t="s">
        <v>42</v>
      </c>
      <c r="I45" s="487">
        <v>0</v>
      </c>
      <c r="J45" s="417"/>
      <c r="K45" s="417"/>
      <c r="L45" s="415"/>
    </row>
    <row r="46" spans="2:15" x14ac:dyDescent="0.2">
      <c r="B46" s="339"/>
      <c r="C46" s="836" t="s">
        <v>175</v>
      </c>
      <c r="D46" s="836"/>
      <c r="E46" s="836"/>
      <c r="F46" s="836"/>
      <c r="G46" s="836"/>
      <c r="H46" s="418" t="s">
        <v>172</v>
      </c>
      <c r="I46" s="477">
        <f>-I14/3.14*((LN((2*I45/I28)+1)-LN(((2*I45/(I28+I44))+1))))</f>
        <v>0</v>
      </c>
      <c r="J46" s="417"/>
      <c r="K46" s="417"/>
      <c r="L46" s="415"/>
    </row>
    <row r="47" spans="2:15" x14ac:dyDescent="0.2">
      <c r="B47" s="339"/>
      <c r="C47" s="416"/>
      <c r="D47" s="416"/>
      <c r="E47" s="416"/>
      <c r="F47" s="416"/>
      <c r="G47" s="416"/>
      <c r="H47" s="418"/>
      <c r="I47" s="380"/>
      <c r="J47" s="417"/>
      <c r="K47" s="417"/>
      <c r="L47" s="415"/>
    </row>
    <row r="48" spans="2:15" ht="21" x14ac:dyDescent="0.25">
      <c r="B48" s="339"/>
      <c r="C48" s="416"/>
      <c r="D48" s="416"/>
      <c r="E48" s="416"/>
      <c r="F48" s="416"/>
      <c r="G48" s="416"/>
      <c r="H48" s="447" t="s">
        <v>93</v>
      </c>
      <c r="I48" s="582">
        <f>(IF(I46&lt;I38,I29+((2*I46)/I12),I29+((2*I38)/I12)))</f>
        <v>0.20418435025447304</v>
      </c>
      <c r="J48" s="1109" t="s">
        <v>342</v>
      </c>
      <c r="K48" s="1110"/>
      <c r="L48" s="415"/>
    </row>
    <row r="49" spans="2:12" x14ac:dyDescent="0.2">
      <c r="B49" s="352"/>
      <c r="C49" s="424"/>
      <c r="D49" s="424"/>
      <c r="E49" s="424"/>
      <c r="F49" s="424"/>
      <c r="G49" s="424"/>
      <c r="H49" s="425"/>
      <c r="I49" s="426"/>
      <c r="J49" s="427"/>
      <c r="K49" s="427"/>
      <c r="L49" s="428"/>
    </row>
  </sheetData>
  <mergeCells count="41">
    <mergeCell ref="N26:O29"/>
    <mergeCell ref="C16:E16"/>
    <mergeCell ref="B1:L1"/>
    <mergeCell ref="D4:K4"/>
    <mergeCell ref="C6:F7"/>
    <mergeCell ref="H6:J6"/>
    <mergeCell ref="H7:J7"/>
    <mergeCell ref="E9:G9"/>
    <mergeCell ref="E10:G10"/>
    <mergeCell ref="E11:G11"/>
    <mergeCell ref="E12:G12"/>
    <mergeCell ref="C14:G14"/>
    <mergeCell ref="H15:I15"/>
    <mergeCell ref="J29:K29"/>
    <mergeCell ref="C17:E17"/>
    <mergeCell ref="C18:E18"/>
    <mergeCell ref="C19:E19"/>
    <mergeCell ref="C20:E20"/>
    <mergeCell ref="C21:E21"/>
    <mergeCell ref="C22:E22"/>
    <mergeCell ref="C35:G35"/>
    <mergeCell ref="C23:E23"/>
    <mergeCell ref="C24:H24"/>
    <mergeCell ref="B27:G27"/>
    <mergeCell ref="C28:G28"/>
    <mergeCell ref="C29:G29"/>
    <mergeCell ref="C31:I31"/>
    <mergeCell ref="C32:G32"/>
    <mergeCell ref="C33:G33"/>
    <mergeCell ref="C34:G34"/>
    <mergeCell ref="J48:K48"/>
    <mergeCell ref="C36:G36"/>
    <mergeCell ref="C37:G37"/>
    <mergeCell ref="C38:G38"/>
    <mergeCell ref="C40:G40"/>
    <mergeCell ref="C41:G41"/>
    <mergeCell ref="C42:G42"/>
    <mergeCell ref="C43:G43"/>
    <mergeCell ref="C44:G44"/>
    <mergeCell ref="C45:G45"/>
    <mergeCell ref="C46:G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53"/>
  <sheetViews>
    <sheetView topLeftCell="A9" zoomScaleNormal="100" workbookViewId="0">
      <selection activeCell="P32" sqref="P32"/>
    </sheetView>
  </sheetViews>
  <sheetFormatPr defaultColWidth="9.140625" defaultRowHeight="12.75" x14ac:dyDescent="0.2"/>
  <cols>
    <col min="1" max="1" width="4.140625" style="60" customWidth="1"/>
    <col min="2" max="2" width="8.140625" style="60" customWidth="1"/>
    <col min="3" max="3" width="7.7109375" style="60" customWidth="1"/>
    <col min="4" max="4" width="11.28515625" style="60" customWidth="1"/>
    <col min="5" max="7" width="10.28515625" style="60" customWidth="1"/>
    <col min="8" max="8" width="9.140625" style="60" customWidth="1"/>
    <col min="9" max="9" width="1.140625" style="60" customWidth="1"/>
    <col min="10" max="10" width="7.140625" style="60" customWidth="1"/>
    <col min="11" max="11" width="4.28515625" style="60" customWidth="1"/>
    <col min="12" max="16384" width="9.140625" style="60"/>
  </cols>
  <sheetData>
    <row r="1" spans="1:11" ht="42" customHeight="1" x14ac:dyDescent="0.2">
      <c r="A1" s="1133" t="s">
        <v>105</v>
      </c>
      <c r="B1" s="1134"/>
      <c r="C1" s="1134"/>
      <c r="D1" s="1134"/>
      <c r="E1" s="1134"/>
      <c r="F1" s="1134"/>
      <c r="G1" s="1134"/>
      <c r="H1" s="1134"/>
      <c r="I1" s="1134"/>
      <c r="J1" s="1134"/>
      <c r="K1" s="1135"/>
    </row>
    <row r="3" spans="1:11" x14ac:dyDescent="0.2">
      <c r="A3" s="156"/>
      <c r="B3" s="65"/>
      <c r="C3" s="65"/>
      <c r="D3" s="65"/>
      <c r="E3" s="65"/>
      <c r="F3" s="65"/>
      <c r="G3" s="65"/>
      <c r="H3" s="65"/>
      <c r="I3" s="65"/>
      <c r="J3" s="65"/>
      <c r="K3" s="66"/>
    </row>
    <row r="4" spans="1:11" ht="15" x14ac:dyDescent="0.2">
      <c r="A4" s="157"/>
      <c r="B4" s="155">
        <v>1</v>
      </c>
      <c r="C4" s="1136" t="s">
        <v>216</v>
      </c>
      <c r="D4" s="1137"/>
      <c r="E4" s="1137"/>
      <c r="F4" s="1137"/>
      <c r="G4" s="1137"/>
      <c r="H4" s="1137"/>
      <c r="I4" s="1137"/>
      <c r="J4" s="1138"/>
      <c r="K4" s="68"/>
    </row>
    <row r="5" spans="1:11" x14ac:dyDescent="0.2">
      <c r="A5" s="82"/>
      <c r="B5" s="62"/>
      <c r="C5" s="62"/>
      <c r="D5" s="62"/>
      <c r="E5" s="62"/>
      <c r="F5" s="62"/>
      <c r="G5" s="62"/>
      <c r="H5" s="62"/>
      <c r="I5" s="62"/>
      <c r="J5" s="62"/>
      <c r="K5" s="68"/>
    </row>
    <row r="6" spans="1:11" ht="15" x14ac:dyDescent="0.25">
      <c r="A6" s="82"/>
      <c r="B6" s="1139" t="s">
        <v>183</v>
      </c>
      <c r="C6" s="1139"/>
      <c r="D6" s="1139"/>
      <c r="E6" s="1139"/>
      <c r="F6" s="218" t="s">
        <v>184</v>
      </c>
      <c r="G6" s="1140">
        <v>0.17</v>
      </c>
      <c r="H6" s="1141"/>
      <c r="I6" s="1142"/>
      <c r="J6" s="133"/>
      <c r="K6" s="68"/>
    </row>
    <row r="7" spans="1:11" ht="15" x14ac:dyDescent="0.25">
      <c r="A7" s="82"/>
      <c r="B7" s="218"/>
      <c r="C7" s="218"/>
      <c r="D7" s="218"/>
      <c r="E7" s="218"/>
      <c r="F7" s="218" t="s">
        <v>185</v>
      </c>
      <c r="G7" s="1140">
        <v>0.04</v>
      </c>
      <c r="H7" s="1141"/>
      <c r="I7" s="1142"/>
      <c r="J7" s="133"/>
      <c r="K7" s="68"/>
    </row>
    <row r="8" spans="1:11" ht="6.75" customHeight="1" x14ac:dyDescent="0.2">
      <c r="A8" s="158"/>
      <c r="B8" s="144"/>
      <c r="C8" s="144"/>
      <c r="D8" s="144"/>
      <c r="E8" s="144"/>
      <c r="F8" s="144"/>
      <c r="G8" s="144"/>
      <c r="H8" s="129"/>
      <c r="I8" s="129"/>
      <c r="J8" s="129"/>
      <c r="K8" s="159"/>
    </row>
    <row r="9" spans="1:11" ht="22.5" x14ac:dyDescent="0.2">
      <c r="A9" s="67"/>
      <c r="B9" s="1131" t="s">
        <v>6</v>
      </c>
      <c r="C9" s="1131"/>
      <c r="D9" s="1131"/>
      <c r="E9" s="217" t="s">
        <v>177</v>
      </c>
      <c r="F9" s="217" t="s">
        <v>178</v>
      </c>
      <c r="G9" s="217" t="s">
        <v>179</v>
      </c>
      <c r="H9" s="217" t="s">
        <v>180</v>
      </c>
      <c r="I9" s="217"/>
      <c r="J9" s="217" t="s">
        <v>181</v>
      </c>
      <c r="K9" s="68"/>
    </row>
    <row r="10" spans="1:11" hidden="1" x14ac:dyDescent="0.2">
      <c r="A10" s="109">
        <v>1</v>
      </c>
      <c r="B10" s="1122" t="s">
        <v>148</v>
      </c>
      <c r="C10" s="1122"/>
      <c r="D10" s="1122"/>
      <c r="E10" s="121">
        <v>0.17</v>
      </c>
      <c r="F10" s="128">
        <v>0</v>
      </c>
      <c r="G10" s="93">
        <f t="shared" ref="G10:G16" si="0">E10+F10</f>
        <v>0.17</v>
      </c>
      <c r="H10" s="72">
        <f>ROUND(J10/G10,3)</f>
        <v>0</v>
      </c>
      <c r="I10" s="142"/>
      <c r="J10" s="128">
        <v>0</v>
      </c>
      <c r="K10" s="68"/>
    </row>
    <row r="11" spans="1:11" x14ac:dyDescent="0.2">
      <c r="A11" s="109">
        <v>2</v>
      </c>
      <c r="B11" s="1122" t="s">
        <v>150</v>
      </c>
      <c r="C11" s="1122"/>
      <c r="D11" s="1122"/>
      <c r="E11" s="121">
        <v>2</v>
      </c>
      <c r="F11" s="128">
        <v>0</v>
      </c>
      <c r="G11" s="93">
        <f t="shared" si="0"/>
        <v>2</v>
      </c>
      <c r="H11" s="72">
        <f t="shared" ref="H11:H16" si="1">ROUND(J11/G11,3)</f>
        <v>7.4999999999999997E-2</v>
      </c>
      <c r="I11" s="142"/>
      <c r="J11" s="128">
        <v>0.15</v>
      </c>
      <c r="K11" s="161"/>
    </row>
    <row r="12" spans="1:11" hidden="1" x14ac:dyDescent="0.2">
      <c r="A12" s="109">
        <v>3</v>
      </c>
      <c r="B12" s="1122" t="s">
        <v>149</v>
      </c>
      <c r="C12" s="1122"/>
      <c r="D12" s="1122"/>
      <c r="E12" s="115">
        <v>0.9</v>
      </c>
      <c r="F12" s="128">
        <v>0</v>
      </c>
      <c r="G12" s="93">
        <f t="shared" si="0"/>
        <v>0.9</v>
      </c>
      <c r="H12" s="72">
        <f t="shared" si="1"/>
        <v>0</v>
      </c>
      <c r="I12" s="142"/>
      <c r="J12" s="128">
        <v>0</v>
      </c>
      <c r="K12" s="68"/>
    </row>
    <row r="13" spans="1:11" x14ac:dyDescent="0.2">
      <c r="A13" s="109">
        <v>4</v>
      </c>
      <c r="B13" s="1122" t="s">
        <v>151</v>
      </c>
      <c r="C13" s="1122"/>
      <c r="D13" s="1122"/>
      <c r="E13" s="121">
        <v>3.4000000000000002E-2</v>
      </c>
      <c r="F13" s="128">
        <v>1E-3</v>
      </c>
      <c r="G13" s="93">
        <f t="shared" si="0"/>
        <v>3.5000000000000003E-2</v>
      </c>
      <c r="H13" s="72">
        <f t="shared" si="1"/>
        <v>3.4289999999999998</v>
      </c>
      <c r="I13" s="142"/>
      <c r="J13" s="128">
        <v>0.12</v>
      </c>
      <c r="K13" s="68"/>
    </row>
    <row r="14" spans="1:11" ht="12" customHeight="1" x14ac:dyDescent="0.2">
      <c r="A14" s="109">
        <v>5</v>
      </c>
      <c r="B14" s="1122" t="s">
        <v>202</v>
      </c>
      <c r="C14" s="1122"/>
      <c r="D14" s="1122"/>
      <c r="E14" s="115">
        <v>2</v>
      </c>
      <c r="F14" s="128">
        <v>0</v>
      </c>
      <c r="G14" s="93">
        <f t="shared" si="0"/>
        <v>2</v>
      </c>
      <c r="H14" s="72">
        <f t="shared" si="1"/>
        <v>0.11</v>
      </c>
      <c r="I14" s="142"/>
      <c r="J14" s="128">
        <v>0.22</v>
      </c>
      <c r="K14" s="68"/>
    </row>
    <row r="15" spans="1:11" hidden="1" x14ac:dyDescent="0.2">
      <c r="A15" s="109">
        <v>6</v>
      </c>
      <c r="B15" s="1122"/>
      <c r="C15" s="1122"/>
      <c r="D15" s="1122"/>
      <c r="E15" s="117">
        <v>1</v>
      </c>
      <c r="F15" s="146">
        <v>0</v>
      </c>
      <c r="G15" s="147">
        <f t="shared" si="0"/>
        <v>1</v>
      </c>
      <c r="H15" s="72">
        <f t="shared" si="1"/>
        <v>0</v>
      </c>
      <c r="I15" s="142"/>
      <c r="J15" s="128"/>
      <c r="K15" s="68"/>
    </row>
    <row r="16" spans="1:11" hidden="1" x14ac:dyDescent="0.2">
      <c r="A16" s="109">
        <v>7</v>
      </c>
      <c r="B16" s="1122"/>
      <c r="C16" s="1122"/>
      <c r="D16" s="1122"/>
      <c r="E16" s="117">
        <v>1</v>
      </c>
      <c r="F16" s="146">
        <v>0</v>
      </c>
      <c r="G16" s="147">
        <f t="shared" si="0"/>
        <v>1</v>
      </c>
      <c r="H16" s="72">
        <f t="shared" si="1"/>
        <v>0</v>
      </c>
      <c r="I16" s="142"/>
      <c r="J16" s="128"/>
      <c r="K16" s="68"/>
    </row>
    <row r="17" spans="1:11" x14ac:dyDescent="0.2">
      <c r="A17" s="67"/>
      <c r="B17" s="1123"/>
      <c r="C17" s="1123"/>
      <c r="D17" s="1123"/>
      <c r="E17" s="1123"/>
      <c r="F17" s="1123"/>
      <c r="G17" s="1123"/>
      <c r="H17" s="131"/>
      <c r="I17" s="131"/>
      <c r="J17" s="64" t="s">
        <v>106</v>
      </c>
      <c r="K17" s="68"/>
    </row>
    <row r="18" spans="1:11" ht="15" x14ac:dyDescent="0.2">
      <c r="A18" s="67"/>
      <c r="B18" s="141"/>
      <c r="C18" s="141"/>
      <c r="D18" s="141"/>
      <c r="E18" s="141"/>
      <c r="F18" s="141"/>
      <c r="G18" s="141"/>
      <c r="H18" s="131"/>
      <c r="I18" s="131"/>
      <c r="J18" s="199">
        <f>ROUND(SUM(J10:J16)*1000,0)</f>
        <v>490</v>
      </c>
      <c r="K18" s="68" t="s">
        <v>120</v>
      </c>
    </row>
    <row r="19" spans="1:11" ht="15" x14ac:dyDescent="0.2">
      <c r="A19" s="1124" t="s">
        <v>187</v>
      </c>
      <c r="B19" s="1125"/>
      <c r="C19" s="1125"/>
      <c r="D19" s="1125"/>
      <c r="E19" s="1125"/>
      <c r="F19" s="1125"/>
      <c r="G19" s="214" t="s">
        <v>188</v>
      </c>
      <c r="H19" s="228">
        <f>ROUND(1/((SUM(H10:H16))+G6+G7),3)</f>
        <v>0.26200000000000001</v>
      </c>
      <c r="I19" s="131"/>
      <c r="J19" s="216"/>
      <c r="K19" s="68"/>
    </row>
    <row r="20" spans="1:11" ht="12" customHeight="1" x14ac:dyDescent="0.2">
      <c r="A20" s="67"/>
      <c r="B20" s="141"/>
      <c r="C20" s="141"/>
      <c r="D20" s="141"/>
      <c r="E20" s="141"/>
      <c r="F20" s="141"/>
      <c r="G20" s="141"/>
      <c r="H20" s="148"/>
      <c r="I20" s="131"/>
      <c r="K20" s="68"/>
    </row>
    <row r="21" spans="1:11" ht="12.75" customHeight="1" x14ac:dyDescent="0.2">
      <c r="A21" s="158"/>
      <c r="B21" s="144"/>
      <c r="C21" s="144"/>
      <c r="D21" s="1132" t="s">
        <v>155</v>
      </c>
      <c r="E21" s="1132"/>
      <c r="F21" s="1132"/>
      <c r="G21" s="217" t="s">
        <v>145</v>
      </c>
      <c r="H21" s="221">
        <v>0.63</v>
      </c>
      <c r="I21" s="129"/>
      <c r="J21" s="129"/>
      <c r="K21" s="159"/>
    </row>
    <row r="22" spans="1:11" ht="12.75" customHeight="1" x14ac:dyDescent="0.2">
      <c r="A22" s="158"/>
      <c r="B22" s="1132" t="s">
        <v>192</v>
      </c>
      <c r="C22" s="1132"/>
      <c r="D22" s="1132"/>
      <c r="E22" s="1132"/>
      <c r="F22" s="1132"/>
      <c r="G22" s="217" t="s">
        <v>191</v>
      </c>
      <c r="H22" s="227">
        <v>0.7</v>
      </c>
      <c r="I22" s="129"/>
      <c r="J22" s="129"/>
      <c r="K22" s="159"/>
    </row>
    <row r="23" spans="1:11" x14ac:dyDescent="0.2">
      <c r="A23" s="160"/>
      <c r="B23" s="149"/>
      <c r="C23" s="149"/>
      <c r="D23" s="1144" t="s">
        <v>186</v>
      </c>
      <c r="E23" s="1144"/>
      <c r="F23" s="1144"/>
      <c r="G23" s="219" t="s">
        <v>9</v>
      </c>
      <c r="H23" s="222">
        <v>63.8</v>
      </c>
      <c r="I23" s="132"/>
      <c r="K23" s="68"/>
    </row>
    <row r="24" spans="1:11" x14ac:dyDescent="0.2">
      <c r="A24" s="160"/>
      <c r="B24" s="150"/>
      <c r="C24" s="149"/>
      <c r="D24" s="1144" t="s">
        <v>157</v>
      </c>
      <c r="E24" s="1144"/>
      <c r="F24" s="1144"/>
      <c r="G24" s="220" t="s">
        <v>129</v>
      </c>
      <c r="H24" s="223">
        <v>39.78</v>
      </c>
      <c r="I24" s="130"/>
      <c r="K24" s="68"/>
    </row>
    <row r="25" spans="1:11" x14ac:dyDescent="0.2">
      <c r="A25" s="160"/>
      <c r="B25" s="150"/>
      <c r="C25" s="151"/>
      <c r="D25" s="1143" t="s">
        <v>158</v>
      </c>
      <c r="E25" s="1143"/>
      <c r="F25" s="1143"/>
      <c r="G25" s="220" t="s">
        <v>130</v>
      </c>
      <c r="H25" s="224">
        <f>ROUND(H23/(0.5*H24),2)</f>
        <v>3.21</v>
      </c>
      <c r="I25" s="130"/>
      <c r="K25" s="68"/>
    </row>
    <row r="26" spans="1:11" ht="5.25" customHeight="1" x14ac:dyDescent="0.2">
      <c r="A26" s="160"/>
      <c r="B26" s="150"/>
      <c r="C26" s="148"/>
      <c r="D26" s="150"/>
      <c r="E26" s="150"/>
      <c r="F26" s="150"/>
      <c r="G26" s="131"/>
      <c r="H26" s="151"/>
      <c r="K26" s="68"/>
    </row>
    <row r="27" spans="1:11" x14ac:dyDescent="0.2">
      <c r="A27" s="160"/>
      <c r="B27" s="1144" t="s">
        <v>133</v>
      </c>
      <c r="C27" s="1144"/>
      <c r="D27" s="1144"/>
      <c r="E27" s="1144"/>
      <c r="F27" s="1144"/>
      <c r="G27" s="214" t="s">
        <v>10</v>
      </c>
      <c r="H27" s="225">
        <v>2</v>
      </c>
      <c r="I27" s="145"/>
      <c r="K27" s="68"/>
    </row>
    <row r="28" spans="1:11" ht="6" customHeight="1" x14ac:dyDescent="0.2">
      <c r="A28" s="160"/>
      <c r="B28" s="215"/>
      <c r="C28" s="215"/>
      <c r="D28" s="215"/>
      <c r="E28" s="215"/>
      <c r="F28" s="215"/>
      <c r="G28" s="139"/>
      <c r="H28" s="231"/>
      <c r="I28" s="145"/>
      <c r="K28" s="68"/>
    </row>
    <row r="29" spans="1:11" x14ac:dyDescent="0.2">
      <c r="A29" s="226"/>
      <c r="B29" s="1143" t="s">
        <v>215</v>
      </c>
      <c r="C29" s="1143"/>
      <c r="D29" s="1143"/>
      <c r="E29" s="1143"/>
      <c r="F29" s="1143"/>
      <c r="G29" s="214" t="s">
        <v>214</v>
      </c>
      <c r="H29" s="230">
        <f>ROUND(H21+(H27*(1/H19)),3)</f>
        <v>8.2639999999999993</v>
      </c>
      <c r="I29" s="131"/>
      <c r="K29" s="68"/>
    </row>
    <row r="30" spans="1:11" x14ac:dyDescent="0.2">
      <c r="A30" s="226"/>
      <c r="B30" s="1143" t="s">
        <v>205</v>
      </c>
      <c r="C30" s="1143"/>
      <c r="D30" s="1143"/>
      <c r="E30" s="1143"/>
      <c r="F30" s="1143"/>
      <c r="G30" s="214" t="s">
        <v>206</v>
      </c>
      <c r="H30" s="230">
        <f>ROUND(H27*(0.13+0.04+(1/H49)),3)</f>
        <v>3.911</v>
      </c>
      <c r="I30" s="131"/>
      <c r="K30" s="68"/>
    </row>
    <row r="31" spans="1:11" x14ac:dyDescent="0.2">
      <c r="A31" s="226"/>
      <c r="B31" s="1125" t="s">
        <v>207</v>
      </c>
      <c r="C31" s="1125"/>
      <c r="D31" s="1125"/>
      <c r="E31" s="1125"/>
      <c r="F31" s="1125"/>
      <c r="G31" s="214" t="s">
        <v>209</v>
      </c>
      <c r="H31" s="230">
        <f>ROUND(((2*H27)/((3.14*H25)+H29+(0.5*H22)))*LN(((3.14*H25)/(H29+(0.5*H22)))+1),3)</f>
        <v>0.16600000000000001</v>
      </c>
      <c r="I31" s="131"/>
      <c r="K31" s="68"/>
    </row>
    <row r="32" spans="1:11" x14ac:dyDescent="0.2">
      <c r="A32" s="226"/>
      <c r="B32" s="1125" t="s">
        <v>208</v>
      </c>
      <c r="C32" s="1125"/>
      <c r="D32" s="1125"/>
      <c r="E32" s="1125"/>
      <c r="F32" s="1125"/>
      <c r="G32" s="214" t="s">
        <v>210</v>
      </c>
      <c r="H32" s="230">
        <f>ROUND((((2*H27)/(3.14*H22)*(1+((0.5*H29)/(H29+H22)))*LN((H22/H30)+1))),3)</f>
        <v>0.438</v>
      </c>
      <c r="I32" s="131"/>
      <c r="K32" s="68"/>
    </row>
    <row r="33" spans="1:11" x14ac:dyDescent="0.2">
      <c r="A33" s="226"/>
      <c r="B33" s="1125" t="s">
        <v>189</v>
      </c>
      <c r="C33" s="1125"/>
      <c r="D33" s="1125"/>
      <c r="E33" s="1125"/>
      <c r="F33" s="1125"/>
      <c r="G33" s="214" t="s">
        <v>190</v>
      </c>
      <c r="H33" s="94">
        <f>((H31+(H22*H24*H32))/H23)</f>
        <v>0.19377034482758623</v>
      </c>
      <c r="I33" s="1128"/>
      <c r="J33" s="1128"/>
      <c r="K33" s="162"/>
    </row>
    <row r="34" spans="1:11" x14ac:dyDescent="0.2">
      <c r="A34" s="226"/>
      <c r="B34" s="101"/>
      <c r="C34" s="101"/>
      <c r="D34" s="101"/>
      <c r="E34" s="101"/>
      <c r="F34" s="101"/>
      <c r="G34" s="214"/>
      <c r="H34" s="232"/>
      <c r="I34" s="201"/>
      <c r="J34" s="201"/>
      <c r="K34" s="162"/>
    </row>
    <row r="35" spans="1:11" x14ac:dyDescent="0.2">
      <c r="A35" s="226"/>
      <c r="B35" s="1125" t="s">
        <v>193</v>
      </c>
      <c r="C35" s="1125"/>
      <c r="D35" s="1125"/>
      <c r="E35" s="1125"/>
      <c r="F35" s="1125"/>
      <c r="G35" s="214" t="s">
        <v>194</v>
      </c>
      <c r="H35" s="233">
        <v>1.8</v>
      </c>
      <c r="I35" s="201"/>
      <c r="J35" s="201"/>
      <c r="K35" s="162"/>
    </row>
    <row r="36" spans="1:11" ht="15" customHeight="1" x14ac:dyDescent="0.2">
      <c r="A36" s="1129" t="s">
        <v>197</v>
      </c>
      <c r="B36" s="1130"/>
      <c r="C36" s="1130"/>
      <c r="D36" s="1130"/>
      <c r="E36" s="1130"/>
      <c r="F36" s="1130"/>
      <c r="G36" s="229" t="s">
        <v>195</v>
      </c>
      <c r="H36" s="234">
        <v>1E-3</v>
      </c>
      <c r="I36" s="201"/>
      <c r="J36" s="201"/>
      <c r="K36" s="162"/>
    </row>
    <row r="37" spans="1:11" x14ac:dyDescent="0.2">
      <c r="A37" s="226"/>
      <c r="B37" s="1125" t="s">
        <v>198</v>
      </c>
      <c r="C37" s="1125"/>
      <c r="D37" s="1125"/>
      <c r="E37" s="1125"/>
      <c r="F37" s="1125"/>
      <c r="G37" s="229" t="s">
        <v>196</v>
      </c>
      <c r="H37" s="235">
        <v>2</v>
      </c>
      <c r="I37" s="201"/>
      <c r="J37" s="201"/>
      <c r="K37" s="162"/>
    </row>
    <row r="38" spans="1:11" x14ac:dyDescent="0.2">
      <c r="A38" s="226"/>
      <c r="B38" s="1125" t="s">
        <v>199</v>
      </c>
      <c r="C38" s="1125"/>
      <c r="D38" s="1125"/>
      <c r="E38" s="1125"/>
      <c r="F38" s="1125"/>
      <c r="G38" s="214" t="s">
        <v>213</v>
      </c>
      <c r="H38" s="233">
        <v>0.02</v>
      </c>
      <c r="I38" s="201"/>
      <c r="J38" s="201"/>
      <c r="K38" s="162"/>
    </row>
    <row r="39" spans="1:11" x14ac:dyDescent="0.2">
      <c r="A39" s="226"/>
      <c r="B39" s="101"/>
      <c r="C39" s="101"/>
      <c r="D39" s="101"/>
      <c r="E39" s="101"/>
      <c r="F39" s="101"/>
      <c r="G39" s="214"/>
      <c r="H39" s="96"/>
      <c r="I39" s="201"/>
      <c r="J39" s="201"/>
      <c r="K39" s="162"/>
    </row>
    <row r="40" spans="1:11" ht="22.5" x14ac:dyDescent="0.2">
      <c r="A40" s="67"/>
      <c r="B40" s="1131" t="s">
        <v>6</v>
      </c>
      <c r="C40" s="1131"/>
      <c r="D40" s="1131"/>
      <c r="E40" s="217" t="s">
        <v>177</v>
      </c>
      <c r="F40" s="217" t="s">
        <v>178</v>
      </c>
      <c r="G40" s="217" t="s">
        <v>179</v>
      </c>
      <c r="H40" s="217" t="s">
        <v>180</v>
      </c>
      <c r="I40" s="217"/>
      <c r="J40" s="217" t="s">
        <v>181</v>
      </c>
      <c r="K40" s="68"/>
    </row>
    <row r="41" spans="1:11" x14ac:dyDescent="0.2">
      <c r="A41" s="109">
        <v>1</v>
      </c>
      <c r="B41" s="1122" t="s">
        <v>203</v>
      </c>
      <c r="C41" s="1122"/>
      <c r="D41" s="1122"/>
      <c r="E41" s="115">
        <v>2</v>
      </c>
      <c r="F41" s="128">
        <v>0</v>
      </c>
      <c r="G41" s="93">
        <f t="shared" ref="G41:G47" si="2">E41+F41</f>
        <v>2</v>
      </c>
      <c r="H41" s="72">
        <f>ROUND(J41/G41,3)</f>
        <v>0.2</v>
      </c>
      <c r="I41" s="142"/>
      <c r="J41" s="128">
        <v>0.4</v>
      </c>
      <c r="K41" s="68"/>
    </row>
    <row r="42" spans="1:11" x14ac:dyDescent="0.2">
      <c r="A42" s="109">
        <v>2</v>
      </c>
      <c r="B42" s="1122" t="s">
        <v>204</v>
      </c>
      <c r="C42" s="1122"/>
      <c r="D42" s="1122"/>
      <c r="E42" s="121">
        <v>3.4000000000000002E-2</v>
      </c>
      <c r="F42" s="128">
        <v>1E-3</v>
      </c>
      <c r="G42" s="93">
        <f t="shared" si="2"/>
        <v>3.5000000000000003E-2</v>
      </c>
      <c r="H42" s="72">
        <f t="shared" ref="H42:H47" si="3">ROUND(J42/G42,3)</f>
        <v>2.286</v>
      </c>
      <c r="I42" s="142"/>
      <c r="J42" s="128">
        <v>0.08</v>
      </c>
      <c r="K42" s="161"/>
    </row>
    <row r="43" spans="1:11" hidden="1" x14ac:dyDescent="0.2">
      <c r="A43" s="109">
        <v>3</v>
      </c>
      <c r="B43" s="1122" t="s">
        <v>149</v>
      </c>
      <c r="C43" s="1122"/>
      <c r="D43" s="1122"/>
      <c r="E43" s="115">
        <v>0.9</v>
      </c>
      <c r="F43" s="128">
        <v>0</v>
      </c>
      <c r="G43" s="93">
        <f t="shared" si="2"/>
        <v>0.9</v>
      </c>
      <c r="H43" s="72">
        <f t="shared" si="3"/>
        <v>0</v>
      </c>
      <c r="I43" s="142"/>
      <c r="J43" s="128">
        <v>0</v>
      </c>
      <c r="K43" s="68"/>
    </row>
    <row r="44" spans="1:11" hidden="1" x14ac:dyDescent="0.2">
      <c r="A44" s="109">
        <v>4</v>
      </c>
      <c r="B44" s="1122" t="s">
        <v>151</v>
      </c>
      <c r="C44" s="1122"/>
      <c r="D44" s="1122"/>
      <c r="E44" s="121">
        <v>3.5999999999999997E-2</v>
      </c>
      <c r="F44" s="128">
        <v>0.01</v>
      </c>
      <c r="G44" s="93">
        <f t="shared" si="2"/>
        <v>4.5999999999999999E-2</v>
      </c>
      <c r="H44" s="72">
        <f t="shared" si="3"/>
        <v>0</v>
      </c>
      <c r="I44" s="142"/>
      <c r="J44" s="128">
        <v>0</v>
      </c>
      <c r="K44" s="68"/>
    </row>
    <row r="45" spans="1:11" x14ac:dyDescent="0.2">
      <c r="A45" s="109">
        <v>5</v>
      </c>
      <c r="B45" s="1122" t="s">
        <v>11</v>
      </c>
      <c r="C45" s="1122"/>
      <c r="D45" s="1122"/>
      <c r="E45" s="115">
        <v>0.25</v>
      </c>
      <c r="F45" s="128">
        <v>0</v>
      </c>
      <c r="G45" s="93">
        <f t="shared" si="2"/>
        <v>0.25</v>
      </c>
      <c r="H45" s="72">
        <f t="shared" si="3"/>
        <v>0.08</v>
      </c>
      <c r="I45" s="142"/>
      <c r="J45" s="128">
        <v>0.02</v>
      </c>
      <c r="K45" s="68"/>
    </row>
    <row r="46" spans="1:11" hidden="1" x14ac:dyDescent="0.2">
      <c r="A46" s="109">
        <v>6</v>
      </c>
      <c r="B46" s="1122"/>
      <c r="C46" s="1122"/>
      <c r="D46" s="1122"/>
      <c r="E46" s="117">
        <v>1</v>
      </c>
      <c r="F46" s="146">
        <v>0</v>
      </c>
      <c r="G46" s="147">
        <f t="shared" si="2"/>
        <v>1</v>
      </c>
      <c r="H46" s="72">
        <f t="shared" si="3"/>
        <v>0</v>
      </c>
      <c r="I46" s="142"/>
      <c r="J46" s="128"/>
      <c r="K46" s="68"/>
    </row>
    <row r="47" spans="1:11" hidden="1" x14ac:dyDescent="0.2">
      <c r="A47" s="109">
        <v>7</v>
      </c>
      <c r="B47" s="1122"/>
      <c r="C47" s="1122"/>
      <c r="D47" s="1122"/>
      <c r="E47" s="117">
        <v>1</v>
      </c>
      <c r="F47" s="146">
        <v>0</v>
      </c>
      <c r="G47" s="147">
        <f t="shared" si="2"/>
        <v>1</v>
      </c>
      <c r="H47" s="72">
        <f t="shared" si="3"/>
        <v>0</v>
      </c>
      <c r="I47" s="142"/>
      <c r="J47" s="128"/>
      <c r="K47" s="68"/>
    </row>
    <row r="48" spans="1:11" ht="5.25" customHeight="1" x14ac:dyDescent="0.2">
      <c r="A48" s="67"/>
      <c r="B48" s="1123"/>
      <c r="C48" s="1123"/>
      <c r="D48" s="1123"/>
      <c r="E48" s="1123"/>
      <c r="F48" s="1123"/>
      <c r="G48" s="1123"/>
      <c r="H48" s="131"/>
      <c r="I48" s="131"/>
      <c r="J48" s="64"/>
      <c r="K48" s="68"/>
    </row>
    <row r="49" spans="1:11" ht="15" x14ac:dyDescent="0.2">
      <c r="A49" s="1124" t="s">
        <v>200</v>
      </c>
      <c r="B49" s="1125"/>
      <c r="C49" s="1125"/>
      <c r="D49" s="1125"/>
      <c r="E49" s="1125"/>
      <c r="F49" s="1125"/>
      <c r="G49" s="214" t="s">
        <v>211</v>
      </c>
      <c r="H49" s="228">
        <f>ROUND(1/SUM(H41:H48)+0.13+0.04,3)</f>
        <v>0.56000000000000005</v>
      </c>
      <c r="I49" s="131"/>
      <c r="J49" s="216"/>
      <c r="K49" s="68"/>
    </row>
    <row r="50" spans="1:11" ht="15" x14ac:dyDescent="0.2">
      <c r="A50" s="1124" t="s">
        <v>201</v>
      </c>
      <c r="B50" s="1125"/>
      <c r="C50" s="1125"/>
      <c r="D50" s="1125"/>
      <c r="E50" s="1125"/>
      <c r="F50" s="1125"/>
      <c r="G50" s="214" t="s">
        <v>212</v>
      </c>
      <c r="H50" s="228">
        <f>ROUND(((2*H35*H49)/H25)+((1450*H36*H37*H38)/H25),3)</f>
        <v>0.64600000000000002</v>
      </c>
      <c r="I50" s="131"/>
      <c r="J50" s="216"/>
      <c r="K50" s="68"/>
    </row>
    <row r="51" spans="1:11" x14ac:dyDescent="0.2">
      <c r="A51" s="67"/>
      <c r="B51" s="202"/>
      <c r="C51" s="202"/>
      <c r="D51" s="202"/>
      <c r="E51" s="202"/>
      <c r="F51" s="202"/>
      <c r="G51" s="139"/>
      <c r="H51" s="96"/>
      <c r="I51" s="201"/>
      <c r="J51" s="201"/>
      <c r="K51" s="162"/>
    </row>
    <row r="52" spans="1:11" ht="15" x14ac:dyDescent="0.2">
      <c r="A52" s="67"/>
      <c r="B52" s="202"/>
      <c r="C52" s="202"/>
      <c r="D52" s="202"/>
      <c r="E52" s="202"/>
      <c r="F52" s="202"/>
      <c r="G52" s="207" t="s">
        <v>93</v>
      </c>
      <c r="H52" s="200">
        <f>1/(((1/H19)+(1/(H33+H50))))</f>
        <v>0.19969663494551404</v>
      </c>
      <c r="I52" s="1126" t="s">
        <v>147</v>
      </c>
      <c r="J52" s="1127"/>
      <c r="K52" s="162"/>
    </row>
    <row r="53" spans="1:11" x14ac:dyDescent="0.2">
      <c r="A53" s="208"/>
      <c r="B53" s="209"/>
      <c r="C53" s="209"/>
      <c r="D53" s="209"/>
      <c r="E53" s="209"/>
      <c r="F53" s="209"/>
      <c r="G53" s="210"/>
      <c r="H53" s="211"/>
      <c r="I53" s="212"/>
      <c r="J53" s="212"/>
      <c r="K53" s="213"/>
    </row>
  </sheetData>
  <mergeCells count="43">
    <mergeCell ref="B31:F31"/>
    <mergeCell ref="B32:F32"/>
    <mergeCell ref="B30:F30"/>
    <mergeCell ref="B29:F29"/>
    <mergeCell ref="B15:D15"/>
    <mergeCell ref="B22:F22"/>
    <mergeCell ref="D23:F23"/>
    <mergeCell ref="D24:F24"/>
    <mergeCell ref="D25:F25"/>
    <mergeCell ref="B27:F27"/>
    <mergeCell ref="A1:K1"/>
    <mergeCell ref="C4:J4"/>
    <mergeCell ref="B6:E6"/>
    <mergeCell ref="G6:I6"/>
    <mergeCell ref="G7:I7"/>
    <mergeCell ref="B9:D9"/>
    <mergeCell ref="B10:D10"/>
    <mergeCell ref="B11:D11"/>
    <mergeCell ref="B12:D12"/>
    <mergeCell ref="B13:D13"/>
    <mergeCell ref="B14:D14"/>
    <mergeCell ref="B16:D16"/>
    <mergeCell ref="B17:G17"/>
    <mergeCell ref="A19:F19"/>
    <mergeCell ref="D21:F21"/>
    <mergeCell ref="B46:D46"/>
    <mergeCell ref="I33:J33"/>
    <mergeCell ref="B35:F35"/>
    <mergeCell ref="A36:F36"/>
    <mergeCell ref="B37:F37"/>
    <mergeCell ref="B38:F38"/>
    <mergeCell ref="B40:D40"/>
    <mergeCell ref="B33:F33"/>
    <mergeCell ref="B41:D41"/>
    <mergeCell ref="B42:D42"/>
    <mergeCell ref="B43:D43"/>
    <mergeCell ref="B44:D44"/>
    <mergeCell ref="B45:D45"/>
    <mergeCell ref="B47:D47"/>
    <mergeCell ref="B48:G48"/>
    <mergeCell ref="A49:F49"/>
    <mergeCell ref="A50:F50"/>
    <mergeCell ref="I52:J52"/>
  </mergeCells>
  <pageMargins left="0.9055118110236221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12"/>
  <sheetViews>
    <sheetView showGridLines="0" view="pageBreakPreview" zoomScaleNormal="100" zoomScaleSheetLayoutView="100" workbookViewId="0">
      <selection activeCell="P128" sqref="P128"/>
    </sheetView>
  </sheetViews>
  <sheetFormatPr defaultColWidth="9.140625" defaultRowHeight="12.75" x14ac:dyDescent="0.2"/>
  <cols>
    <col min="1" max="1" width="2.5703125" style="335" customWidth="1"/>
    <col min="2" max="2" width="7.140625" style="2" customWidth="1"/>
    <col min="3" max="3" width="11.85546875" style="2" customWidth="1"/>
    <col min="4" max="4" width="7.5703125" style="2" customWidth="1"/>
    <col min="5" max="5" width="5.85546875" style="2" customWidth="1"/>
    <col min="6" max="6" width="5.7109375" style="2" customWidth="1"/>
    <col min="7" max="7" width="9.7109375" style="2" customWidth="1"/>
    <col min="8" max="8" width="6.85546875" style="2" customWidth="1"/>
    <col min="9" max="9" width="6.140625" style="2" customWidth="1"/>
    <col min="10" max="10" width="6.42578125" style="2" customWidth="1"/>
    <col min="11" max="11" width="6.85546875" style="2" customWidth="1"/>
    <col min="12" max="12" width="0.85546875" style="2" customWidth="1"/>
    <col min="13" max="13" width="7.7109375" style="2" customWidth="1"/>
    <col min="14" max="14" width="6.7109375" style="2" customWidth="1"/>
    <col min="15" max="16" width="9.140625" style="2"/>
    <col min="17" max="17" width="20.28515625" style="2" bestFit="1" customWidth="1"/>
    <col min="18" max="20" width="9.140625" style="2"/>
    <col min="21" max="21" width="13.7109375" style="2" bestFit="1" customWidth="1"/>
    <col min="22" max="16384" width="9.140625" style="2"/>
  </cols>
  <sheetData>
    <row r="1" spans="1:23" ht="25.15" customHeight="1" x14ac:dyDescent="0.2"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1:23" ht="10.9" hidden="1" customHeight="1" x14ac:dyDescent="0.2">
      <c r="A2" s="337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99"/>
      <c r="M2" s="99"/>
      <c r="N2" s="81"/>
      <c r="Q2" s="495"/>
      <c r="U2" s="495" t="s">
        <v>422</v>
      </c>
      <c r="V2" s="99">
        <v>0.72</v>
      </c>
      <c r="W2" s="495">
        <v>0.72</v>
      </c>
    </row>
    <row r="3" spans="1:23" ht="15.6" hidden="1" customHeight="1" x14ac:dyDescent="0.2">
      <c r="A3" s="339"/>
      <c r="B3" s="387"/>
      <c r="C3" s="868" t="s">
        <v>524</v>
      </c>
      <c r="D3" s="868"/>
      <c r="E3" s="868"/>
      <c r="F3" s="868"/>
      <c r="G3" s="868"/>
      <c r="H3" s="868"/>
      <c r="I3" s="868"/>
      <c r="J3" s="868"/>
      <c r="K3" s="868"/>
      <c r="L3" s="868"/>
      <c r="M3" s="869"/>
      <c r="N3" s="83"/>
      <c r="Q3" s="495" t="s">
        <v>496</v>
      </c>
      <c r="R3" s="495">
        <v>0.15</v>
      </c>
      <c r="U3" s="496" t="s">
        <v>486</v>
      </c>
      <c r="W3" s="496">
        <v>0.68</v>
      </c>
    </row>
    <row r="4" spans="1:23" ht="11.45" hidden="1" customHeight="1" x14ac:dyDescent="0.2">
      <c r="A4" s="339"/>
      <c r="B4" s="341"/>
      <c r="C4" s="341"/>
      <c r="D4" s="341"/>
      <c r="E4" s="341"/>
      <c r="F4" s="341"/>
      <c r="G4" s="341"/>
      <c r="H4" s="341"/>
      <c r="I4" s="341"/>
      <c r="J4" s="341"/>
      <c r="K4" s="341"/>
      <c r="N4" s="83"/>
      <c r="Q4" s="496" t="s">
        <v>486</v>
      </c>
      <c r="R4" s="496">
        <v>0.68</v>
      </c>
      <c r="U4" s="496" t="s">
        <v>498</v>
      </c>
      <c r="W4" s="496">
        <v>3.6999999999999998E-2</v>
      </c>
    </row>
    <row r="5" spans="1:23" ht="15" hidden="1" x14ac:dyDescent="0.25">
      <c r="A5" s="339"/>
      <c r="B5" s="341"/>
      <c r="C5" s="927" t="s">
        <v>299</v>
      </c>
      <c r="D5" s="927"/>
      <c r="E5" s="927"/>
      <c r="F5" s="927"/>
      <c r="G5" s="927"/>
      <c r="H5" s="927"/>
      <c r="I5" s="341" t="s">
        <v>300</v>
      </c>
      <c r="J5" s="843">
        <v>0.13</v>
      </c>
      <c r="K5" s="928"/>
      <c r="N5" s="83"/>
      <c r="Q5" s="496" t="s">
        <v>443</v>
      </c>
      <c r="R5" s="496">
        <v>0.81</v>
      </c>
      <c r="U5" s="496" t="s">
        <v>497</v>
      </c>
      <c r="W5" s="496">
        <v>3.7999999999999999E-2</v>
      </c>
    </row>
    <row r="6" spans="1:23" ht="15" hidden="1" x14ac:dyDescent="0.25">
      <c r="A6" s="339"/>
      <c r="B6" s="341"/>
      <c r="C6" s="341"/>
      <c r="D6" s="341"/>
      <c r="E6" s="341"/>
      <c r="F6" s="341"/>
      <c r="G6" s="341"/>
      <c r="H6" s="341"/>
      <c r="I6" s="341" t="s">
        <v>301</v>
      </c>
      <c r="J6" s="843">
        <v>0.04</v>
      </c>
      <c r="K6" s="928"/>
      <c r="N6" s="83"/>
      <c r="Q6" s="496" t="s">
        <v>428</v>
      </c>
      <c r="R6" s="496">
        <v>0.12</v>
      </c>
      <c r="U6" s="496" t="s">
        <v>404</v>
      </c>
      <c r="V6" s="2">
        <v>0.64</v>
      </c>
      <c r="W6" s="496">
        <v>0.09</v>
      </c>
    </row>
    <row r="7" spans="1:23" ht="3.6" hidden="1" customHeight="1" x14ac:dyDescent="0.2">
      <c r="A7" s="339"/>
      <c r="J7" s="762"/>
      <c r="K7" s="762"/>
      <c r="N7" s="83"/>
      <c r="Q7" s="496" t="s">
        <v>404</v>
      </c>
      <c r="R7" s="496">
        <v>0.87</v>
      </c>
      <c r="U7" s="496" t="s">
        <v>427</v>
      </c>
      <c r="V7" s="2">
        <v>3.5999999999999997E-2</v>
      </c>
      <c r="W7" s="496">
        <v>3.7999999999999999E-2</v>
      </c>
    </row>
    <row r="8" spans="1:23" ht="13.5" hidden="1" x14ac:dyDescent="0.25">
      <c r="A8" s="339"/>
      <c r="B8" s="907" t="s">
        <v>6</v>
      </c>
      <c r="C8" s="907"/>
      <c r="D8" s="907"/>
      <c r="E8" s="929" t="s">
        <v>515</v>
      </c>
      <c r="F8" s="929"/>
      <c r="G8" s="467" t="s">
        <v>303</v>
      </c>
      <c r="H8" s="929" t="s">
        <v>504</v>
      </c>
      <c r="I8" s="929"/>
      <c r="J8" s="929" t="s">
        <v>304</v>
      </c>
      <c r="K8" s="929"/>
      <c r="L8" s="343"/>
      <c r="M8" s="466" t="s">
        <v>305</v>
      </c>
      <c r="N8" s="83"/>
      <c r="Q8" s="496" t="s">
        <v>417</v>
      </c>
      <c r="R8" s="496">
        <v>0.22600000000000001</v>
      </c>
      <c r="T8" s="2" t="s">
        <v>266</v>
      </c>
      <c r="U8" s="496" t="s">
        <v>386</v>
      </c>
      <c r="W8" s="496">
        <v>3.6999999999999998E-2</v>
      </c>
    </row>
    <row r="9" spans="1:23" hidden="1" x14ac:dyDescent="0.2">
      <c r="A9" s="344"/>
      <c r="B9" s="1092" t="s">
        <v>402</v>
      </c>
      <c r="C9" s="1092"/>
      <c r="D9" s="1092"/>
      <c r="E9" s="1093">
        <v>0.26</v>
      </c>
      <c r="F9" s="1093"/>
      <c r="G9" s="473">
        <v>0</v>
      </c>
      <c r="H9" s="909">
        <f>E9+G9</f>
        <v>0.26</v>
      </c>
      <c r="I9" s="909"/>
      <c r="J9" s="822">
        <f t="shared" ref="J9:J17" si="0">ROUND(M9/H9,3)</f>
        <v>3.7999999999999999E-2</v>
      </c>
      <c r="K9" s="822"/>
      <c r="M9" s="485">
        <v>0.01</v>
      </c>
      <c r="N9" s="83"/>
      <c r="Q9" s="496" t="s">
        <v>490</v>
      </c>
      <c r="R9" s="496">
        <v>0.3</v>
      </c>
      <c r="U9" s="496" t="s">
        <v>423</v>
      </c>
      <c r="V9" s="2">
        <v>3.6999999999999998E-2</v>
      </c>
      <c r="W9" s="496">
        <v>0.2</v>
      </c>
    </row>
    <row r="10" spans="1:23" hidden="1" x14ac:dyDescent="0.2">
      <c r="A10" s="344"/>
      <c r="B10" s="1092" t="s">
        <v>490</v>
      </c>
      <c r="C10" s="1092"/>
      <c r="D10" s="1092"/>
      <c r="E10" s="1093">
        <v>0.3</v>
      </c>
      <c r="F10" s="1093"/>
      <c r="G10" s="473">
        <v>0</v>
      </c>
      <c r="H10" s="909">
        <f>E10+G10</f>
        <v>0.3</v>
      </c>
      <c r="I10" s="909"/>
      <c r="J10" s="909">
        <f t="shared" si="0"/>
        <v>1.2669999999999999</v>
      </c>
      <c r="K10" s="909"/>
      <c r="M10" s="485">
        <v>0.38</v>
      </c>
      <c r="N10" s="83"/>
      <c r="Q10" s="496" t="s">
        <v>485</v>
      </c>
      <c r="R10" s="497">
        <v>5.2999999999999999E-2</v>
      </c>
      <c r="U10" s="497" t="s">
        <v>472</v>
      </c>
      <c r="V10" s="88">
        <v>3.7999999999999999E-2</v>
      </c>
      <c r="W10" s="497">
        <v>3.5000000000000003E-2</v>
      </c>
    </row>
    <row r="11" spans="1:23" ht="13.9" hidden="1" customHeight="1" x14ac:dyDescent="0.2">
      <c r="A11" s="344"/>
      <c r="B11" s="1092" t="s">
        <v>386</v>
      </c>
      <c r="C11" s="1092"/>
      <c r="D11" s="1092"/>
      <c r="E11" s="1093">
        <v>3.5999999999999997E-2</v>
      </c>
      <c r="F11" s="1093"/>
      <c r="G11" s="473">
        <v>0</v>
      </c>
      <c r="H11" s="909">
        <f>E11+G11</f>
        <v>3.5999999999999997E-2</v>
      </c>
      <c r="I11" s="909"/>
      <c r="J11" s="909">
        <f t="shared" si="0"/>
        <v>2.778</v>
      </c>
      <c r="K11" s="909"/>
      <c r="M11" s="485">
        <v>0.1</v>
      </c>
      <c r="N11" s="83"/>
      <c r="Q11" s="496" t="s">
        <v>456</v>
      </c>
      <c r="R11" s="496">
        <v>0.129</v>
      </c>
      <c r="S11" s="411" t="s">
        <v>454</v>
      </c>
      <c r="U11" s="496" t="s">
        <v>488</v>
      </c>
      <c r="W11" s="496">
        <v>3.5999999999999997E-2</v>
      </c>
    </row>
    <row r="12" spans="1:23" ht="13.9" hidden="1" customHeight="1" x14ac:dyDescent="0.2">
      <c r="A12" s="344"/>
      <c r="B12" s="1092" t="s">
        <v>517</v>
      </c>
      <c r="C12" s="1092"/>
      <c r="D12" s="1092"/>
      <c r="E12" s="1093">
        <v>5.2999999999999999E-2</v>
      </c>
      <c r="F12" s="1093"/>
      <c r="G12" s="473">
        <v>0</v>
      </c>
      <c r="H12" s="909">
        <f>E12+G12</f>
        <v>5.2999999999999999E-2</v>
      </c>
      <c r="I12" s="909"/>
      <c r="J12" s="822">
        <f t="shared" si="0"/>
        <v>0</v>
      </c>
      <c r="K12" s="822"/>
      <c r="M12" s="485">
        <v>0</v>
      </c>
      <c r="N12" s="83"/>
      <c r="Q12" s="496" t="s">
        <v>242</v>
      </c>
      <c r="R12" s="496">
        <v>3.6999999999999998E-2</v>
      </c>
      <c r="S12" s="411"/>
      <c r="U12" s="496"/>
      <c r="W12" s="496"/>
    </row>
    <row r="13" spans="1:23" ht="13.9" hidden="1" customHeight="1" x14ac:dyDescent="0.2">
      <c r="A13" s="344"/>
      <c r="B13" s="1092" t="s">
        <v>404</v>
      </c>
      <c r="C13" s="1092"/>
      <c r="D13" s="1092"/>
      <c r="E13" s="1093">
        <v>0.81</v>
      </c>
      <c r="F13" s="1093"/>
      <c r="G13" s="473">
        <v>0</v>
      </c>
      <c r="H13" s="909">
        <v>0.2</v>
      </c>
      <c r="I13" s="909"/>
      <c r="J13" s="909">
        <f t="shared" si="0"/>
        <v>0</v>
      </c>
      <c r="K13" s="909"/>
      <c r="M13" s="485">
        <v>0</v>
      </c>
      <c r="N13" s="83"/>
      <c r="Q13" s="496" t="s">
        <v>471</v>
      </c>
      <c r="R13" s="496">
        <v>0.09</v>
      </c>
      <c r="S13" s="411"/>
      <c r="U13" s="496" t="s">
        <v>468</v>
      </c>
      <c r="W13" s="496">
        <v>0.2</v>
      </c>
    </row>
    <row r="14" spans="1:23" ht="13.9" hidden="1" customHeight="1" x14ac:dyDescent="0.2">
      <c r="A14" s="344">
        <v>0</v>
      </c>
      <c r="B14" s="1092" t="s">
        <v>386</v>
      </c>
      <c r="C14" s="1092"/>
      <c r="D14" s="1092"/>
      <c r="E14" s="1093">
        <v>3.5999999999999997E-2</v>
      </c>
      <c r="F14" s="1093"/>
      <c r="G14" s="473">
        <v>2E-3</v>
      </c>
      <c r="H14" s="909">
        <f>E14+G14</f>
        <v>3.7999999999999999E-2</v>
      </c>
      <c r="I14" s="909"/>
      <c r="J14" s="822">
        <f t="shared" si="0"/>
        <v>0</v>
      </c>
      <c r="K14" s="822"/>
      <c r="M14" s="485">
        <v>0</v>
      </c>
      <c r="N14" s="83"/>
      <c r="Q14" s="496" t="s">
        <v>473</v>
      </c>
      <c r="R14" s="496">
        <v>3.7999999999999999E-2</v>
      </c>
      <c r="S14" s="411"/>
      <c r="U14" s="496" t="s">
        <v>422</v>
      </c>
      <c r="W14" s="496">
        <v>0.11</v>
      </c>
    </row>
    <row r="15" spans="1:23" hidden="1" x14ac:dyDescent="0.2">
      <c r="A15" s="344"/>
      <c r="B15" s="1092" t="s">
        <v>480</v>
      </c>
      <c r="C15" s="1092"/>
      <c r="D15" s="1092"/>
      <c r="E15" s="1093">
        <v>0.26</v>
      </c>
      <c r="F15" s="1093"/>
      <c r="G15" s="473">
        <v>0</v>
      </c>
      <c r="H15" s="909">
        <v>3.6999999999999998E-2</v>
      </c>
      <c r="I15" s="909"/>
      <c r="J15" s="822">
        <f t="shared" si="0"/>
        <v>0</v>
      </c>
      <c r="K15" s="822"/>
      <c r="M15" s="485"/>
      <c r="N15" s="83"/>
      <c r="Q15" s="496" t="s">
        <v>472</v>
      </c>
      <c r="R15" s="496">
        <v>3.9E-2</v>
      </c>
      <c r="S15" s="411"/>
      <c r="U15" s="496"/>
      <c r="W15" s="496"/>
    </row>
    <row r="16" spans="1:23" ht="13.9" hidden="1" customHeight="1" x14ac:dyDescent="0.2">
      <c r="A16" s="344"/>
      <c r="B16" s="1092" t="s">
        <v>386</v>
      </c>
      <c r="C16" s="1092"/>
      <c r="D16" s="1092"/>
      <c r="E16" s="1093">
        <v>0</v>
      </c>
      <c r="F16" s="1093"/>
      <c r="G16" s="473">
        <v>0</v>
      </c>
      <c r="H16" s="909">
        <v>3.5999999999999997E-2</v>
      </c>
      <c r="I16" s="909"/>
      <c r="J16" s="822">
        <f t="shared" si="0"/>
        <v>0</v>
      </c>
      <c r="K16" s="822"/>
      <c r="M16" s="485"/>
      <c r="N16" s="83"/>
      <c r="Q16" s="496" t="s">
        <v>422</v>
      </c>
      <c r="R16" s="496"/>
      <c r="S16" s="411"/>
      <c r="U16" s="496"/>
      <c r="W16" s="496"/>
    </row>
    <row r="17" spans="1:23" ht="13.9" hidden="1" customHeight="1" x14ac:dyDescent="0.2">
      <c r="A17" s="344"/>
      <c r="B17" s="1092" t="s">
        <v>402</v>
      </c>
      <c r="C17" s="1092"/>
      <c r="D17" s="1092"/>
      <c r="E17" s="1093">
        <v>0.26</v>
      </c>
      <c r="F17" s="1093"/>
      <c r="G17" s="473">
        <v>0</v>
      </c>
      <c r="H17" s="909">
        <f>E17+G17</f>
        <v>0.26</v>
      </c>
      <c r="I17" s="909"/>
      <c r="J17" s="822">
        <f t="shared" si="0"/>
        <v>4.8000000000000001E-2</v>
      </c>
      <c r="K17" s="822"/>
      <c r="M17" s="485">
        <v>1.2500000000000001E-2</v>
      </c>
      <c r="N17" s="83"/>
      <c r="Q17" s="496" t="s">
        <v>457</v>
      </c>
      <c r="R17" s="496">
        <v>0.2</v>
      </c>
      <c r="S17" s="411" t="s">
        <v>455</v>
      </c>
      <c r="U17" s="496" t="s">
        <v>457</v>
      </c>
      <c r="W17" s="496">
        <v>0.22</v>
      </c>
    </row>
    <row r="18" spans="1:23" ht="13.9" hidden="1" customHeight="1" x14ac:dyDescent="0.2">
      <c r="A18" s="339"/>
      <c r="B18" s="418"/>
      <c r="C18" s="418"/>
      <c r="D18" s="418"/>
      <c r="E18" s="418"/>
      <c r="F18" s="418"/>
      <c r="G18" s="418"/>
      <c r="H18" s="418"/>
      <c r="I18" s="418"/>
      <c r="J18" s="348"/>
      <c r="K18" s="348"/>
      <c r="M18" s="343" t="s">
        <v>106</v>
      </c>
      <c r="N18" s="83"/>
      <c r="Q18" s="496" t="s">
        <v>465</v>
      </c>
      <c r="R18" s="496">
        <v>0.16500000000000001</v>
      </c>
      <c r="U18" s="496" t="s">
        <v>471</v>
      </c>
      <c r="W18" s="497">
        <v>3.7999999999999999E-2</v>
      </c>
    </row>
    <row r="19" spans="1:23" ht="15.75" hidden="1" x14ac:dyDescent="0.25">
      <c r="A19" s="339"/>
      <c r="B19" s="349"/>
      <c r="C19" s="349"/>
      <c r="D19" s="349"/>
      <c r="E19" s="8"/>
      <c r="H19" s="8"/>
      <c r="I19" s="8"/>
      <c r="M19" s="350">
        <f>SUM(M9:M17)*1000</f>
        <v>502.49999999999994</v>
      </c>
      <c r="N19" s="83" t="s">
        <v>120</v>
      </c>
      <c r="Q19" s="496" t="s">
        <v>476</v>
      </c>
      <c r="R19" s="496">
        <v>0.64</v>
      </c>
      <c r="U19" s="496" t="s">
        <v>476</v>
      </c>
      <c r="W19" s="2">
        <v>2</v>
      </c>
    </row>
    <row r="20" spans="1:23" ht="4.9000000000000004" hidden="1" customHeight="1" x14ac:dyDescent="0.25">
      <c r="A20" s="339"/>
      <c r="B20" s="862"/>
      <c r="C20" s="862"/>
      <c r="D20" s="862"/>
      <c r="E20" s="924"/>
      <c r="F20" s="924"/>
      <c r="G20" s="924"/>
      <c r="H20" s="8"/>
      <c r="I20" s="8"/>
      <c r="J20" s="351"/>
      <c r="N20" s="83"/>
      <c r="Q20" s="496" t="s">
        <v>475</v>
      </c>
      <c r="R20" s="496">
        <v>0.11</v>
      </c>
      <c r="U20" s="496" t="s">
        <v>477</v>
      </c>
    </row>
    <row r="21" spans="1:23" ht="15.75" hidden="1" x14ac:dyDescent="0.2">
      <c r="A21" s="339"/>
      <c r="B21" s="349"/>
      <c r="C21" s="349"/>
      <c r="D21" s="349"/>
      <c r="E21" s="902" t="s">
        <v>93</v>
      </c>
      <c r="F21" s="902"/>
      <c r="G21" s="902"/>
      <c r="H21" s="1145">
        <f>ROUND(1/((SUM(J9:K17)+J5+J6)),3)</f>
        <v>0.23300000000000001</v>
      </c>
      <c r="I21" s="1146"/>
      <c r="J21" s="905" t="s">
        <v>306</v>
      </c>
      <c r="K21" s="906"/>
      <c r="N21" s="83"/>
      <c r="O21" s="2">
        <f>SUM(J9:K17,J5:K6)</f>
        <v>4.3010000000000002</v>
      </c>
      <c r="Q21" s="496" t="s">
        <v>466</v>
      </c>
      <c r="R21" s="540">
        <v>0.15</v>
      </c>
      <c r="U21" s="496"/>
    </row>
    <row r="22" spans="1:23" ht="6" hidden="1" customHeight="1" x14ac:dyDescent="0.2">
      <c r="A22" s="352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Q22" s="497"/>
      <c r="R22" s="539"/>
      <c r="U22" s="497"/>
    </row>
    <row r="23" spans="1:23" ht="29.45" hidden="1" customHeight="1" x14ac:dyDescent="0.2"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</row>
    <row r="24" spans="1:23" ht="8.25" hidden="1" customHeight="1" x14ac:dyDescent="0.2">
      <c r="A24" s="337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99"/>
      <c r="M24" s="99"/>
      <c r="N24" s="81"/>
      <c r="Q24" s="495"/>
      <c r="U24" s="495" t="s">
        <v>422</v>
      </c>
      <c r="V24" s="385">
        <v>0.72</v>
      </c>
      <c r="W24" s="495">
        <v>0.72</v>
      </c>
    </row>
    <row r="25" spans="1:23" ht="15.75" hidden="1" x14ac:dyDescent="0.25">
      <c r="A25" s="339"/>
      <c r="B25" s="387"/>
      <c r="C25" s="868" t="s">
        <v>356</v>
      </c>
      <c r="D25" s="925"/>
      <c r="E25" s="925"/>
      <c r="F25" s="925"/>
      <c r="G25" s="925"/>
      <c r="H25" s="925"/>
      <c r="I25" s="925"/>
      <c r="J25" s="925"/>
      <c r="K25" s="926"/>
      <c r="N25" s="83"/>
      <c r="Q25" s="495" t="s">
        <v>451</v>
      </c>
      <c r="R25" s="495">
        <v>0.09</v>
      </c>
      <c r="U25" s="496" t="s">
        <v>443</v>
      </c>
      <c r="V25" s="86"/>
      <c r="W25" s="496">
        <v>3.5999999999999997E-2</v>
      </c>
    </row>
    <row r="26" spans="1:23" ht="6.75" hidden="1" customHeight="1" x14ac:dyDescent="0.2">
      <c r="A26" s="339"/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N26" s="83"/>
      <c r="Q26" s="496" t="s">
        <v>386</v>
      </c>
      <c r="R26" s="496">
        <v>0.15</v>
      </c>
      <c r="U26" s="496"/>
      <c r="V26" s="86"/>
      <c r="W26" s="496"/>
    </row>
    <row r="27" spans="1:23" ht="15" hidden="1" x14ac:dyDescent="0.25">
      <c r="A27" s="339"/>
      <c r="B27" s="341"/>
      <c r="C27" s="927" t="s">
        <v>299</v>
      </c>
      <c r="D27" s="927"/>
      <c r="E27" s="927"/>
      <c r="F27" s="927"/>
      <c r="G27" s="927"/>
      <c r="H27" s="927"/>
      <c r="I27" s="341" t="s">
        <v>300</v>
      </c>
      <c r="J27" s="930">
        <v>0.13</v>
      </c>
      <c r="K27" s="873"/>
      <c r="N27" s="83"/>
      <c r="Q27" s="496" t="s">
        <v>203</v>
      </c>
      <c r="R27" s="496">
        <v>2</v>
      </c>
      <c r="U27" s="496"/>
      <c r="V27" s="86"/>
      <c r="W27" s="496">
        <v>3.9E-2</v>
      </c>
    </row>
    <row r="28" spans="1:23" ht="15" hidden="1" x14ac:dyDescent="0.25">
      <c r="A28" s="339"/>
      <c r="B28" s="341"/>
      <c r="C28" s="341"/>
      <c r="D28" s="341"/>
      <c r="E28" s="341"/>
      <c r="F28" s="341"/>
      <c r="G28" s="341"/>
      <c r="H28" s="341"/>
      <c r="I28" s="341" t="s">
        <v>301</v>
      </c>
      <c r="J28" s="843">
        <v>0.13</v>
      </c>
      <c r="K28" s="928"/>
      <c r="N28" s="83"/>
      <c r="Q28" s="496" t="s">
        <v>428</v>
      </c>
      <c r="R28" s="496">
        <v>3.7999999999999999E-2</v>
      </c>
      <c r="U28" s="496" t="s">
        <v>426</v>
      </c>
      <c r="V28" s="86"/>
      <c r="W28" s="496">
        <v>0.09</v>
      </c>
    </row>
    <row r="29" spans="1:23" ht="4.9000000000000004" hidden="1" customHeight="1" x14ac:dyDescent="0.2">
      <c r="A29" s="339"/>
      <c r="J29" s="762"/>
      <c r="K29" s="762"/>
      <c r="N29" s="83"/>
      <c r="Q29" s="496" t="s">
        <v>492</v>
      </c>
      <c r="R29" s="496">
        <v>7.1999999999999995E-2</v>
      </c>
      <c r="U29" s="496" t="s">
        <v>427</v>
      </c>
      <c r="V29" s="86">
        <v>3.5999999999999997E-2</v>
      </c>
      <c r="W29" s="496">
        <v>3.7999999999999999E-2</v>
      </c>
    </row>
    <row r="30" spans="1:23" ht="13.5" hidden="1" x14ac:dyDescent="0.25">
      <c r="A30" s="339"/>
      <c r="B30" s="907" t="s">
        <v>6</v>
      </c>
      <c r="C30" s="907"/>
      <c r="D30" s="907"/>
      <c r="E30" s="929" t="s">
        <v>516</v>
      </c>
      <c r="F30" s="929"/>
      <c r="G30" s="467" t="s">
        <v>303</v>
      </c>
      <c r="H30" s="929" t="s">
        <v>504</v>
      </c>
      <c r="I30" s="929"/>
      <c r="J30" s="929" t="s">
        <v>304</v>
      </c>
      <c r="K30" s="929"/>
      <c r="L30" s="343"/>
      <c r="M30" s="466" t="s">
        <v>305</v>
      </c>
      <c r="N30" s="83"/>
      <c r="Q30" s="496" t="s">
        <v>417</v>
      </c>
      <c r="R30" s="496">
        <v>0.2</v>
      </c>
      <c r="T30" s="2" t="s">
        <v>266</v>
      </c>
      <c r="U30" s="496" t="s">
        <v>386</v>
      </c>
      <c r="V30" s="86"/>
      <c r="W30" s="496">
        <v>3.3000000000000002E-2</v>
      </c>
    </row>
    <row r="31" spans="1:23" hidden="1" x14ac:dyDescent="0.2">
      <c r="A31" s="344"/>
      <c r="B31" s="1092" t="s">
        <v>402</v>
      </c>
      <c r="C31" s="1092"/>
      <c r="D31" s="1092"/>
      <c r="E31" s="1093">
        <v>0.26</v>
      </c>
      <c r="F31" s="1093"/>
      <c r="G31" s="473">
        <v>0</v>
      </c>
      <c r="H31" s="909">
        <f>E31+G31</f>
        <v>0.26</v>
      </c>
      <c r="I31" s="909"/>
      <c r="J31" s="822">
        <f>ROUND(M31/H31,3)</f>
        <v>3.7999999999999999E-2</v>
      </c>
      <c r="K31" s="822"/>
      <c r="M31" s="485">
        <v>0.01</v>
      </c>
      <c r="N31" s="83"/>
      <c r="Q31" s="496" t="s">
        <v>421</v>
      </c>
      <c r="R31" s="496">
        <v>0.109</v>
      </c>
      <c r="U31" s="496" t="s">
        <v>423</v>
      </c>
      <c r="V31" s="86">
        <v>3.6999999999999998E-2</v>
      </c>
      <c r="W31" s="496">
        <v>3.4000000000000002E-2</v>
      </c>
    </row>
    <row r="32" spans="1:23" hidden="1" x14ac:dyDescent="0.2">
      <c r="A32" s="344"/>
      <c r="B32" s="1092" t="s">
        <v>443</v>
      </c>
      <c r="C32" s="1092"/>
      <c r="D32" s="1092"/>
      <c r="E32" s="1093">
        <v>0.2</v>
      </c>
      <c r="F32" s="1093"/>
      <c r="G32" s="473">
        <v>0</v>
      </c>
      <c r="H32" s="909">
        <f>E32+G32</f>
        <v>0.2</v>
      </c>
      <c r="I32" s="909"/>
      <c r="J32" s="822">
        <f>ROUND(M32/H32,3)</f>
        <v>1.5</v>
      </c>
      <c r="K32" s="822"/>
      <c r="M32" s="485">
        <v>0.3</v>
      </c>
      <c r="N32" s="83"/>
      <c r="Q32" s="496" t="s">
        <v>422</v>
      </c>
      <c r="R32" s="497">
        <v>0.32</v>
      </c>
      <c r="U32" s="497" t="s">
        <v>357</v>
      </c>
      <c r="V32" s="87">
        <v>3.7999999999999999E-2</v>
      </c>
      <c r="W32" s="497">
        <v>3.5000000000000003E-2</v>
      </c>
    </row>
    <row r="33" spans="1:23" hidden="1" x14ac:dyDescent="0.2">
      <c r="A33" s="344"/>
      <c r="B33" s="1092" t="s">
        <v>386</v>
      </c>
      <c r="C33" s="1092"/>
      <c r="D33" s="1092"/>
      <c r="E33" s="1093">
        <v>3.5999999999999997E-2</v>
      </c>
      <c r="F33" s="1093"/>
      <c r="G33" s="473">
        <v>0</v>
      </c>
      <c r="H33" s="909">
        <f>E33+G33</f>
        <v>3.5999999999999997E-2</v>
      </c>
      <c r="I33" s="909"/>
      <c r="J33" s="909">
        <f>ROUND(M33/H33,3)</f>
        <v>3.3330000000000002</v>
      </c>
      <c r="K33" s="909"/>
      <c r="M33" s="485">
        <v>0.12</v>
      </c>
      <c r="N33" s="83"/>
      <c r="Q33" s="496" t="s">
        <v>456</v>
      </c>
      <c r="R33" s="496">
        <v>0.129</v>
      </c>
      <c r="S33" s="411" t="s">
        <v>454</v>
      </c>
      <c r="W33" s="496">
        <v>3.5999999999999997E-2</v>
      </c>
    </row>
    <row r="34" spans="1:23" ht="13.9" hidden="1" customHeight="1" x14ac:dyDescent="0.2">
      <c r="A34" s="344"/>
      <c r="B34" s="1092" t="s">
        <v>124</v>
      </c>
      <c r="C34" s="1092"/>
      <c r="D34" s="1092"/>
      <c r="E34" s="1093"/>
      <c r="F34" s="1093"/>
      <c r="G34" s="473"/>
      <c r="H34" s="913"/>
      <c r="I34" s="914"/>
      <c r="J34" s="822">
        <v>0.16</v>
      </c>
      <c r="K34" s="822"/>
      <c r="M34" s="485"/>
      <c r="N34" s="83"/>
      <c r="Q34" s="496" t="s">
        <v>443</v>
      </c>
      <c r="R34" s="496">
        <v>0.02</v>
      </c>
      <c r="S34" s="411"/>
      <c r="W34" s="496"/>
    </row>
    <row r="35" spans="1:23" ht="13.9" hidden="1" customHeight="1" x14ac:dyDescent="0.2">
      <c r="A35" s="344"/>
      <c r="B35" s="1092" t="s">
        <v>472</v>
      </c>
      <c r="C35" s="1092"/>
      <c r="D35" s="1092"/>
      <c r="E35" s="1093">
        <v>0.64</v>
      </c>
      <c r="F35" s="1093"/>
      <c r="G35" s="473">
        <v>0</v>
      </c>
      <c r="H35" s="913">
        <f>E35+G35</f>
        <v>0.64</v>
      </c>
      <c r="I35" s="914"/>
      <c r="J35" s="822">
        <f>ROUND(M35/H35,3)</f>
        <v>0</v>
      </c>
      <c r="K35" s="822"/>
      <c r="M35" s="485"/>
      <c r="N35" s="83"/>
      <c r="Q35" s="496" t="s">
        <v>404</v>
      </c>
      <c r="R35" s="496">
        <v>0.81</v>
      </c>
      <c r="S35" s="411"/>
      <c r="W35" s="496"/>
    </row>
    <row r="36" spans="1:23" ht="13.9" hidden="1" customHeight="1" x14ac:dyDescent="0.2">
      <c r="A36" s="344"/>
      <c r="B36" s="1092" t="s">
        <v>386</v>
      </c>
      <c r="C36" s="1092"/>
      <c r="D36" s="1092"/>
      <c r="E36" s="1093">
        <v>3.5999999999999997E-2</v>
      </c>
      <c r="F36" s="1093"/>
      <c r="G36" s="473">
        <v>2E-3</v>
      </c>
      <c r="H36" s="913">
        <v>3.7999999999999999E-2</v>
      </c>
      <c r="I36" s="914"/>
      <c r="J36" s="822">
        <f>ROUND(M36/H36,3)</f>
        <v>0</v>
      </c>
      <c r="K36" s="822"/>
      <c r="M36" s="485"/>
      <c r="N36" s="83"/>
      <c r="Q36" s="496" t="s">
        <v>475</v>
      </c>
      <c r="R36" s="496">
        <v>0.11</v>
      </c>
      <c r="S36" s="411"/>
      <c r="W36" s="496"/>
    </row>
    <row r="37" spans="1:23" ht="13.9" hidden="1" customHeight="1" x14ac:dyDescent="0.2">
      <c r="A37" s="344"/>
      <c r="B37" s="1092" t="s">
        <v>401</v>
      </c>
      <c r="C37" s="1092"/>
      <c r="D37" s="1092"/>
      <c r="E37" s="1093">
        <v>0.13</v>
      </c>
      <c r="F37" s="1093"/>
      <c r="G37" s="473">
        <v>0</v>
      </c>
      <c r="H37" s="913">
        <f>E37+G37</f>
        <v>0.13</v>
      </c>
      <c r="I37" s="914"/>
      <c r="J37" s="822">
        <f>ROUND(M37/H37,3)</f>
        <v>0</v>
      </c>
      <c r="K37" s="822"/>
      <c r="M37" s="485"/>
      <c r="N37" s="83"/>
      <c r="Q37" s="496" t="s">
        <v>420</v>
      </c>
      <c r="R37" s="496">
        <v>1.7</v>
      </c>
      <c r="S37" s="411"/>
      <c r="W37" s="496"/>
    </row>
    <row r="38" spans="1:23" ht="13.9" hidden="1" customHeight="1" x14ac:dyDescent="0.2">
      <c r="A38" s="344"/>
      <c r="B38" s="1092" t="s">
        <v>237</v>
      </c>
      <c r="C38" s="1092"/>
      <c r="D38" s="1092"/>
      <c r="E38" s="1093">
        <v>2</v>
      </c>
      <c r="F38" s="1093"/>
      <c r="G38" s="473">
        <v>0</v>
      </c>
      <c r="H38" s="913">
        <f>E38+G38</f>
        <v>2</v>
      </c>
      <c r="I38" s="914"/>
      <c r="J38" s="822">
        <f>ROUND(M38/H38,3)</f>
        <v>0</v>
      </c>
      <c r="K38" s="822"/>
      <c r="M38" s="485">
        <v>0</v>
      </c>
      <c r="N38" s="83"/>
      <c r="Q38" s="496" t="s">
        <v>494</v>
      </c>
      <c r="R38" s="496">
        <v>2</v>
      </c>
      <c r="S38" s="411"/>
      <c r="W38" s="496"/>
    </row>
    <row r="39" spans="1:23" ht="13.9" hidden="1" customHeight="1" x14ac:dyDescent="0.2">
      <c r="A39" s="344"/>
      <c r="B39" s="1092" t="s">
        <v>402</v>
      </c>
      <c r="C39" s="1092"/>
      <c r="D39" s="1092"/>
      <c r="E39" s="1093">
        <v>0.26</v>
      </c>
      <c r="F39" s="1093"/>
      <c r="G39" s="473">
        <v>0</v>
      </c>
      <c r="H39" s="909">
        <f>E39+G39</f>
        <v>0.26</v>
      </c>
      <c r="I39" s="909"/>
      <c r="J39" s="822">
        <f>ROUND(M39/H39,3)</f>
        <v>0</v>
      </c>
      <c r="K39" s="822"/>
      <c r="M39" s="485">
        <v>0</v>
      </c>
      <c r="N39" s="83"/>
      <c r="Q39" s="496" t="s">
        <v>457</v>
      </c>
      <c r="R39" s="496">
        <v>3.6999999999999998E-2</v>
      </c>
      <c r="S39" s="411" t="s">
        <v>455</v>
      </c>
      <c r="W39" s="496">
        <v>3.9E-2</v>
      </c>
    </row>
    <row r="40" spans="1:23" ht="13.9" hidden="1" customHeight="1" x14ac:dyDescent="0.2">
      <c r="A40" s="339"/>
      <c r="B40" s="418"/>
      <c r="C40" s="418"/>
      <c r="D40" s="418"/>
      <c r="E40" s="418"/>
      <c r="F40" s="418"/>
      <c r="G40" s="418"/>
      <c r="H40" s="418"/>
      <c r="I40" s="418"/>
      <c r="J40" s="348"/>
      <c r="K40" s="348"/>
      <c r="M40" s="343" t="s">
        <v>106</v>
      </c>
      <c r="N40" s="83"/>
      <c r="Q40" s="496" t="s">
        <v>493</v>
      </c>
      <c r="R40" s="496">
        <v>0.02</v>
      </c>
      <c r="W40" s="497">
        <v>3.7999999999999999E-2</v>
      </c>
    </row>
    <row r="41" spans="1:23" ht="15.75" hidden="1" x14ac:dyDescent="0.25">
      <c r="A41" s="339"/>
      <c r="B41" s="349"/>
      <c r="C41" s="349"/>
      <c r="D41" s="349"/>
      <c r="E41" s="8"/>
      <c r="H41" s="8"/>
      <c r="I41" s="8"/>
      <c r="M41" s="350">
        <f>SUM(M31:M39)*1000</f>
        <v>430</v>
      </c>
      <c r="N41" s="83" t="s">
        <v>120</v>
      </c>
      <c r="Q41" s="496" t="s">
        <v>497</v>
      </c>
      <c r="R41" s="496">
        <v>0.7</v>
      </c>
    </row>
    <row r="42" spans="1:23" ht="3.6" hidden="1" customHeight="1" x14ac:dyDescent="0.25">
      <c r="A42" s="339"/>
      <c r="B42" s="862"/>
      <c r="C42" s="862"/>
      <c r="D42" s="862"/>
      <c r="E42" s="924"/>
      <c r="F42" s="924"/>
      <c r="G42" s="924"/>
      <c r="H42" s="8"/>
      <c r="I42" s="8"/>
      <c r="J42" s="351"/>
      <c r="N42" s="83"/>
      <c r="Q42" s="496"/>
      <c r="R42" s="496"/>
    </row>
    <row r="43" spans="1:23" ht="15.75" hidden="1" x14ac:dyDescent="0.2">
      <c r="A43" s="339"/>
      <c r="B43" s="349"/>
      <c r="C43" s="349"/>
      <c r="D43" s="349"/>
      <c r="E43" s="902" t="s">
        <v>93</v>
      </c>
      <c r="F43" s="902"/>
      <c r="G43" s="902"/>
      <c r="H43" s="1145">
        <f>ROUND(1/((SUM(J31:K39)+J27+J28)),3)</f>
        <v>0.189</v>
      </c>
      <c r="I43" s="1146"/>
      <c r="J43" s="905" t="s">
        <v>306</v>
      </c>
      <c r="K43" s="906"/>
      <c r="N43" s="83"/>
      <c r="Q43" s="496"/>
      <c r="R43" s="1154"/>
    </row>
    <row r="44" spans="1:23" ht="6" hidden="1" customHeight="1" x14ac:dyDescent="0.2">
      <c r="A44" s="352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9"/>
      <c r="Q44" s="497"/>
      <c r="R44" s="1155"/>
    </row>
    <row r="45" spans="1:23" ht="11.45" hidden="1" customHeight="1" x14ac:dyDescent="0.2"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6"/>
    </row>
    <row r="46" spans="1:23" ht="8.25" hidden="1" customHeight="1" x14ac:dyDescent="0.2">
      <c r="A46" s="337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99"/>
      <c r="M46" s="99"/>
      <c r="N46" s="81"/>
      <c r="Q46" s="495"/>
      <c r="U46" s="495" t="s">
        <v>404</v>
      </c>
      <c r="V46" s="385">
        <v>0.72</v>
      </c>
      <c r="W46" s="495">
        <v>0.72</v>
      </c>
    </row>
    <row r="47" spans="1:23" ht="13.15" hidden="1" customHeight="1" x14ac:dyDescent="0.25">
      <c r="A47" s="339"/>
      <c r="B47" s="387"/>
      <c r="C47" s="868" t="s">
        <v>397</v>
      </c>
      <c r="D47" s="925"/>
      <c r="E47" s="925"/>
      <c r="F47" s="925"/>
      <c r="G47" s="925"/>
      <c r="H47" s="925"/>
      <c r="I47" s="925"/>
      <c r="J47" s="925"/>
      <c r="K47" s="926"/>
      <c r="N47" s="83"/>
      <c r="Q47" s="495" t="s">
        <v>451</v>
      </c>
      <c r="R47" s="495">
        <v>0.09</v>
      </c>
      <c r="U47" s="496"/>
      <c r="V47" s="86"/>
      <c r="W47" s="496">
        <v>3.5999999999999997E-2</v>
      </c>
    </row>
    <row r="48" spans="1:23" ht="6.75" hidden="1" customHeight="1" x14ac:dyDescent="0.2">
      <c r="A48" s="33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N48" s="83"/>
      <c r="Q48" s="496" t="s">
        <v>450</v>
      </c>
      <c r="R48" s="496">
        <v>0.15</v>
      </c>
      <c r="U48" s="496"/>
      <c r="V48" s="86"/>
      <c r="W48" s="496"/>
    </row>
    <row r="49" spans="1:23" ht="15" hidden="1" x14ac:dyDescent="0.25">
      <c r="A49" s="339"/>
      <c r="B49" s="341"/>
      <c r="C49" s="927" t="s">
        <v>299</v>
      </c>
      <c r="D49" s="927"/>
      <c r="E49" s="927"/>
      <c r="F49" s="927"/>
      <c r="G49" s="927"/>
      <c r="H49" s="927"/>
      <c r="I49" s="341" t="s">
        <v>300</v>
      </c>
      <c r="J49" s="843">
        <v>0.13</v>
      </c>
      <c r="K49" s="928"/>
      <c r="N49" s="83"/>
      <c r="Q49" s="496" t="s">
        <v>443</v>
      </c>
      <c r="R49" s="496">
        <v>0.72</v>
      </c>
      <c r="U49" s="496"/>
      <c r="V49" s="86"/>
      <c r="W49" s="496">
        <v>3.6999999999999998E-2</v>
      </c>
    </row>
    <row r="50" spans="1:23" ht="15" hidden="1" x14ac:dyDescent="0.25">
      <c r="A50" s="339"/>
      <c r="B50" s="341"/>
      <c r="C50" s="341"/>
      <c r="D50" s="341"/>
      <c r="E50" s="341"/>
      <c r="F50" s="341"/>
      <c r="G50" s="341"/>
      <c r="H50" s="341"/>
      <c r="I50" s="341" t="s">
        <v>301</v>
      </c>
      <c r="J50" s="843">
        <v>0.04</v>
      </c>
      <c r="K50" s="928"/>
      <c r="N50" s="83"/>
      <c r="Q50" s="496" t="s">
        <v>428</v>
      </c>
      <c r="R50" s="496">
        <v>0.81</v>
      </c>
      <c r="U50" s="496" t="s">
        <v>426</v>
      </c>
      <c r="V50" s="86"/>
      <c r="W50" s="496">
        <v>0.09</v>
      </c>
    </row>
    <row r="51" spans="1:23" ht="4.9000000000000004" hidden="1" customHeight="1" x14ac:dyDescent="0.2">
      <c r="A51" s="339"/>
      <c r="J51" s="762"/>
      <c r="K51" s="762"/>
      <c r="N51" s="83"/>
      <c r="Q51" s="496" t="s">
        <v>404</v>
      </c>
      <c r="R51" s="496">
        <v>0.87</v>
      </c>
      <c r="U51" s="496" t="s">
        <v>427</v>
      </c>
      <c r="V51" s="86">
        <v>3.5999999999999997E-2</v>
      </c>
      <c r="W51" s="496">
        <v>3.7999999999999999E-2</v>
      </c>
    </row>
    <row r="52" spans="1:23" ht="13.5" hidden="1" x14ac:dyDescent="0.25">
      <c r="A52" s="339"/>
      <c r="B52" s="907" t="s">
        <v>6</v>
      </c>
      <c r="C52" s="907"/>
      <c r="D52" s="907"/>
      <c r="E52" s="929" t="s">
        <v>506</v>
      </c>
      <c r="F52" s="929"/>
      <c r="G52" s="467" t="s">
        <v>303</v>
      </c>
      <c r="H52" s="929" t="s">
        <v>507</v>
      </c>
      <c r="I52" s="929"/>
      <c r="J52" s="929" t="s">
        <v>304</v>
      </c>
      <c r="K52" s="929"/>
      <c r="L52" s="343"/>
      <c r="M52" s="466" t="s">
        <v>305</v>
      </c>
      <c r="N52" s="83"/>
      <c r="Q52" s="496" t="s">
        <v>417</v>
      </c>
      <c r="R52" s="496">
        <v>0.2</v>
      </c>
      <c r="T52" s="2" t="s">
        <v>266</v>
      </c>
      <c r="U52" s="496" t="s">
        <v>386</v>
      </c>
      <c r="V52" s="86"/>
      <c r="W52" s="496">
        <v>3.3000000000000002E-2</v>
      </c>
    </row>
    <row r="53" spans="1:23" hidden="1" x14ac:dyDescent="0.2">
      <c r="A53" s="344"/>
      <c r="B53" s="1092" t="s">
        <v>402</v>
      </c>
      <c r="C53" s="1092"/>
      <c r="D53" s="1092"/>
      <c r="E53" s="1093">
        <v>0.26</v>
      </c>
      <c r="F53" s="1093"/>
      <c r="G53" s="473">
        <v>0</v>
      </c>
      <c r="H53" s="909">
        <f>E53+G53</f>
        <v>0.26</v>
      </c>
      <c r="I53" s="909"/>
      <c r="J53" s="822">
        <f t="shared" ref="J53:J61" si="1">ROUND(M53/H53,3)</f>
        <v>3.7999999999999999E-2</v>
      </c>
      <c r="K53" s="822"/>
      <c r="M53" s="485">
        <v>0.01</v>
      </c>
      <c r="N53" s="83"/>
      <c r="Q53" s="496" t="s">
        <v>421</v>
      </c>
      <c r="R53" s="496">
        <v>0.11</v>
      </c>
      <c r="U53" s="496" t="s">
        <v>423</v>
      </c>
      <c r="V53" s="86">
        <v>3.6999999999999998E-2</v>
      </c>
      <c r="W53" s="496">
        <v>3.4000000000000002E-2</v>
      </c>
    </row>
    <row r="54" spans="1:23" hidden="1" x14ac:dyDescent="0.2">
      <c r="A54" s="344"/>
      <c r="B54" s="1092" t="s">
        <v>422</v>
      </c>
      <c r="C54" s="1092"/>
      <c r="D54" s="1092"/>
      <c r="E54" s="1093">
        <v>0.09</v>
      </c>
      <c r="F54" s="1093"/>
      <c r="G54" s="473">
        <v>0.02</v>
      </c>
      <c r="H54" s="909">
        <f>E54+G54</f>
        <v>0.11</v>
      </c>
      <c r="I54" s="909"/>
      <c r="J54" s="822">
        <f t="shared" si="1"/>
        <v>3.6360000000000001</v>
      </c>
      <c r="K54" s="822"/>
      <c r="M54" s="485">
        <v>0.4</v>
      </c>
      <c r="N54" s="83"/>
      <c r="Q54" s="496" t="s">
        <v>422</v>
      </c>
      <c r="R54" s="497">
        <v>5.2999999999999999E-2</v>
      </c>
      <c r="U54" s="497" t="s">
        <v>357</v>
      </c>
      <c r="V54" s="87">
        <v>3.7999999999999999E-2</v>
      </c>
      <c r="W54" s="497">
        <v>3.5000000000000003E-2</v>
      </c>
    </row>
    <row r="55" spans="1:23" hidden="1" x14ac:dyDescent="0.2">
      <c r="A55" s="344"/>
      <c r="B55" s="1092" t="s">
        <v>386</v>
      </c>
      <c r="C55" s="1092"/>
      <c r="D55" s="1092"/>
      <c r="E55" s="1093">
        <v>3.5999999999999997E-2</v>
      </c>
      <c r="F55" s="1093"/>
      <c r="G55" s="473">
        <v>2E-3</v>
      </c>
      <c r="H55" s="909">
        <f>E55+G55</f>
        <v>3.7999999999999999E-2</v>
      </c>
      <c r="I55" s="909"/>
      <c r="J55" s="822">
        <f t="shared" si="1"/>
        <v>1.3160000000000001</v>
      </c>
      <c r="K55" s="822"/>
      <c r="M55" s="485">
        <v>0.05</v>
      </c>
      <c r="N55" s="83"/>
      <c r="Q55" s="496" t="s">
        <v>456</v>
      </c>
      <c r="R55" s="496">
        <v>0.129</v>
      </c>
      <c r="S55" s="411" t="s">
        <v>454</v>
      </c>
      <c r="W55" s="496">
        <v>3.5999999999999997E-2</v>
      </c>
    </row>
    <row r="56" spans="1:23" ht="13.9" hidden="1" customHeight="1" x14ac:dyDescent="0.2">
      <c r="A56" s="344"/>
      <c r="B56" s="1092" t="s">
        <v>124</v>
      </c>
      <c r="C56" s="1092"/>
      <c r="D56" s="1092"/>
      <c r="E56" s="1093">
        <v>2.1999999999999999E-2</v>
      </c>
      <c r="F56" s="1093"/>
      <c r="G56" s="473">
        <v>0</v>
      </c>
      <c r="H56" s="909">
        <v>2.1999999999999999E-2</v>
      </c>
      <c r="I56" s="909"/>
      <c r="J56" s="822">
        <f t="shared" si="1"/>
        <v>0</v>
      </c>
      <c r="K56" s="822"/>
      <c r="M56" s="485"/>
      <c r="N56" s="83"/>
      <c r="Q56" s="496"/>
      <c r="R56" s="496"/>
      <c r="S56" s="411"/>
      <c r="W56" s="496"/>
    </row>
    <row r="57" spans="1:23" ht="13.9" hidden="1" customHeight="1" x14ac:dyDescent="0.2">
      <c r="A57" s="344"/>
      <c r="B57" s="1092" t="s">
        <v>404</v>
      </c>
      <c r="C57" s="1092"/>
      <c r="D57" s="1092"/>
      <c r="E57" s="1093">
        <v>0</v>
      </c>
      <c r="F57" s="1093"/>
      <c r="G57" s="473">
        <v>0</v>
      </c>
      <c r="H57" s="909">
        <v>0.81</v>
      </c>
      <c r="I57" s="909"/>
      <c r="J57" s="822">
        <f t="shared" si="1"/>
        <v>0</v>
      </c>
      <c r="K57" s="822"/>
      <c r="M57" s="485"/>
      <c r="N57" s="83"/>
      <c r="Q57" s="496"/>
      <c r="R57" s="496"/>
      <c r="S57" s="411"/>
      <c r="W57" s="496"/>
    </row>
    <row r="58" spans="1:23" ht="13.9" hidden="1" customHeight="1" x14ac:dyDescent="0.2">
      <c r="A58" s="344"/>
      <c r="B58" s="1092" t="s">
        <v>386</v>
      </c>
      <c r="C58" s="1092"/>
      <c r="D58" s="1092"/>
      <c r="E58" s="1093">
        <v>0</v>
      </c>
      <c r="F58" s="1093"/>
      <c r="G58" s="473">
        <v>0</v>
      </c>
      <c r="H58" s="909">
        <v>3.5999999999999997E-2</v>
      </c>
      <c r="I58" s="909"/>
      <c r="J58" s="822">
        <f t="shared" si="1"/>
        <v>0</v>
      </c>
      <c r="K58" s="822"/>
      <c r="M58" s="485"/>
      <c r="N58" s="83"/>
      <c r="Q58" s="496"/>
      <c r="R58" s="496"/>
      <c r="S58" s="411"/>
      <c r="W58" s="496"/>
    </row>
    <row r="59" spans="1:23" hidden="1" x14ac:dyDescent="0.2">
      <c r="A59" s="344"/>
      <c r="B59" s="1092" t="s">
        <v>401</v>
      </c>
      <c r="C59" s="1092"/>
      <c r="D59" s="1092"/>
      <c r="E59" s="1093">
        <v>0.13</v>
      </c>
      <c r="F59" s="1093"/>
      <c r="G59" s="473">
        <v>0</v>
      </c>
      <c r="H59" s="909">
        <f>E59+G59</f>
        <v>0.13</v>
      </c>
      <c r="I59" s="909"/>
      <c r="J59" s="822">
        <f t="shared" si="1"/>
        <v>0</v>
      </c>
      <c r="K59" s="822"/>
      <c r="M59" s="485"/>
      <c r="N59" s="83"/>
      <c r="Q59" s="496"/>
      <c r="R59" s="496"/>
      <c r="S59" s="411"/>
      <c r="W59" s="496"/>
    </row>
    <row r="60" spans="1:23" ht="13.9" hidden="1" customHeight="1" x14ac:dyDescent="0.2">
      <c r="A60" s="344"/>
      <c r="B60" s="1092" t="s">
        <v>413</v>
      </c>
      <c r="C60" s="1092"/>
      <c r="D60" s="1092"/>
      <c r="E60" s="1093">
        <v>0</v>
      </c>
      <c r="F60" s="1093"/>
      <c r="G60" s="473">
        <v>0</v>
      </c>
      <c r="H60" s="909">
        <v>3.5999999999999997E-2</v>
      </c>
      <c r="I60" s="909"/>
      <c r="J60" s="822">
        <f t="shared" si="1"/>
        <v>0</v>
      </c>
      <c r="K60" s="822"/>
      <c r="M60" s="485"/>
      <c r="N60" s="83"/>
      <c r="Q60" s="496"/>
      <c r="R60" s="496"/>
      <c r="S60" s="411"/>
      <c r="W60" s="496"/>
    </row>
    <row r="61" spans="1:23" ht="13.9" hidden="1" customHeight="1" x14ac:dyDescent="0.2">
      <c r="A61" s="344"/>
      <c r="B61" s="1092" t="s">
        <v>402</v>
      </c>
      <c r="C61" s="1092"/>
      <c r="D61" s="1092"/>
      <c r="E61" s="1093">
        <v>0.64</v>
      </c>
      <c r="F61" s="1093"/>
      <c r="G61" s="473">
        <v>0</v>
      </c>
      <c r="H61" s="909">
        <f>E61+G61</f>
        <v>0.64</v>
      </c>
      <c r="I61" s="909"/>
      <c r="J61" s="822">
        <f t="shared" si="1"/>
        <v>0.20300000000000001</v>
      </c>
      <c r="K61" s="822"/>
      <c r="M61" s="485">
        <v>0.13</v>
      </c>
      <c r="N61" s="83"/>
      <c r="Q61" s="496" t="s">
        <v>457</v>
      </c>
      <c r="R61" s="496">
        <v>0.22</v>
      </c>
      <c r="S61" s="411" t="s">
        <v>455</v>
      </c>
      <c r="W61" s="496">
        <v>3.6999999999999998E-2</v>
      </c>
    </row>
    <row r="62" spans="1:23" ht="13.9" hidden="1" customHeight="1" x14ac:dyDescent="0.2">
      <c r="A62" s="339"/>
      <c r="B62" s="418"/>
      <c r="C62" s="418"/>
      <c r="D62" s="418"/>
      <c r="E62" s="418"/>
      <c r="F62" s="418"/>
      <c r="G62" s="418"/>
      <c r="H62" s="418"/>
      <c r="I62" s="418"/>
      <c r="J62" s="348"/>
      <c r="K62" s="348"/>
      <c r="M62" s="343" t="s">
        <v>106</v>
      </c>
      <c r="N62" s="83"/>
      <c r="Q62" s="496"/>
      <c r="R62" s="496"/>
      <c r="W62" s="497">
        <v>3.7999999999999999E-2</v>
      </c>
    </row>
    <row r="63" spans="1:23" ht="15.75" hidden="1" x14ac:dyDescent="0.25">
      <c r="A63" s="339"/>
      <c r="B63" s="349"/>
      <c r="C63" s="349"/>
      <c r="D63" s="349"/>
      <c r="E63" s="8"/>
      <c r="H63" s="8"/>
      <c r="I63" s="8"/>
      <c r="M63" s="350">
        <f>SUM(M53:M61)*1000</f>
        <v>590.00000000000011</v>
      </c>
      <c r="N63" s="83" t="s">
        <v>120</v>
      </c>
      <c r="Q63" s="496"/>
      <c r="R63" s="496"/>
    </row>
    <row r="64" spans="1:23" ht="4.1500000000000004" hidden="1" customHeight="1" x14ac:dyDescent="0.25">
      <c r="A64" s="339"/>
      <c r="B64" s="862"/>
      <c r="C64" s="862"/>
      <c r="D64" s="862"/>
      <c r="E64" s="924"/>
      <c r="F64" s="924"/>
      <c r="G64" s="924"/>
      <c r="H64" s="8"/>
      <c r="I64" s="8"/>
      <c r="J64" s="351"/>
      <c r="N64" s="83"/>
      <c r="Q64" s="496"/>
      <c r="R64" s="496"/>
    </row>
    <row r="65" spans="1:23" ht="15.75" hidden="1" x14ac:dyDescent="0.2">
      <c r="A65" s="339"/>
      <c r="B65" s="349"/>
      <c r="C65" s="349"/>
      <c r="D65" s="349"/>
      <c r="E65" s="902" t="s">
        <v>93</v>
      </c>
      <c r="F65" s="902"/>
      <c r="G65" s="902"/>
      <c r="H65" s="1094">
        <f>ROUND(1/((SUM(J53:K61)+J49+J50)),3)*O65</f>
        <v>0.186</v>
      </c>
      <c r="I65" s="1095"/>
      <c r="J65" s="905" t="s">
        <v>306</v>
      </c>
      <c r="K65" s="906"/>
      <c r="N65" s="83"/>
      <c r="O65" s="564">
        <v>1</v>
      </c>
      <c r="Q65" s="496"/>
      <c r="R65" s="1154"/>
    </row>
    <row r="66" spans="1:23" ht="8.4499999999999993" hidden="1" customHeight="1" x14ac:dyDescent="0.2">
      <c r="A66" s="352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9"/>
      <c r="Q66" s="497"/>
      <c r="R66" s="1155"/>
    </row>
    <row r="67" spans="1:23" ht="7.9" hidden="1" customHeight="1" x14ac:dyDescent="0.2">
      <c r="R67" s="434"/>
    </row>
    <row r="68" spans="1:23" ht="8.4499999999999993" hidden="1" customHeight="1" x14ac:dyDescent="0.2">
      <c r="A68" s="337">
        <f ca="1">68:89</f>
        <v>0</v>
      </c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99"/>
      <c r="M68" s="99"/>
      <c r="N68" s="81"/>
    </row>
    <row r="69" spans="1:23" ht="15.6" hidden="1" customHeight="1" x14ac:dyDescent="0.2">
      <c r="A69" s="339"/>
      <c r="B69" s="387"/>
      <c r="C69" s="868" t="s">
        <v>384</v>
      </c>
      <c r="D69" s="868"/>
      <c r="E69" s="868"/>
      <c r="F69" s="868"/>
      <c r="G69" s="868"/>
      <c r="H69" s="868"/>
      <c r="I69" s="868"/>
      <c r="J69" s="868"/>
      <c r="K69" s="868"/>
      <c r="L69" s="868"/>
      <c r="M69" s="869"/>
      <c r="N69" s="83"/>
      <c r="P69" s="433">
        <v>0.1</v>
      </c>
      <c r="Q69" s="495"/>
      <c r="R69" s="495"/>
      <c r="U69" s="495" t="s">
        <v>223</v>
      </c>
      <c r="W69" s="495" t="s">
        <v>441</v>
      </c>
    </row>
    <row r="70" spans="1:23" hidden="1" x14ac:dyDescent="0.2">
      <c r="A70" s="339"/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N70" s="83"/>
      <c r="P70" s="2">
        <v>0.13</v>
      </c>
      <c r="Q70" s="496"/>
      <c r="R70" s="496"/>
      <c r="U70" s="496"/>
      <c r="W70" s="496" t="s">
        <v>442</v>
      </c>
    </row>
    <row r="71" spans="1:23" ht="15" hidden="1" customHeight="1" x14ac:dyDescent="0.25">
      <c r="A71" s="339"/>
      <c r="B71" s="341"/>
      <c r="C71" s="927" t="s">
        <v>299</v>
      </c>
      <c r="D71" s="927"/>
      <c r="E71" s="927"/>
      <c r="F71" s="927"/>
      <c r="G71" s="927"/>
      <c r="H71" s="927"/>
      <c r="I71" s="341" t="s">
        <v>300</v>
      </c>
      <c r="J71" s="930">
        <v>0.13</v>
      </c>
      <c r="K71" s="873"/>
      <c r="N71" s="83"/>
      <c r="P71" s="2">
        <v>0.17</v>
      </c>
      <c r="Q71" s="496" t="s">
        <v>479</v>
      </c>
      <c r="R71" s="496">
        <v>3.5999999999999997E-2</v>
      </c>
      <c r="U71" s="496" t="s">
        <v>440</v>
      </c>
      <c r="W71" s="496" t="s">
        <v>444</v>
      </c>
    </row>
    <row r="72" spans="1:23" ht="15" hidden="1" customHeight="1" x14ac:dyDescent="0.25">
      <c r="A72" s="339"/>
      <c r="B72" s="341"/>
      <c r="C72" s="341"/>
      <c r="D72" s="341"/>
      <c r="E72" s="341"/>
      <c r="F72" s="341"/>
      <c r="G72" s="341"/>
      <c r="H72" s="341"/>
      <c r="I72" s="341" t="s">
        <v>301</v>
      </c>
      <c r="J72" s="843">
        <v>0.04</v>
      </c>
      <c r="K72" s="928"/>
      <c r="N72" s="83"/>
      <c r="Q72" s="496" t="s">
        <v>429</v>
      </c>
      <c r="R72" s="496">
        <v>3.7999999999999999E-2</v>
      </c>
      <c r="U72" s="496" t="s">
        <v>402</v>
      </c>
      <c r="W72" s="496" t="s">
        <v>404</v>
      </c>
    </row>
    <row r="73" spans="1:23" ht="15" hidden="1" customHeight="1" x14ac:dyDescent="0.25">
      <c r="A73" s="339"/>
      <c r="B73" s="341"/>
      <c r="C73" s="341"/>
      <c r="D73" s="341"/>
      <c r="E73" s="341"/>
      <c r="F73" s="341"/>
      <c r="G73" s="341"/>
      <c r="H73" s="341"/>
      <c r="I73" s="341" t="s">
        <v>323</v>
      </c>
      <c r="J73" s="930">
        <v>0</v>
      </c>
      <c r="K73" s="873"/>
      <c r="N73" s="83"/>
      <c r="Q73" s="496" t="s">
        <v>262</v>
      </c>
      <c r="R73" s="496">
        <v>0.09</v>
      </c>
      <c r="U73" s="496" t="s">
        <v>453</v>
      </c>
      <c r="W73" s="496" t="s">
        <v>351</v>
      </c>
    </row>
    <row r="74" spans="1:23" ht="7.15" hidden="1" customHeight="1" x14ac:dyDescent="0.2">
      <c r="A74" s="339"/>
      <c r="J74" s="762"/>
      <c r="K74" s="762"/>
      <c r="N74" s="83"/>
      <c r="Q74" s="496" t="s">
        <v>427</v>
      </c>
      <c r="R74" s="496">
        <v>3.5999999999999997E-2</v>
      </c>
      <c r="U74" s="496" t="s">
        <v>223</v>
      </c>
      <c r="W74" s="496"/>
    </row>
    <row r="75" spans="1:23" ht="14.45" hidden="1" customHeight="1" x14ac:dyDescent="0.25">
      <c r="A75" s="339"/>
      <c r="B75" s="907" t="s">
        <v>6</v>
      </c>
      <c r="C75" s="907"/>
      <c r="D75" s="907"/>
      <c r="E75" s="1153" t="s">
        <v>505</v>
      </c>
      <c r="F75" s="1153"/>
      <c r="G75" s="568" t="s">
        <v>303</v>
      </c>
      <c r="H75" s="1153" t="s">
        <v>507</v>
      </c>
      <c r="I75" s="1153"/>
      <c r="J75" s="1153" t="s">
        <v>304</v>
      </c>
      <c r="K75" s="1153"/>
      <c r="L75" s="343"/>
      <c r="M75" s="467" t="s">
        <v>305</v>
      </c>
      <c r="N75" s="83"/>
      <c r="Q75" s="496" t="s">
        <v>386</v>
      </c>
      <c r="R75" s="496">
        <v>3.9E-2</v>
      </c>
      <c r="T75" s="2" t="s">
        <v>266</v>
      </c>
      <c r="U75" s="496"/>
      <c r="W75" s="496"/>
    </row>
    <row r="76" spans="1:23" hidden="1" x14ac:dyDescent="0.2">
      <c r="A76" s="344"/>
      <c r="B76" s="1092" t="s">
        <v>402</v>
      </c>
      <c r="C76" s="1092"/>
      <c r="D76" s="1092"/>
      <c r="E76" s="1093">
        <v>0.26</v>
      </c>
      <c r="F76" s="1093"/>
      <c r="G76" s="473">
        <v>0</v>
      </c>
      <c r="H76" s="909">
        <f>E76+G76</f>
        <v>0.26</v>
      </c>
      <c r="I76" s="909"/>
      <c r="J76" s="822">
        <f>ROUND(M76/H76,3)</f>
        <v>4.8000000000000001E-2</v>
      </c>
      <c r="K76" s="822"/>
      <c r="M76" s="485">
        <v>1.2500000000000001E-2</v>
      </c>
      <c r="N76" s="83"/>
      <c r="Q76" s="496" t="s">
        <v>357</v>
      </c>
      <c r="R76" s="496">
        <v>3.7999999999999999E-2</v>
      </c>
      <c r="U76" s="496"/>
      <c r="W76" s="496"/>
    </row>
    <row r="77" spans="1:23" ht="13.9" hidden="1" customHeight="1" x14ac:dyDescent="0.2">
      <c r="A77" s="344"/>
      <c r="B77" s="1092" t="s">
        <v>452</v>
      </c>
      <c r="C77" s="1092"/>
      <c r="D77" s="1092"/>
      <c r="E77" s="1093">
        <v>2</v>
      </c>
      <c r="F77" s="1093"/>
      <c r="G77" s="473">
        <v>0</v>
      </c>
      <c r="H77" s="909">
        <f>E77+G77</f>
        <v>2</v>
      </c>
      <c r="I77" s="909"/>
      <c r="J77" s="822">
        <f>ROUND(M77/H77,3)</f>
        <v>0</v>
      </c>
      <c r="K77" s="822"/>
      <c r="M77" s="485">
        <v>0</v>
      </c>
      <c r="N77" s="83"/>
      <c r="Q77" s="496" t="s">
        <v>423</v>
      </c>
      <c r="R77" s="496">
        <v>3.6999999999999998E-2</v>
      </c>
      <c r="U77" s="496"/>
      <c r="W77" s="496"/>
    </row>
    <row r="78" spans="1:23" ht="13.9" hidden="1" customHeight="1" x14ac:dyDescent="0.2">
      <c r="A78" s="344"/>
      <c r="B78" s="1092" t="s">
        <v>264</v>
      </c>
      <c r="C78" s="1092"/>
      <c r="D78" s="1092"/>
      <c r="E78" s="1093">
        <v>1</v>
      </c>
      <c r="F78" s="1093"/>
      <c r="G78" s="473">
        <v>0</v>
      </c>
      <c r="H78" s="909">
        <f>E78+G78</f>
        <v>1</v>
      </c>
      <c r="I78" s="909"/>
      <c r="J78" s="822">
        <f t="shared" ref="J78:J84" si="2">ROUND(M78/H78,3)</f>
        <v>0</v>
      </c>
      <c r="K78" s="822"/>
      <c r="M78" s="485">
        <v>0</v>
      </c>
      <c r="N78" s="83"/>
      <c r="Q78" s="497" t="s">
        <v>418</v>
      </c>
      <c r="R78" s="497">
        <v>3.5000000000000003E-2</v>
      </c>
      <c r="U78" s="497"/>
      <c r="W78" s="497"/>
    </row>
    <row r="79" spans="1:23" hidden="1" x14ac:dyDescent="0.2">
      <c r="A79" s="344"/>
      <c r="B79" s="1092" t="s">
        <v>386</v>
      </c>
      <c r="C79" s="1092"/>
      <c r="D79" s="1092"/>
      <c r="E79" s="1093">
        <v>3.5999999999999997E-2</v>
      </c>
      <c r="F79" s="1093"/>
      <c r="G79" s="473">
        <v>1E-3</v>
      </c>
      <c r="H79" s="909">
        <f>E79+G79</f>
        <v>3.6999999999999998E-2</v>
      </c>
      <c r="I79" s="909"/>
      <c r="J79" s="822">
        <f t="shared" si="2"/>
        <v>6.4859999999999998</v>
      </c>
      <c r="K79" s="822"/>
      <c r="M79" s="485">
        <v>0.24</v>
      </c>
      <c r="N79" s="83"/>
      <c r="O79" s="2">
        <v>0.12</v>
      </c>
      <c r="Q79" s="496" t="s">
        <v>263</v>
      </c>
      <c r="R79" s="496">
        <v>3.5999999999999997E-2</v>
      </c>
    </row>
    <row r="80" spans="1:23" hidden="1" x14ac:dyDescent="0.2">
      <c r="A80" s="344"/>
      <c r="B80" s="1092" t="s">
        <v>386</v>
      </c>
      <c r="C80" s="1092"/>
      <c r="D80" s="1092"/>
      <c r="E80" s="1093">
        <v>3.7999999999999999E-2</v>
      </c>
      <c r="F80" s="1093"/>
      <c r="G80" s="473">
        <v>1E-3</v>
      </c>
      <c r="H80" s="909">
        <v>3.6999999999999998E-2</v>
      </c>
      <c r="I80" s="909"/>
      <c r="J80" s="822">
        <f t="shared" si="2"/>
        <v>0</v>
      </c>
      <c r="K80" s="822"/>
      <c r="M80" s="485">
        <v>0</v>
      </c>
      <c r="N80" s="83"/>
      <c r="Q80" s="496" t="s">
        <v>426</v>
      </c>
      <c r="R80" s="496">
        <v>0.16</v>
      </c>
    </row>
    <row r="81" spans="1:19" hidden="1" x14ac:dyDescent="0.2">
      <c r="A81" s="344"/>
      <c r="B81" s="1092" t="s">
        <v>351</v>
      </c>
      <c r="C81" s="1092"/>
      <c r="D81" s="1092"/>
      <c r="E81" s="1093">
        <v>1.7</v>
      </c>
      <c r="F81" s="1093"/>
      <c r="G81" s="473">
        <v>0</v>
      </c>
      <c r="H81" s="909">
        <f>E81+G81</f>
        <v>1.7</v>
      </c>
      <c r="I81" s="909"/>
      <c r="J81" s="909">
        <f t="shared" si="2"/>
        <v>0</v>
      </c>
      <c r="K81" s="909"/>
      <c r="M81" s="485">
        <v>0</v>
      </c>
      <c r="N81" s="83"/>
      <c r="Q81" s="496" t="s">
        <v>478</v>
      </c>
      <c r="R81" s="496">
        <v>0.04</v>
      </c>
    </row>
    <row r="82" spans="1:19" hidden="1" x14ac:dyDescent="0.2">
      <c r="A82" s="344"/>
      <c r="B82" s="1092" t="s">
        <v>237</v>
      </c>
      <c r="C82" s="1092"/>
      <c r="D82" s="1092"/>
      <c r="E82" s="1093">
        <v>0</v>
      </c>
      <c r="F82" s="1093"/>
      <c r="G82" s="473">
        <v>0</v>
      </c>
      <c r="H82" s="909">
        <v>2</v>
      </c>
      <c r="I82" s="909"/>
      <c r="J82" s="822">
        <f t="shared" si="2"/>
        <v>0.1</v>
      </c>
      <c r="K82" s="822"/>
      <c r="M82" s="485">
        <v>0.2</v>
      </c>
      <c r="N82" s="83"/>
      <c r="Q82" s="496" t="s">
        <v>462</v>
      </c>
      <c r="R82" s="496">
        <v>3.7999999999999999E-2</v>
      </c>
    </row>
    <row r="83" spans="1:19" hidden="1" x14ac:dyDescent="0.2">
      <c r="A83" s="344"/>
      <c r="B83" s="1092" t="s">
        <v>402</v>
      </c>
      <c r="C83" s="1092"/>
      <c r="D83" s="1092"/>
      <c r="E83" s="1093">
        <v>0.26</v>
      </c>
      <c r="F83" s="1093"/>
      <c r="G83" s="473">
        <v>0</v>
      </c>
      <c r="H83" s="909">
        <f>E83+G83</f>
        <v>0.26</v>
      </c>
      <c r="I83" s="909"/>
      <c r="J83" s="822">
        <f t="shared" si="2"/>
        <v>3.7999999999999999E-2</v>
      </c>
      <c r="K83" s="822"/>
      <c r="M83" s="485">
        <v>0.01</v>
      </c>
      <c r="N83" s="83"/>
      <c r="Q83" s="496" t="s">
        <v>469</v>
      </c>
      <c r="R83" s="496">
        <v>0.26</v>
      </c>
    </row>
    <row r="84" spans="1:19" hidden="1" x14ac:dyDescent="0.2">
      <c r="A84" s="344"/>
      <c r="B84" s="1092"/>
      <c r="C84" s="1092"/>
      <c r="D84" s="1092"/>
      <c r="E84" s="1103">
        <v>1</v>
      </c>
      <c r="F84" s="1103"/>
      <c r="G84" s="473">
        <v>0</v>
      </c>
      <c r="H84" s="909">
        <f>E84+G84</f>
        <v>1</v>
      </c>
      <c r="I84" s="909"/>
      <c r="J84" s="822">
        <f t="shared" si="2"/>
        <v>0</v>
      </c>
      <c r="K84" s="822"/>
      <c r="M84" s="486"/>
      <c r="N84" s="83"/>
      <c r="Q84" s="496"/>
      <c r="R84" s="496"/>
    </row>
    <row r="85" spans="1:19" ht="14.25" hidden="1" customHeight="1" x14ac:dyDescent="0.2">
      <c r="A85" s="339"/>
      <c r="B85" s="418"/>
      <c r="C85" s="418"/>
      <c r="D85" s="418"/>
      <c r="E85" s="418"/>
      <c r="F85" s="418"/>
      <c r="G85" s="418"/>
      <c r="H85" s="418"/>
      <c r="I85" s="418"/>
      <c r="J85" s="348"/>
      <c r="K85" s="348"/>
      <c r="M85" s="343" t="s">
        <v>106</v>
      </c>
      <c r="N85" s="83"/>
      <c r="Q85" s="497"/>
      <c r="R85" s="497"/>
    </row>
    <row r="86" spans="1:19" ht="15.6" hidden="1" customHeight="1" x14ac:dyDescent="0.25">
      <c r="A86" s="339"/>
      <c r="B86" s="349"/>
      <c r="C86" s="349"/>
      <c r="D86" s="349"/>
      <c r="E86" s="8"/>
      <c r="H86" s="8"/>
      <c r="I86" s="8"/>
      <c r="M86" s="350">
        <f>SUM(M76:M84)*1000</f>
        <v>462.5</v>
      </c>
      <c r="N86" s="83" t="s">
        <v>120</v>
      </c>
    </row>
    <row r="87" spans="1:19" ht="6" hidden="1" customHeight="1" x14ac:dyDescent="0.25">
      <c r="A87" s="339"/>
      <c r="B87" s="862"/>
      <c r="C87" s="862"/>
      <c r="D87" s="862"/>
      <c r="E87" s="924"/>
      <c r="F87" s="924"/>
      <c r="G87" s="924"/>
      <c r="H87" s="8"/>
      <c r="I87" s="8"/>
      <c r="J87" s="351"/>
      <c r="N87" s="83"/>
    </row>
    <row r="88" spans="1:19" ht="15.75" hidden="1" x14ac:dyDescent="0.2">
      <c r="A88" s="339"/>
      <c r="B88" s="349"/>
      <c r="C88" s="349"/>
      <c r="D88" s="349"/>
      <c r="E88" s="902" t="s">
        <v>93</v>
      </c>
      <c r="F88" s="902"/>
      <c r="G88" s="902"/>
      <c r="H88" s="1094">
        <f>ROUND(1/((SUM(J76:K84)+J71+J72+J73)),3)</f>
        <v>0.14599999999999999</v>
      </c>
      <c r="I88" s="1095"/>
      <c r="J88" s="905" t="s">
        <v>306</v>
      </c>
      <c r="K88" s="906"/>
      <c r="N88" s="83"/>
      <c r="R88" s="931"/>
    </row>
    <row r="89" spans="1:19" ht="7.15" hidden="1" customHeight="1" x14ac:dyDescent="0.2">
      <c r="A89" s="352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9"/>
      <c r="R89" s="931"/>
    </row>
    <row r="90" spans="1:19" ht="1.9" hidden="1" customHeight="1" x14ac:dyDescent="0.2">
      <c r="R90" s="434"/>
    </row>
    <row r="91" spans="1:19" ht="21" hidden="1" customHeight="1" x14ac:dyDescent="0.2"/>
    <row r="92" spans="1:19" ht="7.9" hidden="1" customHeight="1" x14ac:dyDescent="0.2">
      <c r="A92" s="337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99"/>
      <c r="M92" s="99"/>
      <c r="N92" s="81"/>
    </row>
    <row r="93" spans="1:19" ht="15.75" hidden="1" x14ac:dyDescent="0.25">
      <c r="A93" s="339"/>
      <c r="B93" s="387"/>
      <c r="C93" s="868" t="s">
        <v>519</v>
      </c>
      <c r="D93" s="925"/>
      <c r="E93" s="925"/>
      <c r="F93" s="925"/>
      <c r="G93" s="925"/>
      <c r="H93" s="925"/>
      <c r="I93" s="925"/>
      <c r="J93" s="925"/>
      <c r="K93" s="926"/>
      <c r="N93" s="83"/>
      <c r="Q93" s="495"/>
      <c r="R93" s="495"/>
      <c r="S93" s="2">
        <f>84:84</f>
        <v>0</v>
      </c>
    </row>
    <row r="94" spans="1:19" ht="6.75" hidden="1" customHeight="1" x14ac:dyDescent="0.2">
      <c r="A94" s="339"/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N94" s="83"/>
      <c r="Q94" s="496"/>
      <c r="R94" s="496"/>
    </row>
    <row r="95" spans="1:19" ht="15" hidden="1" x14ac:dyDescent="0.25">
      <c r="A95" s="339"/>
      <c r="B95" s="341"/>
      <c r="C95" s="927" t="s">
        <v>299</v>
      </c>
      <c r="D95" s="927"/>
      <c r="E95" s="927"/>
      <c r="F95" s="927"/>
      <c r="G95" s="927"/>
      <c r="H95" s="927"/>
      <c r="I95" s="341" t="s">
        <v>300</v>
      </c>
      <c r="J95" s="930">
        <v>0.1</v>
      </c>
      <c r="K95" s="873"/>
      <c r="N95" s="83"/>
      <c r="Q95" s="496"/>
      <c r="R95" s="496"/>
    </row>
    <row r="96" spans="1:19" ht="15" hidden="1" x14ac:dyDescent="0.25">
      <c r="A96" s="339"/>
      <c r="B96" s="341"/>
      <c r="C96" s="341"/>
      <c r="D96" s="341"/>
      <c r="E96" s="341"/>
      <c r="F96" s="341"/>
      <c r="G96" s="341"/>
      <c r="H96" s="341"/>
      <c r="I96" s="341" t="s">
        <v>301</v>
      </c>
      <c r="J96" s="843">
        <v>0.04</v>
      </c>
      <c r="K96" s="928"/>
      <c r="N96" s="83"/>
      <c r="Q96" s="496"/>
      <c r="R96" s="496"/>
    </row>
    <row r="97" spans="1:20" ht="10.5" hidden="1" customHeight="1" x14ac:dyDescent="0.2">
      <c r="A97" s="339"/>
      <c r="J97" s="762"/>
      <c r="K97" s="762"/>
      <c r="N97" s="83"/>
      <c r="Q97" s="496"/>
      <c r="R97" s="496"/>
    </row>
    <row r="98" spans="1:20" ht="13.5" hidden="1" x14ac:dyDescent="0.25">
      <c r="A98" s="339"/>
      <c r="B98" s="907" t="s">
        <v>6</v>
      </c>
      <c r="C98" s="907"/>
      <c r="D98" s="907"/>
      <c r="E98" s="929" t="s">
        <v>505</v>
      </c>
      <c r="F98" s="929"/>
      <c r="G98" s="467" t="s">
        <v>303</v>
      </c>
      <c r="H98" s="929" t="s">
        <v>508</v>
      </c>
      <c r="I98" s="929"/>
      <c r="J98" s="929" t="s">
        <v>304</v>
      </c>
      <c r="K98" s="929"/>
      <c r="L98" s="343"/>
      <c r="M98" s="466" t="s">
        <v>305</v>
      </c>
      <c r="N98" s="83"/>
      <c r="Q98" s="496"/>
      <c r="R98" s="496"/>
      <c r="T98" s="2" t="s">
        <v>266</v>
      </c>
    </row>
    <row r="99" spans="1:20" hidden="1" x14ac:dyDescent="0.2">
      <c r="A99" s="344"/>
      <c r="B99" s="1092" t="s">
        <v>402</v>
      </c>
      <c r="C99" s="1092"/>
      <c r="D99" s="1092"/>
      <c r="E99" s="1093">
        <v>0.26</v>
      </c>
      <c r="F99" s="1093"/>
      <c r="G99" s="473">
        <v>0</v>
      </c>
      <c r="H99" s="909">
        <f>E99+G99</f>
        <v>0.26</v>
      </c>
      <c r="I99" s="909"/>
      <c r="J99" s="822">
        <f>ROUND(M99/H99,3)</f>
        <v>0.05</v>
      </c>
      <c r="K99" s="822"/>
      <c r="M99" s="485">
        <v>1.2999999999999999E-2</v>
      </c>
      <c r="N99" s="83"/>
      <c r="Q99" s="497"/>
      <c r="R99" s="497"/>
    </row>
    <row r="100" spans="1:20" hidden="1" x14ac:dyDescent="0.2">
      <c r="A100" s="344"/>
      <c r="B100" s="1092" t="s">
        <v>237</v>
      </c>
      <c r="C100" s="1092"/>
      <c r="D100" s="1092"/>
      <c r="E100" s="1093">
        <v>2</v>
      </c>
      <c r="F100" s="1093"/>
      <c r="G100" s="473">
        <v>0</v>
      </c>
      <c r="H100" s="909">
        <f>E100+G100</f>
        <v>2</v>
      </c>
      <c r="I100" s="909"/>
      <c r="J100" s="822">
        <f>ROUND(M100/H100,3)</f>
        <v>0.08</v>
      </c>
      <c r="K100" s="822"/>
      <c r="M100" s="485">
        <v>0.16</v>
      </c>
      <c r="N100" s="83"/>
    </row>
    <row r="101" spans="1:20" hidden="1" x14ac:dyDescent="0.2">
      <c r="A101" s="344"/>
      <c r="B101" s="1092" t="s">
        <v>386</v>
      </c>
      <c r="C101" s="1092"/>
      <c r="D101" s="1092"/>
      <c r="E101" s="1093">
        <v>3.5000000000000003E-2</v>
      </c>
      <c r="F101" s="1093"/>
      <c r="G101" s="473">
        <v>1.4E-3</v>
      </c>
      <c r="H101" s="909">
        <f>E101+G101</f>
        <v>3.6400000000000002E-2</v>
      </c>
      <c r="I101" s="909"/>
      <c r="J101" s="822">
        <f t="shared" ref="J101:J108" si="3">ROUND(M101/H101,3)</f>
        <v>6.8680000000000003</v>
      </c>
      <c r="K101" s="822"/>
      <c r="M101" s="485">
        <v>0.25</v>
      </c>
      <c r="N101" s="83"/>
    </row>
    <row r="102" spans="1:20" hidden="1" x14ac:dyDescent="0.2">
      <c r="A102" s="344"/>
      <c r="B102" s="1092" t="s">
        <v>441</v>
      </c>
      <c r="C102" s="1092"/>
      <c r="D102" s="1092"/>
      <c r="E102" s="1093">
        <v>0.7</v>
      </c>
      <c r="F102" s="1093"/>
      <c r="G102" s="473">
        <v>0</v>
      </c>
      <c r="H102" s="909">
        <f t="shared" ref="H102:H108" si="4">E102+G102</f>
        <v>0.7</v>
      </c>
      <c r="I102" s="909"/>
      <c r="J102" s="822">
        <f t="shared" si="3"/>
        <v>0</v>
      </c>
      <c r="K102" s="822"/>
      <c r="M102" s="485">
        <v>0</v>
      </c>
      <c r="N102" s="83"/>
    </row>
    <row r="103" spans="1:20" hidden="1" x14ac:dyDescent="0.2">
      <c r="A103" s="344"/>
      <c r="B103" s="1092" t="s">
        <v>381</v>
      </c>
      <c r="C103" s="1092"/>
      <c r="D103" s="1092"/>
      <c r="E103" s="1093">
        <v>1.7</v>
      </c>
      <c r="F103" s="1093"/>
      <c r="G103" s="473">
        <v>0</v>
      </c>
      <c r="H103" s="909">
        <f t="shared" si="4"/>
        <v>1.7</v>
      </c>
      <c r="I103" s="909"/>
      <c r="J103" s="822">
        <f t="shared" si="3"/>
        <v>0</v>
      </c>
      <c r="K103" s="822"/>
      <c r="M103" s="485"/>
      <c r="N103" s="83"/>
    </row>
    <row r="104" spans="1:20" hidden="1" x14ac:dyDescent="0.2">
      <c r="A104" s="344"/>
      <c r="B104" s="1092" t="s">
        <v>350</v>
      </c>
      <c r="C104" s="1092"/>
      <c r="D104" s="1092"/>
      <c r="E104" s="1093">
        <v>0.7</v>
      </c>
      <c r="F104" s="1093"/>
      <c r="G104" s="473">
        <v>0</v>
      </c>
      <c r="H104" s="909">
        <f t="shared" si="4"/>
        <v>0.7</v>
      </c>
      <c r="I104" s="909"/>
      <c r="J104" s="822">
        <f t="shared" si="3"/>
        <v>0</v>
      </c>
      <c r="K104" s="822"/>
      <c r="M104" s="485"/>
      <c r="N104" s="83"/>
    </row>
    <row r="105" spans="1:20" hidden="1" x14ac:dyDescent="0.2">
      <c r="A105" s="344"/>
      <c r="B105" s="1092" t="s">
        <v>262</v>
      </c>
      <c r="C105" s="1092"/>
      <c r="D105" s="1092"/>
      <c r="E105" s="1093">
        <v>3.5999999999999997E-2</v>
      </c>
      <c r="F105" s="1093"/>
      <c r="G105" s="473">
        <v>2E-3</v>
      </c>
      <c r="H105" s="909">
        <f t="shared" si="4"/>
        <v>3.7999999999999999E-2</v>
      </c>
      <c r="I105" s="909"/>
      <c r="J105" s="822">
        <f t="shared" si="3"/>
        <v>0</v>
      </c>
      <c r="K105" s="822"/>
      <c r="M105" s="485"/>
      <c r="N105" s="83"/>
    </row>
    <row r="106" spans="1:20" hidden="1" x14ac:dyDescent="0.2">
      <c r="A106" s="344"/>
      <c r="B106" s="1092" t="s">
        <v>386</v>
      </c>
      <c r="C106" s="1092"/>
      <c r="D106" s="1092"/>
      <c r="E106" s="1093">
        <v>3.6999999999999998E-2</v>
      </c>
      <c r="F106" s="1093"/>
      <c r="G106" s="473">
        <v>2E-3</v>
      </c>
      <c r="H106" s="909">
        <f t="shared" si="4"/>
        <v>3.9E-2</v>
      </c>
      <c r="I106" s="909"/>
      <c r="J106" s="822">
        <f t="shared" si="3"/>
        <v>0</v>
      </c>
      <c r="K106" s="822"/>
      <c r="M106" s="485">
        <v>0</v>
      </c>
      <c r="N106" s="83"/>
    </row>
    <row r="107" spans="1:20" hidden="1" x14ac:dyDescent="0.2">
      <c r="A107" s="344"/>
      <c r="B107" s="1092" t="s">
        <v>502</v>
      </c>
      <c r="C107" s="1092"/>
      <c r="D107" s="1092"/>
      <c r="E107" s="1093">
        <v>0.6</v>
      </c>
      <c r="F107" s="1093"/>
      <c r="G107" s="473">
        <v>0</v>
      </c>
      <c r="H107" s="909">
        <f t="shared" si="4"/>
        <v>0.6</v>
      </c>
      <c r="I107" s="909"/>
      <c r="J107" s="822">
        <f t="shared" si="3"/>
        <v>0</v>
      </c>
      <c r="K107" s="822"/>
      <c r="M107" s="485">
        <v>0</v>
      </c>
      <c r="N107" s="83"/>
    </row>
    <row r="108" spans="1:20" hidden="1" x14ac:dyDescent="0.2">
      <c r="A108" s="344"/>
      <c r="B108" s="1092" t="s">
        <v>402</v>
      </c>
      <c r="C108" s="1092"/>
      <c r="D108" s="1092"/>
      <c r="E108" s="1093">
        <v>0.26</v>
      </c>
      <c r="F108" s="1093"/>
      <c r="G108" s="473">
        <v>0</v>
      </c>
      <c r="H108" s="909">
        <f t="shared" si="4"/>
        <v>0.26</v>
      </c>
      <c r="I108" s="909"/>
      <c r="J108" s="822">
        <f t="shared" si="3"/>
        <v>0</v>
      </c>
      <c r="K108" s="822"/>
      <c r="M108" s="485">
        <v>0</v>
      </c>
      <c r="N108" s="83"/>
    </row>
    <row r="109" spans="1:20" ht="14.25" hidden="1" customHeight="1" x14ac:dyDescent="0.2">
      <c r="A109" s="339"/>
      <c r="B109" s="418"/>
      <c r="C109" s="418"/>
      <c r="D109" s="418"/>
      <c r="E109" s="418"/>
      <c r="F109" s="418"/>
      <c r="G109" s="418"/>
      <c r="H109" s="418"/>
      <c r="I109" s="418"/>
      <c r="J109" s="348"/>
      <c r="K109" s="348"/>
      <c r="M109" s="343" t="s">
        <v>106</v>
      </c>
      <c r="N109" s="83"/>
    </row>
    <row r="110" spans="1:20" ht="15.75" hidden="1" x14ac:dyDescent="0.25">
      <c r="A110" s="339"/>
      <c r="B110" s="349"/>
      <c r="C110" s="349"/>
      <c r="D110" s="349"/>
      <c r="E110" s="8"/>
      <c r="H110" s="8"/>
      <c r="I110" s="8"/>
      <c r="M110" s="350">
        <f>SUM(M99:M108)*1000</f>
        <v>423.00000000000006</v>
      </c>
      <c r="N110" s="83" t="s">
        <v>120</v>
      </c>
    </row>
    <row r="111" spans="1:20" ht="9.75" hidden="1" customHeight="1" x14ac:dyDescent="0.25">
      <c r="A111" s="339"/>
      <c r="B111" s="862"/>
      <c r="C111" s="862"/>
      <c r="D111" s="862"/>
      <c r="E111" s="924"/>
      <c r="F111" s="924"/>
      <c r="G111" s="924"/>
      <c r="H111" s="8"/>
      <c r="I111" s="8"/>
      <c r="J111" s="351"/>
      <c r="N111" s="83"/>
    </row>
    <row r="112" spans="1:20" ht="15.75" hidden="1" x14ac:dyDescent="0.2">
      <c r="A112" s="339"/>
      <c r="B112" s="349"/>
      <c r="C112" s="349"/>
      <c r="D112" s="349"/>
      <c r="E112" s="902" t="s">
        <v>93</v>
      </c>
      <c r="F112" s="902"/>
      <c r="G112" s="902"/>
      <c r="H112" s="1094">
        <f>ROUND(1/((SUM(J99:K108)+J95+J96)),3)</f>
        <v>0.14000000000000001</v>
      </c>
      <c r="I112" s="1095"/>
      <c r="J112" s="905" t="s">
        <v>306</v>
      </c>
      <c r="K112" s="906"/>
      <c r="N112" s="83"/>
      <c r="R112" s="931"/>
    </row>
    <row r="113" spans="1:18" ht="7.5" hidden="1" customHeight="1" x14ac:dyDescent="0.2">
      <c r="A113" s="352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9"/>
      <c r="R113" s="931"/>
    </row>
    <row r="114" spans="1:18" ht="18" hidden="1" customHeight="1" x14ac:dyDescent="0.2">
      <c r="R114" s="434"/>
    </row>
    <row r="115" spans="1:18" ht="13.15" customHeight="1" x14ac:dyDescent="0.35">
      <c r="A115" s="78"/>
      <c r="B115" s="79"/>
      <c r="C115" s="79"/>
      <c r="D115" s="79"/>
      <c r="E115" s="79"/>
      <c r="F115" s="79"/>
      <c r="G115" s="79"/>
      <c r="H115" s="79"/>
      <c r="I115" s="79"/>
      <c r="J115" s="80"/>
      <c r="K115" s="80"/>
      <c r="L115" s="99"/>
      <c r="M115" s="99"/>
      <c r="N115" s="81"/>
    </row>
    <row r="116" spans="1:18" ht="22.9" customHeight="1" x14ac:dyDescent="0.2">
      <c r="A116" s="354"/>
      <c r="B116" s="387"/>
      <c r="C116" s="941" t="s">
        <v>519</v>
      </c>
      <c r="D116" s="941"/>
      <c r="E116" s="941"/>
      <c r="F116" s="941"/>
      <c r="G116" s="941"/>
      <c r="H116" s="941"/>
      <c r="I116" s="941"/>
      <c r="J116" s="941"/>
      <c r="K116" s="941"/>
      <c r="L116" s="941"/>
      <c r="M116" s="964"/>
      <c r="N116" s="83"/>
    </row>
    <row r="117" spans="1:18" ht="9.6" customHeight="1" x14ac:dyDescent="0.2">
      <c r="A117" s="354"/>
      <c r="B117" s="355"/>
      <c r="C117" s="341"/>
      <c r="D117" s="356"/>
      <c r="E117" s="356"/>
      <c r="F117" s="356"/>
      <c r="G117" s="356"/>
      <c r="H117" s="356"/>
      <c r="I117" s="356"/>
      <c r="J117" s="356"/>
      <c r="N117" s="83"/>
    </row>
    <row r="118" spans="1:18" ht="15" customHeight="1" x14ac:dyDescent="0.25">
      <c r="A118" s="354"/>
      <c r="B118" s="871" t="s">
        <v>307</v>
      </c>
      <c r="C118" s="871"/>
      <c r="D118" s="871"/>
      <c r="E118" s="871"/>
      <c r="F118" s="871"/>
      <c r="G118" s="871"/>
      <c r="H118" s="357" t="s">
        <v>308</v>
      </c>
      <c r="I118" s="872">
        <v>0.17</v>
      </c>
      <c r="J118" s="873"/>
      <c r="K118" s="399"/>
      <c r="N118" s="83"/>
    </row>
    <row r="119" spans="1:18" ht="15" x14ac:dyDescent="0.25">
      <c r="A119" s="354"/>
      <c r="B119" s="355"/>
      <c r="C119" s="341"/>
      <c r="D119" s="383"/>
      <c r="E119" s="383"/>
      <c r="F119" s="383"/>
      <c r="G119" s="383"/>
      <c r="H119" s="341" t="s">
        <v>301</v>
      </c>
      <c r="I119" s="872">
        <v>0.04</v>
      </c>
      <c r="J119" s="873"/>
      <c r="N119" s="83"/>
    </row>
    <row r="120" spans="1:18" ht="15" x14ac:dyDescent="0.25">
      <c r="A120" s="354"/>
      <c r="B120" s="355"/>
      <c r="C120" s="341"/>
      <c r="D120" s="383"/>
      <c r="E120" s="383"/>
      <c r="F120" s="383"/>
      <c r="G120" s="383"/>
      <c r="H120" s="341" t="s">
        <v>323</v>
      </c>
      <c r="I120" s="1096">
        <v>0.3</v>
      </c>
      <c r="J120" s="1097"/>
      <c r="N120" s="83"/>
    </row>
    <row r="121" spans="1:18" ht="9" customHeight="1" x14ac:dyDescent="0.25">
      <c r="A121" s="354"/>
      <c r="B121" s="355"/>
      <c r="C121" s="341"/>
      <c r="D121" s="341"/>
      <c r="E121" s="341"/>
      <c r="F121" s="341"/>
      <c r="G121" s="892"/>
      <c r="H121" s="892"/>
      <c r="I121" s="341"/>
      <c r="J121" s="359"/>
      <c r="N121" s="83"/>
    </row>
    <row r="122" spans="1:18" ht="15" customHeight="1" x14ac:dyDescent="0.25">
      <c r="A122" s="354"/>
      <c r="B122" s="355"/>
      <c r="C122" s="882" t="s">
        <v>8</v>
      </c>
      <c r="D122" s="882"/>
      <c r="E122" s="882"/>
      <c r="F122" s="882"/>
      <c r="G122" s="1108">
        <v>0.6</v>
      </c>
      <c r="H122" s="1108"/>
      <c r="I122" s="341"/>
      <c r="J122" s="359"/>
      <c r="N122" s="83"/>
    </row>
    <row r="123" spans="1:18" ht="15" customHeight="1" x14ac:dyDescent="0.25">
      <c r="A123" s="354"/>
      <c r="B123" s="891" t="s">
        <v>311</v>
      </c>
      <c r="C123" s="891"/>
      <c r="D123" s="891"/>
      <c r="E123" s="891"/>
      <c r="F123" s="891"/>
      <c r="G123" s="880">
        <f>G122-G124</f>
        <v>0.52500000000000002</v>
      </c>
      <c r="H123" s="880"/>
      <c r="I123" s="341"/>
      <c r="J123" s="359"/>
      <c r="N123" s="83"/>
    </row>
    <row r="124" spans="1:18" ht="15" x14ac:dyDescent="0.25">
      <c r="A124" s="354"/>
      <c r="B124" s="891"/>
      <c r="C124" s="891"/>
      <c r="D124" s="891"/>
      <c r="E124" s="891"/>
      <c r="F124" s="891"/>
      <c r="G124" s="1108">
        <v>7.4999999999999997E-2</v>
      </c>
      <c r="H124" s="1108"/>
      <c r="I124" s="341"/>
      <c r="J124" s="359"/>
      <c r="N124" s="83"/>
      <c r="Q124" s="2">
        <f>8.84-3.84-4.06-0.2</f>
        <v>0.74000000000000044</v>
      </c>
    </row>
    <row r="125" spans="1:18" ht="5.25" customHeight="1" x14ac:dyDescent="0.2">
      <c r="A125" s="881"/>
      <c r="B125" s="882"/>
      <c r="C125" s="883"/>
      <c r="D125" s="883"/>
      <c r="E125" s="883"/>
      <c r="F125" s="883"/>
      <c r="G125" s="884"/>
      <c r="H125" s="884"/>
      <c r="I125" s="360"/>
      <c r="J125" s="360"/>
      <c r="K125" s="360"/>
      <c r="N125" s="83"/>
    </row>
    <row r="126" spans="1:18" x14ac:dyDescent="0.2">
      <c r="A126" s="890"/>
      <c r="B126" s="891"/>
      <c r="C126" s="883"/>
      <c r="D126" s="883"/>
      <c r="E126" s="361"/>
      <c r="F126" s="361"/>
      <c r="G126" s="467" t="s">
        <v>0</v>
      </c>
      <c r="H126" s="467" t="s">
        <v>1</v>
      </c>
      <c r="I126" s="466"/>
      <c r="J126" s="364"/>
      <c r="K126" s="364"/>
      <c r="N126" s="83"/>
    </row>
    <row r="127" spans="1:18" x14ac:dyDescent="0.2">
      <c r="A127" s="887" t="s">
        <v>312</v>
      </c>
      <c r="B127" s="888"/>
      <c r="C127" s="888"/>
      <c r="D127" s="888"/>
      <c r="E127" s="888"/>
      <c r="F127" s="888"/>
      <c r="G127" s="468">
        <f>G123/G122</f>
        <v>0.87500000000000011</v>
      </c>
      <c r="H127" s="468">
        <f>G124/G122</f>
        <v>0.125</v>
      </c>
      <c r="I127" s="457"/>
      <c r="J127" s="364"/>
      <c r="K127" s="364"/>
      <c r="N127" s="83"/>
    </row>
    <row r="128" spans="1:18" ht="22.9" customHeight="1" x14ac:dyDescent="0.2">
      <c r="A128" s="367"/>
      <c r="B128" s="368"/>
      <c r="C128" s="368"/>
      <c r="D128" s="368"/>
      <c r="E128" s="368"/>
      <c r="F128" s="368"/>
      <c r="G128" s="889" t="s">
        <v>313</v>
      </c>
      <c r="H128" s="889"/>
      <c r="I128" s="889" t="s">
        <v>314</v>
      </c>
      <c r="J128" s="889"/>
      <c r="K128" s="889"/>
      <c r="N128" s="83"/>
    </row>
    <row r="129" spans="1:14" ht="24.75" customHeight="1" x14ac:dyDescent="0.2">
      <c r="A129" s="369"/>
      <c r="B129" s="907" t="s">
        <v>6</v>
      </c>
      <c r="C129" s="907"/>
      <c r="D129" s="470" t="s">
        <v>509</v>
      </c>
      <c r="E129" s="470" t="s">
        <v>303</v>
      </c>
      <c r="F129" s="470" t="s">
        <v>510</v>
      </c>
      <c r="G129" s="470" t="s">
        <v>419</v>
      </c>
      <c r="H129" s="470" t="s">
        <v>318</v>
      </c>
      <c r="I129" s="471" t="s">
        <v>4</v>
      </c>
      <c r="J129" s="470" t="s">
        <v>119</v>
      </c>
      <c r="K129" s="470" t="s">
        <v>321</v>
      </c>
      <c r="M129" s="458" t="s">
        <v>324</v>
      </c>
      <c r="N129" s="83"/>
    </row>
    <row r="130" spans="1:14" ht="12.75" customHeight="1" x14ac:dyDescent="0.2">
      <c r="A130" s="887"/>
      <c r="B130" s="1092" t="s">
        <v>472</v>
      </c>
      <c r="C130" s="1092"/>
      <c r="D130" s="473">
        <v>0.13</v>
      </c>
      <c r="E130" s="473">
        <v>0</v>
      </c>
      <c r="F130" s="474">
        <f>D130+E130</f>
        <v>0.13</v>
      </c>
      <c r="G130" s="459"/>
      <c r="H130" s="459">
        <f>M130/F130</f>
        <v>1.1538461538461537</v>
      </c>
      <c r="I130" s="465">
        <f>(G124*G122*2)/(G122*G122*2)</f>
        <v>0.125</v>
      </c>
      <c r="J130" s="879">
        <f>(I130*F130)+(I131*F131)</f>
        <v>3.8124999999999999E-2</v>
      </c>
      <c r="K130" s="879">
        <f>M130/J130</f>
        <v>3.9344262295081966</v>
      </c>
      <c r="M130" s="1108">
        <v>0.15</v>
      </c>
      <c r="N130" s="83"/>
    </row>
    <row r="131" spans="1:14" x14ac:dyDescent="0.2">
      <c r="A131" s="887"/>
      <c r="B131" s="1092" t="s">
        <v>623</v>
      </c>
      <c r="C131" s="1092"/>
      <c r="D131" s="473">
        <v>2.1999999999999999E-2</v>
      </c>
      <c r="E131" s="473">
        <v>3.0000000000000001E-3</v>
      </c>
      <c r="F131" s="474">
        <f>D131+E131</f>
        <v>2.4999999999999998E-2</v>
      </c>
      <c r="G131" s="459">
        <f>M130/F131</f>
        <v>6</v>
      </c>
      <c r="H131" s="459"/>
      <c r="I131" s="465">
        <f>(G123*G122*2)/(G122*G122*2)</f>
        <v>0.875</v>
      </c>
      <c r="J131" s="879"/>
      <c r="K131" s="879"/>
      <c r="M131" s="1108"/>
      <c r="N131" s="83"/>
    </row>
    <row r="132" spans="1:14" ht="12.75" customHeight="1" x14ac:dyDescent="0.2">
      <c r="A132" s="887"/>
      <c r="B132" s="1092" t="s">
        <v>472</v>
      </c>
      <c r="C132" s="1092"/>
      <c r="D132" s="473">
        <v>0.13</v>
      </c>
      <c r="E132" s="473">
        <v>0</v>
      </c>
      <c r="F132" s="474">
        <f>E132+D132</f>
        <v>0.13</v>
      </c>
      <c r="G132" s="459"/>
      <c r="H132" s="459">
        <f>M132/F132</f>
        <v>0.38461538461538464</v>
      </c>
      <c r="I132" s="465">
        <f>I130</f>
        <v>0.125</v>
      </c>
      <c r="J132" s="879">
        <f>(I132*F132)+(I133*F133)</f>
        <v>4.8625000000000002E-2</v>
      </c>
      <c r="K132" s="879">
        <f>M132/J132</f>
        <v>1.0282776349614395</v>
      </c>
      <c r="M132" s="1108">
        <v>0.05</v>
      </c>
      <c r="N132" s="83"/>
    </row>
    <row r="133" spans="1:14" ht="12.75" customHeight="1" x14ac:dyDescent="0.2">
      <c r="A133" s="887"/>
      <c r="B133" s="1092" t="s">
        <v>386</v>
      </c>
      <c r="C133" s="1092"/>
      <c r="D133" s="473">
        <v>3.5999999999999997E-2</v>
      </c>
      <c r="E133" s="473">
        <v>1E-3</v>
      </c>
      <c r="F133" s="474">
        <f>E133+D133</f>
        <v>3.6999999999999998E-2</v>
      </c>
      <c r="G133" s="459">
        <f>M132/F133</f>
        <v>1.3513513513513515</v>
      </c>
      <c r="H133" s="459"/>
      <c r="I133" s="465">
        <f>I131</f>
        <v>0.875</v>
      </c>
      <c r="J133" s="879"/>
      <c r="K133" s="879"/>
      <c r="M133" s="1108"/>
      <c r="N133" s="83"/>
    </row>
    <row r="134" spans="1:14" x14ac:dyDescent="0.2">
      <c r="A134" s="367"/>
      <c r="B134" s="1092" t="s">
        <v>622</v>
      </c>
      <c r="C134" s="1092"/>
      <c r="D134" s="473">
        <v>2.1999999999999999E-2</v>
      </c>
      <c r="E134" s="473">
        <v>3.0000000000000001E-3</v>
      </c>
      <c r="F134" s="474">
        <f>E134+D134</f>
        <v>2.4999999999999998E-2</v>
      </c>
      <c r="G134" s="459">
        <f>M134/F134</f>
        <v>1.6</v>
      </c>
      <c r="H134" s="459">
        <f>M134/F134</f>
        <v>1.6</v>
      </c>
      <c r="I134" s="456"/>
      <c r="J134" s="477">
        <f>F134</f>
        <v>2.4999999999999998E-2</v>
      </c>
      <c r="K134" s="477">
        <f>M134/J134</f>
        <v>1.6</v>
      </c>
      <c r="M134" s="473">
        <v>0.04</v>
      </c>
      <c r="N134" s="83"/>
    </row>
    <row r="135" spans="1:14" hidden="1" x14ac:dyDescent="0.2">
      <c r="A135" s="367"/>
      <c r="B135" s="1092" t="s">
        <v>526</v>
      </c>
      <c r="C135" s="1092"/>
      <c r="D135" s="473">
        <v>5.2999999999999999E-2</v>
      </c>
      <c r="E135" s="473">
        <v>0</v>
      </c>
      <c r="F135" s="474">
        <f>D135+E135</f>
        <v>5.2999999999999999E-2</v>
      </c>
      <c r="G135" s="459">
        <f>M135/F135</f>
        <v>0</v>
      </c>
      <c r="H135" s="459">
        <f>M135/F135</f>
        <v>0</v>
      </c>
      <c r="I135" s="456"/>
      <c r="J135" s="459">
        <f>F135</f>
        <v>5.2999999999999999E-2</v>
      </c>
      <c r="K135" s="477">
        <f>M135/J135</f>
        <v>0</v>
      </c>
      <c r="M135" s="473">
        <v>0</v>
      </c>
      <c r="N135" s="83"/>
    </row>
    <row r="136" spans="1:14" x14ac:dyDescent="0.2">
      <c r="A136" s="367"/>
      <c r="B136" s="1092" t="s">
        <v>402</v>
      </c>
      <c r="C136" s="1092"/>
      <c r="D136" s="473">
        <v>0.15</v>
      </c>
      <c r="E136" s="473">
        <v>0</v>
      </c>
      <c r="F136" s="474">
        <f>D136+E136</f>
        <v>0.15</v>
      </c>
      <c r="G136" s="459">
        <f>M136/F136</f>
        <v>6.6666666666666666E-2</v>
      </c>
      <c r="H136" s="459">
        <f>M136/F136</f>
        <v>6.6666666666666666E-2</v>
      </c>
      <c r="I136" s="456"/>
      <c r="J136" s="459">
        <f>F136</f>
        <v>0.15</v>
      </c>
      <c r="K136" s="477">
        <f>M136/J136</f>
        <v>6.6666666666666666E-2</v>
      </c>
      <c r="M136" s="473">
        <v>0.01</v>
      </c>
      <c r="N136" s="83"/>
    </row>
    <row r="137" spans="1:14" x14ac:dyDescent="0.2">
      <c r="A137" s="86"/>
      <c r="F137" s="349"/>
      <c r="G137" s="459">
        <f>SUM(G130:G135)+I118+I119+I120</f>
        <v>9.4613513513513521</v>
      </c>
      <c r="H137" s="459">
        <f>SUM(H130:H135)+I118+I119+I120</f>
        <v>3.6484615384615382</v>
      </c>
      <c r="I137" s="895">
        <f>SUM(K130:K136)+I118+I119+I120</f>
        <v>7.1393705311363025</v>
      </c>
      <c r="J137" s="896"/>
      <c r="K137" s="897"/>
      <c r="N137" s="83"/>
    </row>
    <row r="138" spans="1:14" ht="12.75" customHeight="1" x14ac:dyDescent="0.2">
      <c r="A138" s="86"/>
      <c r="C138" s="343"/>
      <c r="D138" s="377"/>
      <c r="E138" s="377"/>
      <c r="F138" s="377"/>
      <c r="G138" s="879">
        <f>ROUND((G127*G137)+(H127*H137),3)</f>
        <v>8.7349999999999994</v>
      </c>
      <c r="H138" s="879"/>
      <c r="I138" s="898"/>
      <c r="J138" s="899"/>
      <c r="K138" s="900"/>
      <c r="N138" s="83"/>
    </row>
    <row r="139" spans="1:14" ht="8.4499999999999993" customHeight="1" x14ac:dyDescent="0.2">
      <c r="A139" s="86"/>
      <c r="C139" s="378"/>
      <c r="D139" s="379"/>
      <c r="E139" s="377"/>
      <c r="F139" s="377"/>
      <c r="G139" s="380"/>
      <c r="H139" s="380"/>
      <c r="I139" s="380"/>
      <c r="J139" s="380"/>
      <c r="K139" s="380"/>
      <c r="M139" s="343"/>
      <c r="N139" s="83"/>
    </row>
    <row r="140" spans="1:14" ht="12.6" customHeight="1" x14ac:dyDescent="0.2">
      <c r="A140" s="86"/>
      <c r="K140" s="349" t="s">
        <v>106</v>
      </c>
      <c r="M140" s="350">
        <f>SUM(M130:M136)*1000</f>
        <v>250</v>
      </c>
      <c r="N140" s="384" t="s">
        <v>120</v>
      </c>
    </row>
    <row r="141" spans="1:14" ht="1.1499999999999999" customHeight="1" x14ac:dyDescent="0.2">
      <c r="A141" s="86"/>
      <c r="N141" s="83"/>
    </row>
    <row r="142" spans="1:14" ht="21" x14ac:dyDescent="0.2">
      <c r="A142" s="86"/>
      <c r="E142" s="902" t="s">
        <v>93</v>
      </c>
      <c r="F142" s="902"/>
      <c r="G142" s="902"/>
      <c r="H142" s="903">
        <f>ROUND(1/((G138+I137)/2),3)</f>
        <v>0.126</v>
      </c>
      <c r="I142" s="904"/>
      <c r="J142" s="905" t="s">
        <v>306</v>
      </c>
      <c r="K142" s="906"/>
      <c r="N142" s="83"/>
    </row>
    <row r="143" spans="1:14" ht="13.9" customHeight="1" x14ac:dyDescent="0.2">
      <c r="A143" s="87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9"/>
    </row>
    <row r="144" spans="1:14" ht="8.4499999999999993" hidden="1" customHeight="1" x14ac:dyDescent="0.2">
      <c r="A144" s="86"/>
      <c r="N144" s="83"/>
    </row>
    <row r="145" spans="1:17" ht="6" hidden="1" customHeight="1" x14ac:dyDescent="0.35">
      <c r="A145" s="78"/>
      <c r="B145" s="79"/>
      <c r="C145" s="79"/>
      <c r="D145" s="79"/>
      <c r="E145" s="79"/>
      <c r="F145" s="79"/>
      <c r="G145" s="79"/>
      <c r="H145" s="79"/>
      <c r="I145" s="79"/>
      <c r="J145" s="80"/>
      <c r="K145" s="80"/>
      <c r="L145" s="99"/>
      <c r="M145" s="99"/>
      <c r="N145" s="81"/>
    </row>
    <row r="146" spans="1:17" ht="15.75" hidden="1" x14ac:dyDescent="0.2">
      <c r="A146" s="354"/>
      <c r="B146" s="387"/>
      <c r="C146" s="868" t="s">
        <v>565</v>
      </c>
      <c r="D146" s="868"/>
      <c r="E146" s="868"/>
      <c r="F146" s="868"/>
      <c r="G146" s="868"/>
      <c r="H146" s="868"/>
      <c r="I146" s="868"/>
      <c r="J146" s="868"/>
      <c r="K146" s="868"/>
      <c r="L146" s="868"/>
      <c r="M146" s="869"/>
      <c r="N146" s="83"/>
    </row>
    <row r="147" spans="1:17" ht="8.25" hidden="1" customHeight="1" x14ac:dyDescent="0.2">
      <c r="A147" s="354"/>
      <c r="B147" s="355"/>
      <c r="C147" s="341"/>
      <c r="D147" s="356"/>
      <c r="E147" s="356"/>
      <c r="F147" s="356"/>
      <c r="G147" s="356"/>
      <c r="H147" s="356"/>
      <c r="I147" s="356"/>
      <c r="J147" s="356"/>
      <c r="N147" s="83"/>
    </row>
    <row r="148" spans="1:17" ht="15" hidden="1" customHeight="1" x14ac:dyDescent="0.25">
      <c r="A148" s="354"/>
      <c r="B148" s="871" t="s">
        <v>307</v>
      </c>
      <c r="C148" s="871"/>
      <c r="D148" s="871"/>
      <c r="E148" s="871"/>
      <c r="F148" s="871"/>
      <c r="G148" s="871"/>
      <c r="H148" s="357" t="s">
        <v>308</v>
      </c>
      <c r="I148" s="872">
        <v>0.17</v>
      </c>
      <c r="J148" s="873"/>
      <c r="K148" s="399"/>
      <c r="N148" s="83"/>
    </row>
    <row r="149" spans="1:17" ht="15" hidden="1" x14ac:dyDescent="0.25">
      <c r="A149" s="354"/>
      <c r="B149" s="355"/>
      <c r="C149" s="341"/>
      <c r="D149" s="383"/>
      <c r="E149" s="383"/>
      <c r="F149" s="383"/>
      <c r="G149" s="383"/>
      <c r="H149" s="341" t="s">
        <v>301</v>
      </c>
      <c r="I149" s="872">
        <v>0.04</v>
      </c>
      <c r="J149" s="873"/>
      <c r="N149" s="83"/>
    </row>
    <row r="150" spans="1:17" ht="15" hidden="1" x14ac:dyDescent="0.25">
      <c r="A150" s="354"/>
      <c r="B150" s="355"/>
      <c r="C150" s="341"/>
      <c r="D150" s="383"/>
      <c r="E150" s="383"/>
      <c r="F150" s="383"/>
      <c r="G150" s="383"/>
      <c r="H150" s="341" t="s">
        <v>323</v>
      </c>
      <c r="I150" s="1096">
        <v>0</v>
      </c>
      <c r="J150" s="1097"/>
      <c r="N150" s="83"/>
    </row>
    <row r="151" spans="1:17" ht="5.45" hidden="1" customHeight="1" x14ac:dyDescent="0.25">
      <c r="A151" s="354"/>
      <c r="B151" s="355"/>
      <c r="C151" s="341"/>
      <c r="D151" s="341"/>
      <c r="E151" s="341"/>
      <c r="F151" s="341"/>
      <c r="G151" s="892"/>
      <c r="H151" s="892"/>
      <c r="I151" s="341"/>
      <c r="J151" s="359"/>
      <c r="N151" s="83"/>
    </row>
    <row r="152" spans="1:17" ht="15" hidden="1" customHeight="1" x14ac:dyDescent="0.25">
      <c r="A152" s="354"/>
      <c r="B152" s="355"/>
      <c r="C152" s="882" t="s">
        <v>8</v>
      </c>
      <c r="D152" s="882"/>
      <c r="E152" s="882"/>
      <c r="F152" s="882"/>
      <c r="G152" s="1149">
        <v>0.6</v>
      </c>
      <c r="H152" s="1149"/>
      <c r="I152" s="341"/>
      <c r="J152" s="359"/>
      <c r="N152" s="83"/>
    </row>
    <row r="153" spans="1:17" ht="15" hidden="1" customHeight="1" x14ac:dyDescent="0.25">
      <c r="A153" s="354"/>
      <c r="B153" s="891" t="s">
        <v>311</v>
      </c>
      <c r="C153" s="891"/>
      <c r="D153" s="891"/>
      <c r="E153" s="891"/>
      <c r="F153" s="891"/>
      <c r="G153" s="1150">
        <f>G152-G154</f>
        <v>0.54999999999999993</v>
      </c>
      <c r="H153" s="1151"/>
      <c r="I153" s="341"/>
      <c r="J153" s="359"/>
      <c r="N153" s="83"/>
    </row>
    <row r="154" spans="1:17" ht="15" hidden="1" x14ac:dyDescent="0.25">
      <c r="A154" s="354"/>
      <c r="B154" s="891"/>
      <c r="C154" s="891"/>
      <c r="D154" s="891"/>
      <c r="E154" s="891"/>
      <c r="F154" s="891"/>
      <c r="G154" s="1149">
        <v>0.05</v>
      </c>
      <c r="H154" s="1152"/>
      <c r="I154" s="341"/>
      <c r="J154" s="359"/>
      <c r="N154" s="83"/>
      <c r="Q154" s="2">
        <f>8.84-3.84-4.06-0.2</f>
        <v>0.74000000000000044</v>
      </c>
    </row>
    <row r="155" spans="1:17" ht="5.25" hidden="1" customHeight="1" x14ac:dyDescent="0.2">
      <c r="A155" s="881"/>
      <c r="B155" s="882"/>
      <c r="C155" s="883"/>
      <c r="D155" s="883"/>
      <c r="E155" s="883"/>
      <c r="F155" s="883"/>
      <c r="G155" s="884"/>
      <c r="H155" s="884"/>
      <c r="I155" s="360"/>
      <c r="J155" s="360"/>
      <c r="K155" s="360"/>
      <c r="N155" s="83"/>
    </row>
    <row r="156" spans="1:17" hidden="1" x14ac:dyDescent="0.2">
      <c r="A156" s="890"/>
      <c r="B156" s="891"/>
      <c r="C156" s="883"/>
      <c r="D156" s="883"/>
      <c r="E156" s="361"/>
      <c r="F156" s="361"/>
      <c r="G156" s="467" t="s">
        <v>0</v>
      </c>
      <c r="H156" s="467" t="s">
        <v>1</v>
      </c>
      <c r="I156" s="466"/>
      <c r="J156" s="364"/>
      <c r="K156" s="364"/>
      <c r="N156" s="83"/>
    </row>
    <row r="157" spans="1:17" hidden="1" x14ac:dyDescent="0.2">
      <c r="A157" s="887" t="s">
        <v>312</v>
      </c>
      <c r="B157" s="888"/>
      <c r="C157" s="888"/>
      <c r="D157" s="888"/>
      <c r="E157" s="888"/>
      <c r="F157" s="888"/>
      <c r="G157" s="468">
        <f>G153/G152</f>
        <v>0.91666666666666663</v>
      </c>
      <c r="H157" s="468">
        <f>G154/G152</f>
        <v>8.3333333333333343E-2</v>
      </c>
      <c r="I157" s="457"/>
      <c r="J157" s="364"/>
      <c r="K157" s="364"/>
      <c r="N157" s="83"/>
    </row>
    <row r="158" spans="1:17" ht="22.9" hidden="1" customHeight="1" x14ac:dyDescent="0.2">
      <c r="A158" s="367"/>
      <c r="B158" s="368"/>
      <c r="C158" s="368"/>
      <c r="D158" s="368"/>
      <c r="E158" s="368"/>
      <c r="F158" s="368"/>
      <c r="G158" s="889" t="s">
        <v>313</v>
      </c>
      <c r="H158" s="889"/>
      <c r="I158" s="889" t="s">
        <v>314</v>
      </c>
      <c r="J158" s="889"/>
      <c r="K158" s="889"/>
      <c r="N158" s="83"/>
    </row>
    <row r="159" spans="1:17" ht="24.75" hidden="1" customHeight="1" x14ac:dyDescent="0.2">
      <c r="A159" s="369"/>
      <c r="B159" s="907" t="s">
        <v>6</v>
      </c>
      <c r="C159" s="907"/>
      <c r="D159" s="470" t="s">
        <v>509</v>
      </c>
      <c r="E159" s="470" t="s">
        <v>303</v>
      </c>
      <c r="F159" s="470" t="s">
        <v>510</v>
      </c>
      <c r="G159" s="470" t="s">
        <v>419</v>
      </c>
      <c r="H159" s="470" t="s">
        <v>318</v>
      </c>
      <c r="I159" s="471" t="s">
        <v>4</v>
      </c>
      <c r="J159" s="470" t="s">
        <v>119</v>
      </c>
      <c r="K159" s="470" t="s">
        <v>321</v>
      </c>
      <c r="M159" s="458" t="s">
        <v>324</v>
      </c>
      <c r="N159" s="83"/>
    </row>
    <row r="160" spans="1:17" ht="12.75" hidden="1" customHeight="1" x14ac:dyDescent="0.2">
      <c r="A160" s="887"/>
      <c r="B160" s="1092" t="s">
        <v>7</v>
      </c>
      <c r="C160" s="1092"/>
      <c r="D160" s="473">
        <v>0.15</v>
      </c>
      <c r="E160" s="473">
        <v>0</v>
      </c>
      <c r="F160" s="474">
        <f>D160+E160</f>
        <v>0.15</v>
      </c>
      <c r="G160" s="459"/>
      <c r="H160" s="459">
        <f>M160/F160</f>
        <v>1</v>
      </c>
      <c r="I160" s="465">
        <f>(G154*G152*2)/(G152*G152*2)</f>
        <v>8.3333333333333329E-2</v>
      </c>
      <c r="J160" s="879">
        <f>(I160*F160)+(I161*F161)</f>
        <v>4.6416666666666662E-2</v>
      </c>
      <c r="K160" s="879">
        <f>M160/J160</f>
        <v>3.2315978456014367</v>
      </c>
      <c r="M160" s="1108">
        <v>0.15</v>
      </c>
      <c r="N160" s="83"/>
    </row>
    <row r="161" spans="1:18" hidden="1" x14ac:dyDescent="0.2">
      <c r="A161" s="887"/>
      <c r="B161" s="1092" t="s">
        <v>386</v>
      </c>
      <c r="C161" s="1092"/>
      <c r="D161" s="473">
        <v>3.5999999999999997E-2</v>
      </c>
      <c r="E161" s="473">
        <v>1E-3</v>
      </c>
      <c r="F161" s="474">
        <f>D161+E161</f>
        <v>3.6999999999999998E-2</v>
      </c>
      <c r="G161" s="459">
        <f>M160/F161</f>
        <v>4.0540540540540544</v>
      </c>
      <c r="H161" s="459"/>
      <c r="I161" s="465">
        <f>(G153*G152*2)/(G152*G152*2)</f>
        <v>0.91666666666666663</v>
      </c>
      <c r="J161" s="879"/>
      <c r="K161" s="879"/>
      <c r="M161" s="1108"/>
      <c r="N161" s="83"/>
    </row>
    <row r="162" spans="1:18" ht="12.75" hidden="1" customHeight="1" x14ac:dyDescent="0.2">
      <c r="A162" s="887"/>
      <c r="B162" s="1092" t="s">
        <v>7</v>
      </c>
      <c r="C162" s="1092"/>
      <c r="D162" s="473">
        <v>0.15</v>
      </c>
      <c r="E162" s="473">
        <v>0</v>
      </c>
      <c r="F162" s="474">
        <f>E162+D162</f>
        <v>0.15</v>
      </c>
      <c r="G162" s="459"/>
      <c r="H162" s="459">
        <f>M162/F162</f>
        <v>0.33333333333333337</v>
      </c>
      <c r="I162" s="465">
        <f>I160</f>
        <v>8.3333333333333329E-2</v>
      </c>
      <c r="J162" s="879">
        <f>(I162*F162)+(I163*F163)</f>
        <v>4.6416666666666662E-2</v>
      </c>
      <c r="K162" s="879">
        <f>M162/J162</f>
        <v>1.0771992818671456</v>
      </c>
      <c r="M162" s="1108">
        <v>0.05</v>
      </c>
      <c r="N162" s="83"/>
    </row>
    <row r="163" spans="1:18" ht="12.75" hidden="1" customHeight="1" x14ac:dyDescent="0.2">
      <c r="A163" s="887"/>
      <c r="B163" s="1092" t="s">
        <v>386</v>
      </c>
      <c r="C163" s="1092"/>
      <c r="D163" s="473">
        <v>3.5999999999999997E-2</v>
      </c>
      <c r="E163" s="473">
        <v>1E-3</v>
      </c>
      <c r="F163" s="474">
        <f>E163+D163</f>
        <v>3.6999999999999998E-2</v>
      </c>
      <c r="G163" s="459">
        <f>M162/F163</f>
        <v>1.3513513513513515</v>
      </c>
      <c r="H163" s="459"/>
      <c r="I163" s="465">
        <f>I161</f>
        <v>0.91666666666666663</v>
      </c>
      <c r="J163" s="879"/>
      <c r="K163" s="879"/>
      <c r="M163" s="1108"/>
      <c r="N163" s="83"/>
    </row>
    <row r="164" spans="1:18" hidden="1" x14ac:dyDescent="0.2">
      <c r="A164" s="367"/>
      <c r="B164" s="1092" t="s">
        <v>525</v>
      </c>
      <c r="C164" s="1092"/>
      <c r="D164" s="473">
        <v>0.15</v>
      </c>
      <c r="E164" s="473">
        <v>0</v>
      </c>
      <c r="F164" s="474">
        <f>E164+D164</f>
        <v>0.15</v>
      </c>
      <c r="G164" s="459">
        <f>M164/F164</f>
        <v>0</v>
      </c>
      <c r="H164" s="459">
        <f>M164/F164</f>
        <v>0</v>
      </c>
      <c r="I164" s="456"/>
      <c r="J164" s="477">
        <f>F164</f>
        <v>0.15</v>
      </c>
      <c r="K164" s="477">
        <f>M164/J164</f>
        <v>0</v>
      </c>
      <c r="M164" s="473">
        <v>0</v>
      </c>
      <c r="N164" s="83"/>
    </row>
    <row r="165" spans="1:18" hidden="1" x14ac:dyDescent="0.2">
      <c r="A165" s="367"/>
      <c r="B165" s="1092" t="s">
        <v>526</v>
      </c>
      <c r="C165" s="1092"/>
      <c r="D165" s="473">
        <v>5.2999999999999999E-2</v>
      </c>
      <c r="E165" s="473">
        <v>0</v>
      </c>
      <c r="F165" s="474">
        <f>D165+E165</f>
        <v>5.2999999999999999E-2</v>
      </c>
      <c r="G165" s="459">
        <f>M165/F165</f>
        <v>0</v>
      </c>
      <c r="H165" s="459">
        <f>M165/F165</f>
        <v>0</v>
      </c>
      <c r="I165" s="456"/>
      <c r="J165" s="459">
        <f>F165</f>
        <v>5.2999999999999999E-2</v>
      </c>
      <c r="K165" s="477">
        <f>M165/J165</f>
        <v>0</v>
      </c>
      <c r="M165" s="473">
        <v>0</v>
      </c>
      <c r="N165" s="83"/>
    </row>
    <row r="166" spans="1:18" hidden="1" x14ac:dyDescent="0.2">
      <c r="A166" s="367"/>
      <c r="B166" s="1092" t="s">
        <v>402</v>
      </c>
      <c r="C166" s="1092"/>
      <c r="D166" s="473">
        <v>0.26</v>
      </c>
      <c r="E166" s="473">
        <v>0</v>
      </c>
      <c r="F166" s="474">
        <f>D166+E166</f>
        <v>0.26</v>
      </c>
      <c r="G166" s="459">
        <f>M166/F166</f>
        <v>9.6153846153846159E-2</v>
      </c>
      <c r="H166" s="459">
        <f>M166/F166</f>
        <v>9.6153846153846159E-2</v>
      </c>
      <c r="I166" s="456"/>
      <c r="J166" s="459">
        <f>F166</f>
        <v>0.26</v>
      </c>
      <c r="K166" s="477">
        <f>M166/J166</f>
        <v>9.6153846153846159E-2</v>
      </c>
      <c r="M166" s="473">
        <v>2.5000000000000001E-2</v>
      </c>
      <c r="N166" s="83"/>
    </row>
    <row r="167" spans="1:18" hidden="1" x14ac:dyDescent="0.2">
      <c r="A167" s="86"/>
      <c r="F167" s="349"/>
      <c r="G167" s="459">
        <f>SUM(G160:G165)+I148+I149+I150</f>
        <v>5.6154054054054061</v>
      </c>
      <c r="H167" s="459">
        <f>SUM(H160:H165)+I148+I149+I150</f>
        <v>1.5433333333333334</v>
      </c>
      <c r="I167" s="895">
        <f>SUM(K160:K166)+I148+I149+I150</f>
        <v>4.6149509736224283</v>
      </c>
      <c r="J167" s="896"/>
      <c r="K167" s="897"/>
      <c r="N167" s="83"/>
    </row>
    <row r="168" spans="1:18" ht="12.75" hidden="1" customHeight="1" x14ac:dyDescent="0.2">
      <c r="A168" s="86"/>
      <c r="C168" s="343"/>
      <c r="D168" s="377"/>
      <c r="E168" s="377"/>
      <c r="F168" s="377"/>
      <c r="G168" s="879">
        <f>ROUND((G157*G167)+(H157*H167),3)</f>
        <v>5.2759999999999998</v>
      </c>
      <c r="H168" s="879"/>
      <c r="I168" s="898"/>
      <c r="J168" s="899"/>
      <c r="K168" s="900"/>
      <c r="N168" s="83"/>
    </row>
    <row r="169" spans="1:18" ht="8.4499999999999993" hidden="1" customHeight="1" x14ac:dyDescent="0.2">
      <c r="A169" s="86"/>
      <c r="C169" s="378"/>
      <c r="D169" s="379"/>
      <c r="E169" s="377"/>
      <c r="F169" s="377"/>
      <c r="G169" s="380"/>
      <c r="H169" s="380"/>
      <c r="I169" s="380"/>
      <c r="J169" s="380"/>
      <c r="K169" s="380"/>
      <c r="M169" s="343"/>
      <c r="N169" s="83"/>
    </row>
    <row r="170" spans="1:18" ht="12.6" hidden="1" customHeight="1" x14ac:dyDescent="0.2">
      <c r="A170" s="86"/>
      <c r="K170" s="349" t="s">
        <v>106</v>
      </c>
      <c r="M170" s="350">
        <f>SUM(M160:M166)*1000</f>
        <v>225</v>
      </c>
      <c r="N170" s="384" t="s">
        <v>120</v>
      </c>
    </row>
    <row r="171" spans="1:18" ht="1.1499999999999999" hidden="1" customHeight="1" x14ac:dyDescent="0.2">
      <c r="A171" s="86"/>
      <c r="N171" s="83"/>
    </row>
    <row r="172" spans="1:18" ht="21" hidden="1" x14ac:dyDescent="0.2">
      <c r="A172" s="86"/>
      <c r="E172" s="902" t="s">
        <v>93</v>
      </c>
      <c r="F172" s="902"/>
      <c r="G172" s="902"/>
      <c r="H172" s="903">
        <f>ROUND(1/((G168+I167)/2),3)</f>
        <v>0.20200000000000001</v>
      </c>
      <c r="I172" s="904"/>
      <c r="J172" s="905" t="s">
        <v>306</v>
      </c>
      <c r="K172" s="906"/>
      <c r="N172" s="83"/>
    </row>
    <row r="173" spans="1:18" ht="6" hidden="1" customHeight="1" x14ac:dyDescent="0.2">
      <c r="A173" s="87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9"/>
    </row>
    <row r="174" spans="1:18" ht="21.6" hidden="1" customHeight="1" x14ac:dyDescent="0.2">
      <c r="R174" s="434"/>
    </row>
    <row r="175" spans="1:18" ht="10.15" hidden="1" customHeight="1" x14ac:dyDescent="0.35">
      <c r="A175" s="78"/>
      <c r="B175" s="79"/>
      <c r="C175" s="79"/>
      <c r="D175" s="79"/>
      <c r="E175" s="79"/>
      <c r="F175" s="79"/>
      <c r="G175" s="79"/>
      <c r="H175" s="79"/>
      <c r="I175" s="79"/>
      <c r="J175" s="80"/>
      <c r="K175" s="80"/>
      <c r="L175" s="99"/>
      <c r="M175" s="99"/>
      <c r="N175" s="81"/>
    </row>
    <row r="176" spans="1:18" ht="15.75" hidden="1" x14ac:dyDescent="0.2">
      <c r="A176" s="354"/>
      <c r="B176" s="387"/>
      <c r="C176" s="868"/>
      <c r="D176" s="868"/>
      <c r="E176" s="868"/>
      <c r="F176" s="868"/>
      <c r="G176" s="868"/>
      <c r="H176" s="868"/>
      <c r="I176" s="868"/>
      <c r="J176" s="868"/>
      <c r="K176" s="868"/>
      <c r="L176" s="868"/>
      <c r="M176" s="869"/>
      <c r="N176" s="83"/>
    </row>
    <row r="177" spans="1:17" ht="8.25" hidden="1" customHeight="1" x14ac:dyDescent="0.2">
      <c r="A177" s="354"/>
      <c r="B177" s="355"/>
      <c r="C177" s="341"/>
      <c r="D177" s="356"/>
      <c r="E177" s="356"/>
      <c r="F177" s="356"/>
      <c r="G177" s="356"/>
      <c r="H177" s="356"/>
      <c r="I177" s="356"/>
      <c r="J177" s="356"/>
      <c r="N177" s="83"/>
    </row>
    <row r="178" spans="1:17" ht="15" hidden="1" customHeight="1" x14ac:dyDescent="0.25">
      <c r="A178" s="354"/>
      <c r="B178" s="871" t="s">
        <v>307</v>
      </c>
      <c r="C178" s="871"/>
      <c r="D178" s="871"/>
      <c r="E178" s="871"/>
      <c r="F178" s="871"/>
      <c r="G178" s="871"/>
      <c r="H178" s="357" t="s">
        <v>308</v>
      </c>
      <c r="I178" s="1096">
        <v>0.1</v>
      </c>
      <c r="J178" s="1097"/>
      <c r="K178" s="399"/>
      <c r="N178" s="83"/>
    </row>
    <row r="179" spans="1:17" ht="15" hidden="1" x14ac:dyDescent="0.25">
      <c r="A179" s="354"/>
      <c r="B179" s="355"/>
      <c r="C179" s="341"/>
      <c r="D179" s="383"/>
      <c r="E179" s="383"/>
      <c r="F179" s="383"/>
      <c r="G179" s="383"/>
      <c r="H179" s="341" t="s">
        <v>301</v>
      </c>
      <c r="I179" s="872">
        <v>0.04</v>
      </c>
      <c r="J179" s="873"/>
      <c r="N179" s="83"/>
    </row>
    <row r="180" spans="1:17" ht="15" hidden="1" x14ac:dyDescent="0.25">
      <c r="A180" s="354"/>
      <c r="B180" s="355"/>
      <c r="C180" s="341"/>
      <c r="D180" s="383"/>
      <c r="E180" s="383"/>
      <c r="F180" s="383"/>
      <c r="G180" s="383"/>
      <c r="H180" s="341" t="s">
        <v>323</v>
      </c>
      <c r="I180" s="1096">
        <v>0.3</v>
      </c>
      <c r="J180" s="1097"/>
      <c r="N180" s="83"/>
    </row>
    <row r="181" spans="1:17" ht="6.75" hidden="1" customHeight="1" x14ac:dyDescent="0.25">
      <c r="A181" s="354"/>
      <c r="B181" s="355"/>
      <c r="C181" s="341"/>
      <c r="D181" s="341"/>
      <c r="E181" s="341"/>
      <c r="F181" s="341"/>
      <c r="G181" s="892"/>
      <c r="H181" s="892"/>
      <c r="I181" s="341"/>
      <c r="J181" s="359"/>
      <c r="N181" s="83"/>
    </row>
    <row r="182" spans="1:17" ht="15" hidden="1" customHeight="1" x14ac:dyDescent="0.25">
      <c r="A182" s="354"/>
      <c r="B182" s="355"/>
      <c r="C182" s="882" t="s">
        <v>8</v>
      </c>
      <c r="D182" s="882"/>
      <c r="E182" s="882"/>
      <c r="F182" s="882"/>
      <c r="G182" s="1108">
        <v>0.6</v>
      </c>
      <c r="H182" s="1108"/>
      <c r="I182" s="341"/>
      <c r="J182" s="359"/>
      <c r="N182" s="83"/>
    </row>
    <row r="183" spans="1:17" ht="15" hidden="1" customHeight="1" x14ac:dyDescent="0.25">
      <c r="A183" s="354"/>
      <c r="B183" s="891" t="s">
        <v>311</v>
      </c>
      <c r="C183" s="891"/>
      <c r="D183" s="891"/>
      <c r="E183" s="891"/>
      <c r="F183" s="891"/>
      <c r="G183" s="880">
        <f>G182-G184</f>
        <v>0.54999999999999993</v>
      </c>
      <c r="H183" s="880"/>
      <c r="I183" s="341"/>
      <c r="J183" s="359"/>
      <c r="N183" s="83"/>
    </row>
    <row r="184" spans="1:17" ht="15" hidden="1" x14ac:dyDescent="0.25">
      <c r="A184" s="354"/>
      <c r="B184" s="891"/>
      <c r="C184" s="891"/>
      <c r="D184" s="891"/>
      <c r="E184" s="891"/>
      <c r="F184" s="891"/>
      <c r="G184" s="1108">
        <v>0.05</v>
      </c>
      <c r="H184" s="1108"/>
      <c r="I184" s="341"/>
      <c r="J184" s="359"/>
      <c r="N184" s="83"/>
      <c r="Q184" s="2">
        <f>8.84-3.84-4.06-0.2</f>
        <v>0.74000000000000044</v>
      </c>
    </row>
    <row r="185" spans="1:17" ht="5.25" hidden="1" customHeight="1" x14ac:dyDescent="0.2">
      <c r="A185" s="881"/>
      <c r="B185" s="882"/>
      <c r="C185" s="883"/>
      <c r="D185" s="883"/>
      <c r="E185" s="883"/>
      <c r="F185" s="883"/>
      <c r="G185" s="884"/>
      <c r="H185" s="884"/>
      <c r="I185" s="360"/>
      <c r="J185" s="360"/>
      <c r="K185" s="360"/>
      <c r="N185" s="83"/>
    </row>
    <row r="186" spans="1:17" hidden="1" x14ac:dyDescent="0.2">
      <c r="A186" s="890"/>
      <c r="B186" s="891"/>
      <c r="C186" s="883"/>
      <c r="D186" s="883"/>
      <c r="E186" s="361"/>
      <c r="F186" s="361"/>
      <c r="G186" s="467" t="s">
        <v>0</v>
      </c>
      <c r="H186" s="467" t="s">
        <v>1</v>
      </c>
      <c r="I186" s="466"/>
      <c r="J186" s="364"/>
      <c r="K186" s="364"/>
      <c r="N186" s="83"/>
    </row>
    <row r="187" spans="1:17" hidden="1" x14ac:dyDescent="0.2">
      <c r="A187" s="887" t="s">
        <v>312</v>
      </c>
      <c r="B187" s="888"/>
      <c r="C187" s="888"/>
      <c r="D187" s="888"/>
      <c r="E187" s="888"/>
      <c r="F187" s="888"/>
      <c r="G187" s="468">
        <f>G183/G182</f>
        <v>0.91666666666666663</v>
      </c>
      <c r="H187" s="468">
        <f>G184/G182</f>
        <v>8.3333333333333343E-2</v>
      </c>
      <c r="I187" s="457"/>
      <c r="J187" s="364"/>
      <c r="K187" s="364"/>
      <c r="N187" s="83"/>
    </row>
    <row r="188" spans="1:17" ht="22.9" hidden="1" customHeight="1" x14ac:dyDescent="0.2">
      <c r="A188" s="367"/>
      <c r="B188" s="368"/>
      <c r="C188" s="368"/>
      <c r="D188" s="368"/>
      <c r="E188" s="368"/>
      <c r="F188" s="368"/>
      <c r="G188" s="889" t="s">
        <v>313</v>
      </c>
      <c r="H188" s="889"/>
      <c r="I188" s="889" t="s">
        <v>314</v>
      </c>
      <c r="J188" s="889"/>
      <c r="K188" s="889"/>
      <c r="N188" s="83"/>
    </row>
    <row r="189" spans="1:17" ht="24.75" hidden="1" customHeight="1" x14ac:dyDescent="0.2">
      <c r="A189" s="369"/>
      <c r="B189" s="907" t="s">
        <v>6</v>
      </c>
      <c r="C189" s="907"/>
      <c r="D189" s="470" t="s">
        <v>511</v>
      </c>
      <c r="E189" s="470" t="s">
        <v>303</v>
      </c>
      <c r="F189" s="470" t="s">
        <v>504</v>
      </c>
      <c r="G189" s="470" t="s">
        <v>419</v>
      </c>
      <c r="H189" s="470" t="s">
        <v>318</v>
      </c>
      <c r="I189" s="471" t="s">
        <v>4</v>
      </c>
      <c r="J189" s="470" t="s">
        <v>119</v>
      </c>
      <c r="K189" s="470" t="s">
        <v>321</v>
      </c>
      <c r="M189" s="458" t="s">
        <v>324</v>
      </c>
      <c r="N189" s="83"/>
    </row>
    <row r="190" spans="1:17" ht="12.75" hidden="1" customHeight="1" x14ac:dyDescent="0.2">
      <c r="A190" s="469"/>
      <c r="B190" s="1092" t="s">
        <v>446</v>
      </c>
      <c r="C190" s="1092"/>
      <c r="D190" s="473">
        <v>0.26</v>
      </c>
      <c r="E190" s="473">
        <v>0</v>
      </c>
      <c r="F190" s="474">
        <f t="shared" ref="F190:F196" si="5">D190+E190</f>
        <v>0.26</v>
      </c>
      <c r="G190" s="459">
        <f>M190/F190</f>
        <v>0</v>
      </c>
      <c r="H190" s="459">
        <f>M190/F190</f>
        <v>0</v>
      </c>
      <c r="I190" s="456"/>
      <c r="J190" s="459">
        <f>F190</f>
        <v>0.26</v>
      </c>
      <c r="K190" s="459">
        <f>M190/J190</f>
        <v>0</v>
      </c>
      <c r="M190" s="473"/>
      <c r="N190" s="83"/>
    </row>
    <row r="191" spans="1:17" ht="12.75" hidden="1" customHeight="1" x14ac:dyDescent="0.2">
      <c r="A191" s="469"/>
      <c r="B191" s="1147" t="s">
        <v>124</v>
      </c>
      <c r="C191" s="1148"/>
      <c r="D191" s="473">
        <v>0</v>
      </c>
      <c r="E191" s="473">
        <v>0</v>
      </c>
      <c r="F191" s="474">
        <f t="shared" si="5"/>
        <v>0</v>
      </c>
      <c r="G191" s="459"/>
      <c r="H191" s="459"/>
      <c r="I191" s="910"/>
      <c r="J191" s="911"/>
      <c r="K191" s="459"/>
      <c r="M191" s="473"/>
      <c r="N191" s="83"/>
      <c r="P191" s="2">
        <v>0.16</v>
      </c>
    </row>
    <row r="192" spans="1:17" ht="12.75" hidden="1" customHeight="1" x14ac:dyDescent="0.2">
      <c r="A192" s="469"/>
      <c r="B192" s="1147" t="s">
        <v>386</v>
      </c>
      <c r="C192" s="1148"/>
      <c r="D192" s="473">
        <v>3.6999999999999998E-2</v>
      </c>
      <c r="E192" s="473">
        <v>1E-3</v>
      </c>
      <c r="F192" s="474">
        <f t="shared" si="5"/>
        <v>3.7999999999999999E-2</v>
      </c>
      <c r="G192" s="459">
        <f>M192/F192</f>
        <v>0</v>
      </c>
      <c r="H192" s="459">
        <f>M192/F192</f>
        <v>0</v>
      </c>
      <c r="I192" s="456"/>
      <c r="J192" s="459">
        <f>F192</f>
        <v>3.7999999999999999E-2</v>
      </c>
      <c r="K192" s="459">
        <f>M192/J192</f>
        <v>0</v>
      </c>
      <c r="M192" s="473">
        <v>0</v>
      </c>
      <c r="N192" s="83"/>
    </row>
    <row r="193" spans="1:14" hidden="1" x14ac:dyDescent="0.2">
      <c r="A193" s="469"/>
      <c r="B193" s="1147" t="s">
        <v>442</v>
      </c>
      <c r="C193" s="1148"/>
      <c r="D193" s="473">
        <v>0.11</v>
      </c>
      <c r="E193" s="473">
        <v>0.02</v>
      </c>
      <c r="F193" s="474">
        <f t="shared" si="5"/>
        <v>0.13</v>
      </c>
      <c r="G193" s="459">
        <f>M193/F193</f>
        <v>0</v>
      </c>
      <c r="H193" s="459">
        <f>M193/F193</f>
        <v>0</v>
      </c>
      <c r="I193" s="456"/>
      <c r="J193" s="459">
        <f>F193</f>
        <v>0.13</v>
      </c>
      <c r="K193" s="459">
        <f>M193/J193</f>
        <v>0</v>
      </c>
      <c r="M193" s="473">
        <v>0</v>
      </c>
      <c r="N193" s="83"/>
    </row>
    <row r="194" spans="1:14" hidden="1" x14ac:dyDescent="0.2">
      <c r="A194" s="469"/>
      <c r="B194" s="1147" t="s">
        <v>413</v>
      </c>
      <c r="C194" s="1148"/>
      <c r="D194" s="473">
        <v>3.3000000000000002E-2</v>
      </c>
      <c r="E194" s="473">
        <v>1E-3</v>
      </c>
      <c r="F194" s="474">
        <f t="shared" si="5"/>
        <v>3.4000000000000002E-2</v>
      </c>
      <c r="G194" s="459">
        <f>M194/F194</f>
        <v>1.4705882352941175</v>
      </c>
      <c r="H194" s="459">
        <f>M194/F194</f>
        <v>1.4705882352941175</v>
      </c>
      <c r="I194" s="456"/>
      <c r="J194" s="459">
        <f>F194</f>
        <v>3.4000000000000002E-2</v>
      </c>
      <c r="K194" s="459">
        <f>M194/J194</f>
        <v>1.4705882352941175</v>
      </c>
      <c r="M194" s="473">
        <v>0.05</v>
      </c>
      <c r="N194" s="83"/>
    </row>
    <row r="195" spans="1:14" ht="12.75" hidden="1" customHeight="1" x14ac:dyDescent="0.2">
      <c r="A195" s="887"/>
      <c r="B195" s="1092" t="s">
        <v>7</v>
      </c>
      <c r="C195" s="1092"/>
      <c r="D195" s="473">
        <v>0.15</v>
      </c>
      <c r="E195" s="473">
        <v>0</v>
      </c>
      <c r="F195" s="474">
        <f t="shared" si="5"/>
        <v>0.15</v>
      </c>
      <c r="G195" s="459"/>
      <c r="H195" s="459">
        <f>M195/F195</f>
        <v>1</v>
      </c>
      <c r="I195" s="465">
        <f>(G184*G182*2)/(G182*G182*2)</f>
        <v>8.3333333333333329E-2</v>
      </c>
      <c r="J195" s="879">
        <f>(I195*F195)+(I196*F196)</f>
        <v>4.6416666666666662E-2</v>
      </c>
      <c r="K195" s="879">
        <f>M195/J195</f>
        <v>3.2315978456014367</v>
      </c>
      <c r="M195" s="1108">
        <v>0.15</v>
      </c>
      <c r="N195" s="83"/>
    </row>
    <row r="196" spans="1:14" hidden="1" x14ac:dyDescent="0.2">
      <c r="A196" s="887"/>
      <c r="B196" s="1092" t="s">
        <v>386</v>
      </c>
      <c r="C196" s="1092"/>
      <c r="D196" s="473">
        <v>3.5999999999999997E-2</v>
      </c>
      <c r="E196" s="473">
        <v>1E-3</v>
      </c>
      <c r="F196" s="474">
        <f t="shared" si="5"/>
        <v>3.6999999999999998E-2</v>
      </c>
      <c r="G196" s="459">
        <f>M195/F196</f>
        <v>4.0540540540540544</v>
      </c>
      <c r="H196" s="459"/>
      <c r="I196" s="465">
        <f>(G183*G182*2)/(G182*G182*2)</f>
        <v>0.91666666666666663</v>
      </c>
      <c r="J196" s="879"/>
      <c r="K196" s="879"/>
      <c r="M196" s="1108"/>
      <c r="N196" s="83"/>
    </row>
    <row r="197" spans="1:14" ht="12.75" hidden="1" customHeight="1" x14ac:dyDescent="0.2">
      <c r="A197" s="887"/>
      <c r="B197" s="1092" t="s">
        <v>414</v>
      </c>
      <c r="C197" s="1092"/>
      <c r="D197" s="473"/>
      <c r="E197" s="473"/>
      <c r="F197" s="474">
        <f>E197+D197</f>
        <v>0</v>
      </c>
      <c r="G197" s="459"/>
      <c r="H197" s="459"/>
      <c r="I197" s="459"/>
      <c r="J197" s="879"/>
      <c r="K197" s="879"/>
      <c r="M197" s="1108"/>
      <c r="N197" s="83"/>
    </row>
    <row r="198" spans="1:14" ht="12.75" hidden="1" customHeight="1" x14ac:dyDescent="0.2">
      <c r="A198" s="887"/>
      <c r="B198" s="1092" t="s">
        <v>415</v>
      </c>
      <c r="C198" s="1092"/>
      <c r="D198" s="473"/>
      <c r="E198" s="473"/>
      <c r="F198" s="474">
        <f>E198+D198</f>
        <v>0</v>
      </c>
      <c r="G198" s="459"/>
      <c r="H198" s="459"/>
      <c r="I198" s="459"/>
      <c r="J198" s="879"/>
      <c r="K198" s="879"/>
      <c r="M198" s="1108"/>
      <c r="N198" s="83"/>
    </row>
    <row r="199" spans="1:14" hidden="1" x14ac:dyDescent="0.2">
      <c r="A199" s="367"/>
      <c r="B199" s="1092" t="s">
        <v>501</v>
      </c>
      <c r="C199" s="1092"/>
      <c r="D199" s="473">
        <v>0.15</v>
      </c>
      <c r="E199" s="473">
        <v>0</v>
      </c>
      <c r="F199" s="474">
        <f>E199+D199</f>
        <v>0.15</v>
      </c>
      <c r="G199" s="459">
        <f>M199/F199</f>
        <v>0</v>
      </c>
      <c r="H199" s="459">
        <f>M199/F199</f>
        <v>0</v>
      </c>
      <c r="I199" s="456"/>
      <c r="J199" s="477">
        <f>F199</f>
        <v>0.15</v>
      </c>
      <c r="K199" s="477">
        <f>M199/J199</f>
        <v>0</v>
      </c>
      <c r="M199" s="473">
        <v>0</v>
      </c>
      <c r="N199" s="83"/>
    </row>
    <row r="200" spans="1:14" hidden="1" x14ac:dyDescent="0.2">
      <c r="A200" s="367"/>
      <c r="B200" s="1092" t="s">
        <v>386</v>
      </c>
      <c r="C200" s="1092"/>
      <c r="D200" s="473">
        <v>3.4000000000000002E-2</v>
      </c>
      <c r="E200" s="473">
        <v>1E-3</v>
      </c>
      <c r="F200" s="474">
        <f>D200+E200</f>
        <v>3.5000000000000003E-2</v>
      </c>
      <c r="G200" s="459">
        <f>M200/F200</f>
        <v>0</v>
      </c>
      <c r="H200" s="459">
        <f>M200/F200</f>
        <v>0</v>
      </c>
      <c r="I200" s="456"/>
      <c r="J200" s="459">
        <f>F200</f>
        <v>3.5000000000000003E-2</v>
      </c>
      <c r="K200" s="477">
        <f>M200/J200</f>
        <v>0</v>
      </c>
      <c r="M200" s="473">
        <v>0</v>
      </c>
      <c r="N200" s="83"/>
    </row>
    <row r="201" spans="1:14" hidden="1" x14ac:dyDescent="0.2">
      <c r="A201" s="367"/>
      <c r="B201" s="1092" t="s">
        <v>402</v>
      </c>
      <c r="C201" s="1092"/>
      <c r="D201" s="473">
        <v>0.26</v>
      </c>
      <c r="E201" s="473">
        <v>0</v>
      </c>
      <c r="F201" s="474">
        <f>D201+E201</f>
        <v>0.26</v>
      </c>
      <c r="G201" s="459">
        <f>M201/F201</f>
        <v>4.807692307692308E-2</v>
      </c>
      <c r="H201" s="459">
        <f>M201/F201</f>
        <v>4.807692307692308E-2</v>
      </c>
      <c r="I201" s="456"/>
      <c r="J201" s="459">
        <f>F201</f>
        <v>0.26</v>
      </c>
      <c r="K201" s="477">
        <f>M201/J201</f>
        <v>4.807692307692308E-2</v>
      </c>
      <c r="M201" s="473">
        <v>1.2500000000000001E-2</v>
      </c>
      <c r="N201" s="83"/>
    </row>
    <row r="202" spans="1:14" hidden="1" x14ac:dyDescent="0.2">
      <c r="A202" s="86"/>
      <c r="F202" s="349"/>
      <c r="G202" s="459">
        <f>SUM(G190:G200)+I178+I179+I180</f>
        <v>5.9646422893481716</v>
      </c>
      <c r="H202" s="459">
        <f>SUM(H190:H200)+I178+I179+I180</f>
        <v>2.9105882352941177</v>
      </c>
      <c r="I202" s="895">
        <f>SUM(K190:K201)+I178+I179+I180</f>
        <v>5.1902630039724773</v>
      </c>
      <c r="J202" s="896"/>
      <c r="K202" s="897"/>
      <c r="N202" s="83"/>
    </row>
    <row r="203" spans="1:14" ht="12.75" hidden="1" customHeight="1" x14ac:dyDescent="0.2">
      <c r="A203" s="86"/>
      <c r="C203" s="343"/>
      <c r="D203" s="377"/>
      <c r="E203" s="377"/>
      <c r="F203" s="377"/>
      <c r="G203" s="879">
        <f>ROUND((G187*G202)+(H187*H202),3)</f>
        <v>5.71</v>
      </c>
      <c r="H203" s="879"/>
      <c r="I203" s="898"/>
      <c r="J203" s="899"/>
      <c r="K203" s="900"/>
      <c r="N203" s="83"/>
    </row>
    <row r="204" spans="1:14" ht="8.4499999999999993" hidden="1" customHeight="1" x14ac:dyDescent="0.2">
      <c r="A204" s="86"/>
      <c r="C204" s="378"/>
      <c r="D204" s="379"/>
      <c r="E204" s="377"/>
      <c r="F204" s="377"/>
      <c r="G204" s="380"/>
      <c r="H204" s="380"/>
      <c r="I204" s="380"/>
      <c r="J204" s="380"/>
      <c r="K204" s="380"/>
      <c r="M204" s="343"/>
      <c r="N204" s="83"/>
    </row>
    <row r="205" spans="1:14" ht="12.75" hidden="1" customHeight="1" x14ac:dyDescent="0.2">
      <c r="A205" s="86"/>
      <c r="K205" s="349" t="s">
        <v>106</v>
      </c>
      <c r="M205" s="350">
        <f>SUM(M190:M201)*1000</f>
        <v>212.50000000000003</v>
      </c>
      <c r="N205" s="384" t="s">
        <v>120</v>
      </c>
    </row>
    <row r="206" spans="1:14" ht="1.5" hidden="1" customHeight="1" x14ac:dyDescent="0.2">
      <c r="A206" s="86"/>
      <c r="N206" s="83"/>
    </row>
    <row r="207" spans="1:14" ht="15.75" hidden="1" x14ac:dyDescent="0.2">
      <c r="A207" s="86"/>
      <c r="E207" s="902" t="s">
        <v>93</v>
      </c>
      <c r="F207" s="902"/>
      <c r="G207" s="902"/>
      <c r="H207" s="1145">
        <f>ROUND(1/((G203+I202)/2),3)</f>
        <v>0.183</v>
      </c>
      <c r="I207" s="1146"/>
      <c r="J207" s="905" t="s">
        <v>306</v>
      </c>
      <c r="K207" s="906"/>
      <c r="N207" s="83"/>
    </row>
    <row r="208" spans="1:14" ht="4.9000000000000004" hidden="1" customHeight="1" x14ac:dyDescent="0.2">
      <c r="A208" s="87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9"/>
    </row>
    <row r="209" hidden="1" x14ac:dyDescent="0.2"/>
    <row r="210" hidden="1" x14ac:dyDescent="0.2"/>
    <row r="211" ht="10.9" hidden="1" customHeight="1" x14ac:dyDescent="0.2"/>
    <row r="212" hidden="1" x14ac:dyDescent="0.2"/>
  </sheetData>
  <mergeCells count="388">
    <mergeCell ref="B9:D9"/>
    <mergeCell ref="E9:F9"/>
    <mergeCell ref="H9:I9"/>
    <mergeCell ref="J9:K9"/>
    <mergeCell ref="B10:D10"/>
    <mergeCell ref="E10:F10"/>
    <mergeCell ref="H10:I10"/>
    <mergeCell ref="J10:K10"/>
    <mergeCell ref="C3:M3"/>
    <mergeCell ref="C5:H5"/>
    <mergeCell ref="J5:K5"/>
    <mergeCell ref="J6:K6"/>
    <mergeCell ref="J7:K7"/>
    <mergeCell ref="B8:D8"/>
    <mergeCell ref="E8:F8"/>
    <mergeCell ref="H8:I8"/>
    <mergeCell ref="J8:K8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20:D20"/>
    <mergeCell ref="E20:G20"/>
    <mergeCell ref="B15:D15"/>
    <mergeCell ref="E15:F15"/>
    <mergeCell ref="H15:I15"/>
    <mergeCell ref="J15:K15"/>
    <mergeCell ref="B16:D16"/>
    <mergeCell ref="E16:F16"/>
    <mergeCell ref="H16:I16"/>
    <mergeCell ref="J16:K16"/>
    <mergeCell ref="J28:K28"/>
    <mergeCell ref="J29:K29"/>
    <mergeCell ref="B30:D30"/>
    <mergeCell ref="E30:F30"/>
    <mergeCell ref="H30:I30"/>
    <mergeCell ref="J30:K30"/>
    <mergeCell ref="E21:G21"/>
    <mergeCell ref="H21:I21"/>
    <mergeCell ref="J21:K21"/>
    <mergeCell ref="C25:K25"/>
    <mergeCell ref="C27:H27"/>
    <mergeCell ref="J27:K27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37:D37"/>
    <mergeCell ref="E37:F37"/>
    <mergeCell ref="H37:I37"/>
    <mergeCell ref="J37:K37"/>
    <mergeCell ref="B38:D38"/>
    <mergeCell ref="E38:F38"/>
    <mergeCell ref="H38:I38"/>
    <mergeCell ref="J38:K38"/>
    <mergeCell ref="B35:D35"/>
    <mergeCell ref="E35:F35"/>
    <mergeCell ref="H35:I35"/>
    <mergeCell ref="J35:K35"/>
    <mergeCell ref="B36:D36"/>
    <mergeCell ref="E36:F36"/>
    <mergeCell ref="H36:I36"/>
    <mergeCell ref="J36:K36"/>
    <mergeCell ref="R43:R44"/>
    <mergeCell ref="C47:K47"/>
    <mergeCell ref="C49:H49"/>
    <mergeCell ref="J49:K49"/>
    <mergeCell ref="B39:D39"/>
    <mergeCell ref="E39:F39"/>
    <mergeCell ref="H39:I39"/>
    <mergeCell ref="J39:K39"/>
    <mergeCell ref="B42:D42"/>
    <mergeCell ref="E42:G42"/>
    <mergeCell ref="J50:K50"/>
    <mergeCell ref="J51:K51"/>
    <mergeCell ref="B52:D52"/>
    <mergeCell ref="E52:F52"/>
    <mergeCell ref="H52:I52"/>
    <mergeCell ref="J52:K52"/>
    <mergeCell ref="E43:G43"/>
    <mergeCell ref="H43:I43"/>
    <mergeCell ref="J43:K43"/>
    <mergeCell ref="B55:D55"/>
    <mergeCell ref="E55:F55"/>
    <mergeCell ref="H55:I55"/>
    <mergeCell ref="J55:K55"/>
    <mergeCell ref="B56:D56"/>
    <mergeCell ref="E56:F56"/>
    <mergeCell ref="H56:I56"/>
    <mergeCell ref="J56:K56"/>
    <mergeCell ref="B53:D53"/>
    <mergeCell ref="E53:F53"/>
    <mergeCell ref="H53:I53"/>
    <mergeCell ref="J53:K53"/>
    <mergeCell ref="B54:D54"/>
    <mergeCell ref="E54:F54"/>
    <mergeCell ref="H54:I54"/>
    <mergeCell ref="J54:K54"/>
    <mergeCell ref="B59:D59"/>
    <mergeCell ref="E59:F59"/>
    <mergeCell ref="H59:I59"/>
    <mergeCell ref="J59:K59"/>
    <mergeCell ref="B60:D60"/>
    <mergeCell ref="E60:F60"/>
    <mergeCell ref="H60:I60"/>
    <mergeCell ref="J60:K60"/>
    <mergeCell ref="B57:D57"/>
    <mergeCell ref="E57:F57"/>
    <mergeCell ref="H57:I57"/>
    <mergeCell ref="J57:K57"/>
    <mergeCell ref="B58:D58"/>
    <mergeCell ref="E58:F58"/>
    <mergeCell ref="H58:I58"/>
    <mergeCell ref="J58:K58"/>
    <mergeCell ref="R65:R66"/>
    <mergeCell ref="C69:M69"/>
    <mergeCell ref="C71:H71"/>
    <mergeCell ref="J71:K71"/>
    <mergeCell ref="B61:D61"/>
    <mergeCell ref="E61:F61"/>
    <mergeCell ref="H61:I61"/>
    <mergeCell ref="J61:K61"/>
    <mergeCell ref="B64:D64"/>
    <mergeCell ref="E64:G64"/>
    <mergeCell ref="J72:K72"/>
    <mergeCell ref="J73:K73"/>
    <mergeCell ref="J74:K74"/>
    <mergeCell ref="B75:D75"/>
    <mergeCell ref="E75:F75"/>
    <mergeCell ref="H75:I75"/>
    <mergeCell ref="J75:K75"/>
    <mergeCell ref="E65:G65"/>
    <mergeCell ref="H65:I65"/>
    <mergeCell ref="J65:K65"/>
    <mergeCell ref="B78:D78"/>
    <mergeCell ref="E78:F78"/>
    <mergeCell ref="H78:I78"/>
    <mergeCell ref="J78:K78"/>
    <mergeCell ref="B79:D79"/>
    <mergeCell ref="E79:F79"/>
    <mergeCell ref="H79:I79"/>
    <mergeCell ref="J79:K79"/>
    <mergeCell ref="B76:D76"/>
    <mergeCell ref="E76:F76"/>
    <mergeCell ref="H76:I76"/>
    <mergeCell ref="J76:K76"/>
    <mergeCell ref="B77:D77"/>
    <mergeCell ref="E77:F77"/>
    <mergeCell ref="H77:I77"/>
    <mergeCell ref="J77:K77"/>
    <mergeCell ref="B82:D82"/>
    <mergeCell ref="E82:F82"/>
    <mergeCell ref="H82:I82"/>
    <mergeCell ref="J82:K82"/>
    <mergeCell ref="B83:D83"/>
    <mergeCell ref="E83:F83"/>
    <mergeCell ref="H83:I83"/>
    <mergeCell ref="J83:K83"/>
    <mergeCell ref="B80:D80"/>
    <mergeCell ref="E80:F80"/>
    <mergeCell ref="H80:I80"/>
    <mergeCell ref="J80:K80"/>
    <mergeCell ref="B81:D81"/>
    <mergeCell ref="E81:F81"/>
    <mergeCell ref="H81:I81"/>
    <mergeCell ref="J81:K81"/>
    <mergeCell ref="R88:R89"/>
    <mergeCell ref="C93:K93"/>
    <mergeCell ref="C95:H95"/>
    <mergeCell ref="J95:K95"/>
    <mergeCell ref="B84:D84"/>
    <mergeCell ref="E84:F84"/>
    <mergeCell ref="H84:I84"/>
    <mergeCell ref="J84:K84"/>
    <mergeCell ref="B87:D87"/>
    <mergeCell ref="E87:G87"/>
    <mergeCell ref="J96:K96"/>
    <mergeCell ref="J97:K97"/>
    <mergeCell ref="B98:D98"/>
    <mergeCell ref="E98:F98"/>
    <mergeCell ref="H98:I98"/>
    <mergeCell ref="J98:K98"/>
    <mergeCell ref="E88:G88"/>
    <mergeCell ref="H88:I88"/>
    <mergeCell ref="J88:K88"/>
    <mergeCell ref="B101:D101"/>
    <mergeCell ref="E101:F101"/>
    <mergeCell ref="H101:I101"/>
    <mergeCell ref="J101:K101"/>
    <mergeCell ref="B102:D102"/>
    <mergeCell ref="E102:F102"/>
    <mergeCell ref="H102:I102"/>
    <mergeCell ref="J102:K102"/>
    <mergeCell ref="B99:D99"/>
    <mergeCell ref="E99:F99"/>
    <mergeCell ref="H99:I99"/>
    <mergeCell ref="J99:K99"/>
    <mergeCell ref="B100:D100"/>
    <mergeCell ref="E100:F100"/>
    <mergeCell ref="H100:I100"/>
    <mergeCell ref="J100:K100"/>
    <mergeCell ref="B105:D105"/>
    <mergeCell ref="E105:F105"/>
    <mergeCell ref="H105:I105"/>
    <mergeCell ref="J105:K105"/>
    <mergeCell ref="B106:D106"/>
    <mergeCell ref="E106:F106"/>
    <mergeCell ref="H106:I106"/>
    <mergeCell ref="J106:K106"/>
    <mergeCell ref="B103:D103"/>
    <mergeCell ref="E103:F103"/>
    <mergeCell ref="H103:I103"/>
    <mergeCell ref="J103:K103"/>
    <mergeCell ref="B104:D104"/>
    <mergeCell ref="E104:F104"/>
    <mergeCell ref="H104:I104"/>
    <mergeCell ref="J104:K104"/>
    <mergeCell ref="R112:R113"/>
    <mergeCell ref="B107:D107"/>
    <mergeCell ref="E107:F107"/>
    <mergeCell ref="H107:I107"/>
    <mergeCell ref="J107:K107"/>
    <mergeCell ref="B108:D108"/>
    <mergeCell ref="E108:F108"/>
    <mergeCell ref="H108:I108"/>
    <mergeCell ref="J108:K108"/>
    <mergeCell ref="C116:M116"/>
    <mergeCell ref="B118:G118"/>
    <mergeCell ref="I118:J118"/>
    <mergeCell ref="I119:J119"/>
    <mergeCell ref="I120:J120"/>
    <mergeCell ref="G121:H121"/>
    <mergeCell ref="B111:D111"/>
    <mergeCell ref="E111:G111"/>
    <mergeCell ref="E112:G112"/>
    <mergeCell ref="H112:I112"/>
    <mergeCell ref="J112:K112"/>
    <mergeCell ref="A126:B126"/>
    <mergeCell ref="C126:D126"/>
    <mergeCell ref="A127:F127"/>
    <mergeCell ref="G128:H128"/>
    <mergeCell ref="I128:K128"/>
    <mergeCell ref="B129:C129"/>
    <mergeCell ref="C122:F122"/>
    <mergeCell ref="G122:H122"/>
    <mergeCell ref="B123:F124"/>
    <mergeCell ref="G123:H123"/>
    <mergeCell ref="G124:H124"/>
    <mergeCell ref="A125:B125"/>
    <mergeCell ref="C125:D125"/>
    <mergeCell ref="E125:F125"/>
    <mergeCell ref="G125:H125"/>
    <mergeCell ref="A132:A133"/>
    <mergeCell ref="B132:C132"/>
    <mergeCell ref="J132:J133"/>
    <mergeCell ref="K132:K133"/>
    <mergeCell ref="M132:M133"/>
    <mergeCell ref="B133:C133"/>
    <mergeCell ref="A130:A131"/>
    <mergeCell ref="B130:C130"/>
    <mergeCell ref="J130:J131"/>
    <mergeCell ref="K130:K131"/>
    <mergeCell ref="M130:M131"/>
    <mergeCell ref="B131:C131"/>
    <mergeCell ref="C146:M146"/>
    <mergeCell ref="B148:G148"/>
    <mergeCell ref="I148:J148"/>
    <mergeCell ref="I149:J149"/>
    <mergeCell ref="I150:J150"/>
    <mergeCell ref="G151:H151"/>
    <mergeCell ref="B134:C134"/>
    <mergeCell ref="B135:C135"/>
    <mergeCell ref="B136:C136"/>
    <mergeCell ref="I137:K138"/>
    <mergeCell ref="G138:H138"/>
    <mergeCell ref="E142:G142"/>
    <mergeCell ref="H142:I142"/>
    <mergeCell ref="J142:K142"/>
    <mergeCell ref="A156:B156"/>
    <mergeCell ref="C156:D156"/>
    <mergeCell ref="A157:F157"/>
    <mergeCell ref="G158:H158"/>
    <mergeCell ref="I158:K158"/>
    <mergeCell ref="B159:C159"/>
    <mergeCell ref="C152:F152"/>
    <mergeCell ref="G152:H152"/>
    <mergeCell ref="B153:F154"/>
    <mergeCell ref="G153:H153"/>
    <mergeCell ref="G154:H154"/>
    <mergeCell ref="A155:B155"/>
    <mergeCell ref="C155:D155"/>
    <mergeCell ref="E155:F155"/>
    <mergeCell ref="G155:H155"/>
    <mergeCell ref="A162:A163"/>
    <mergeCell ref="B162:C162"/>
    <mergeCell ref="J162:J163"/>
    <mergeCell ref="K162:K163"/>
    <mergeCell ref="M162:M163"/>
    <mergeCell ref="B163:C163"/>
    <mergeCell ref="A160:A161"/>
    <mergeCell ref="B160:C160"/>
    <mergeCell ref="J160:J161"/>
    <mergeCell ref="K160:K161"/>
    <mergeCell ref="M160:M161"/>
    <mergeCell ref="B161:C161"/>
    <mergeCell ref="C176:M176"/>
    <mergeCell ref="B178:G178"/>
    <mergeCell ref="I178:J178"/>
    <mergeCell ref="I179:J179"/>
    <mergeCell ref="I180:J180"/>
    <mergeCell ref="G181:H181"/>
    <mergeCell ref="B164:C164"/>
    <mergeCell ref="B165:C165"/>
    <mergeCell ref="B166:C166"/>
    <mergeCell ref="I167:K168"/>
    <mergeCell ref="G168:H168"/>
    <mergeCell ref="E172:G172"/>
    <mergeCell ref="H172:I172"/>
    <mergeCell ref="J172:K172"/>
    <mergeCell ref="A186:B186"/>
    <mergeCell ref="C186:D186"/>
    <mergeCell ref="A187:F187"/>
    <mergeCell ref="G188:H188"/>
    <mergeCell ref="I188:K188"/>
    <mergeCell ref="B189:C189"/>
    <mergeCell ref="C182:F182"/>
    <mergeCell ref="G182:H182"/>
    <mergeCell ref="B183:F184"/>
    <mergeCell ref="G183:H183"/>
    <mergeCell ref="G184:H184"/>
    <mergeCell ref="A185:B185"/>
    <mergeCell ref="C185:D185"/>
    <mergeCell ref="E185:F185"/>
    <mergeCell ref="G185:H185"/>
    <mergeCell ref="M197:M198"/>
    <mergeCell ref="B198:C198"/>
    <mergeCell ref="A195:A196"/>
    <mergeCell ref="B195:C195"/>
    <mergeCell ref="J195:J196"/>
    <mergeCell ref="K195:K196"/>
    <mergeCell ref="M195:M196"/>
    <mergeCell ref="B196:C196"/>
    <mergeCell ref="B190:C190"/>
    <mergeCell ref="B191:C191"/>
    <mergeCell ref="I191:J191"/>
    <mergeCell ref="B192:C192"/>
    <mergeCell ref="B193:C193"/>
    <mergeCell ref="B194:C194"/>
    <mergeCell ref="B199:C199"/>
    <mergeCell ref="B200:C200"/>
    <mergeCell ref="B201:C201"/>
    <mergeCell ref="I202:K203"/>
    <mergeCell ref="G203:H203"/>
    <mergeCell ref="E207:G207"/>
    <mergeCell ref="H207:I207"/>
    <mergeCell ref="J207:K207"/>
    <mergeCell ref="A197:A198"/>
    <mergeCell ref="B197:C197"/>
    <mergeCell ref="J197:J198"/>
    <mergeCell ref="K197:K198"/>
  </mergeCells>
  <dataValidations count="14">
    <dataValidation type="list" allowBlank="1" showInputMessage="1" showErrorMessage="1" sqref="B32:D33" xr:uid="{00000000-0002-0000-0E00-000000000000}">
      <formula1>$Q$25:$Q$44</formula1>
    </dataValidation>
    <dataValidation type="list" allowBlank="1" showInputMessage="1" showErrorMessage="1" sqref="B14:D14" xr:uid="{00000000-0002-0000-0E00-000001000000}">
      <formula1>$U$2:$U$22</formula1>
    </dataValidation>
    <dataValidation type="list" allowBlank="1" showInputMessage="1" showErrorMessage="1" sqref="E32:F32" xr:uid="{00000000-0002-0000-0E00-000002000000}">
      <formula1>$R$25:$R$44</formula1>
    </dataValidation>
    <dataValidation type="list" allowBlank="1" showInputMessage="1" showErrorMessage="1" sqref="H80:I80" xr:uid="{00000000-0002-0000-0E00-000003000000}">
      <formula1>$R$69:$R$85</formula1>
    </dataValidation>
    <dataValidation type="list" allowBlank="1" showInputMessage="1" showErrorMessage="1" sqref="B79:D80" xr:uid="{00000000-0002-0000-0E00-000004000000}">
      <formula1>$Q$69:$Q$85</formula1>
    </dataValidation>
    <dataValidation type="list" allowBlank="1" showInputMessage="1" showErrorMessage="1" sqref="B57:D58 B35:D36" xr:uid="{00000000-0002-0000-0E00-000005000000}">
      <formula1>$U$2:$U$15</formula1>
    </dataValidation>
    <dataValidation type="list" allowBlank="1" showInputMessage="1" showErrorMessage="1" sqref="B81:D81" xr:uid="{00000000-0002-0000-0E00-000006000000}">
      <formula1>$W$69:$W$78</formula1>
    </dataValidation>
    <dataValidation type="list" allowBlank="1" showInputMessage="1" showErrorMessage="1" sqref="B76:D76" xr:uid="{00000000-0002-0000-0E00-000007000000}">
      <formula1>$U$69:$U$78</formula1>
    </dataValidation>
    <dataValidation type="list" allowBlank="1" showInputMessage="1" showErrorMessage="1" sqref="J71:K71" xr:uid="{00000000-0002-0000-0E00-000008000000}">
      <formula1>$P$69:$P$71</formula1>
    </dataValidation>
    <dataValidation type="list" allowBlank="1" showInputMessage="1" showErrorMessage="1" sqref="B78:D78" xr:uid="{00000000-0002-0000-0E00-000009000000}">
      <formula1>$Q$69:$Q$78</formula1>
    </dataValidation>
    <dataValidation type="list" allowBlank="1" showInputMessage="1" showErrorMessage="1" sqref="H58:I58 H36:I36 H55:I55 H14:I14" xr:uid="{00000000-0002-0000-0E00-00000A000000}">
      <formula1>$W$2:$W$18</formula1>
    </dataValidation>
    <dataValidation type="list" allowBlank="1" showInputMessage="1" showErrorMessage="1" sqref="B11:D11 B55:D55" xr:uid="{00000000-0002-0000-0E00-00000B000000}">
      <formula1>$U$2:$U$10</formula1>
    </dataValidation>
    <dataValidation type="list" allowBlank="1" showInputMessage="1" showErrorMessage="1" sqref="E10:F10 H13:I13" xr:uid="{00000000-0002-0000-0E00-00000C000000}">
      <formula1>$R$3:$R$22</formula1>
    </dataValidation>
    <dataValidation type="list" allowBlank="1" showInputMessage="1" showErrorMessage="1" sqref="B10:D10 B13:D13 B54:D54" xr:uid="{00000000-0002-0000-0E00-00000D000000}">
      <formula1>$Q$3:$Q$22</formula1>
    </dataValidation>
  </dataValidations>
  <printOptions horizontalCentered="1"/>
  <pageMargins left="0.70866141732283472" right="0.51181102362204722" top="0.74803149606299213" bottom="0.74803149606299213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U74"/>
  <sheetViews>
    <sheetView showGridLines="0" view="pageBreakPreview" zoomScaleNormal="100" zoomScaleSheetLayoutView="100" workbookViewId="0">
      <selection activeCell="Q38" sqref="Q38"/>
    </sheetView>
  </sheetViews>
  <sheetFormatPr defaultColWidth="9.140625" defaultRowHeight="12.75" x14ac:dyDescent="0.2"/>
  <cols>
    <col min="1" max="1" width="2.28515625" style="2" customWidth="1"/>
    <col min="2" max="2" width="13.7109375" style="2" customWidth="1"/>
    <col min="3" max="3" width="8" style="2" customWidth="1"/>
    <col min="4" max="4" width="6.140625" style="2" customWidth="1"/>
    <col min="5" max="6" width="5.85546875" style="2" customWidth="1"/>
    <col min="7" max="7" width="6.5703125" style="2" customWidth="1"/>
    <col min="8" max="8" width="6.85546875" style="2" customWidth="1"/>
    <col min="9" max="9" width="5.42578125" style="2" customWidth="1"/>
    <col min="10" max="10" width="6.42578125" style="2" customWidth="1"/>
    <col min="11" max="11" width="6.5703125" style="2" customWidth="1"/>
    <col min="12" max="12" width="1.85546875" style="2" customWidth="1"/>
    <col min="13" max="13" width="6.7109375" style="2" customWidth="1"/>
    <col min="14" max="14" width="3.7109375" style="2" customWidth="1"/>
    <col min="15" max="17" width="9.140625" style="2"/>
    <col min="18" max="18" width="19.7109375" style="2" customWidth="1"/>
    <col min="19" max="19" width="3.85546875" style="2" customWidth="1"/>
    <col min="20" max="20" width="1.7109375" style="2" customWidth="1"/>
    <col min="21" max="16384" width="9.140625" style="2"/>
  </cols>
  <sheetData>
    <row r="1" spans="1:21" ht="43.1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2"/>
      <c r="K1" s="1098"/>
      <c r="L1" s="1098"/>
      <c r="M1" s="1098"/>
      <c r="N1" s="1098"/>
    </row>
    <row r="2" spans="1:21" ht="11.4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  <c r="K2" s="80"/>
      <c r="L2" s="99"/>
      <c r="M2" s="99"/>
      <c r="N2" s="81"/>
    </row>
    <row r="3" spans="1:21" ht="15.75" x14ac:dyDescent="0.2">
      <c r="A3" s="354"/>
      <c r="B3" s="387"/>
      <c r="C3" s="868" t="s">
        <v>519</v>
      </c>
      <c r="D3" s="868"/>
      <c r="E3" s="868"/>
      <c r="F3" s="868"/>
      <c r="G3" s="868"/>
      <c r="H3" s="868"/>
      <c r="I3" s="868"/>
      <c r="J3" s="868"/>
      <c r="K3" s="868"/>
      <c r="L3" s="868"/>
      <c r="M3" s="869"/>
      <c r="N3" s="83"/>
    </row>
    <row r="4" spans="1:21" ht="7.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N4" s="83"/>
      <c r="R4" s="495" t="s">
        <v>262</v>
      </c>
      <c r="U4" s="495">
        <v>3.5999999999999997E-2</v>
      </c>
    </row>
    <row r="5" spans="1:21" ht="15" customHeight="1" x14ac:dyDescent="0.25">
      <c r="A5" s="354"/>
      <c r="B5" s="1156" t="s">
        <v>307</v>
      </c>
      <c r="C5" s="1156"/>
      <c r="D5" s="1156"/>
      <c r="E5" s="1156"/>
      <c r="F5" s="1156"/>
      <c r="G5" s="1156"/>
      <c r="H5" s="357" t="s">
        <v>308</v>
      </c>
      <c r="I5" s="872">
        <v>0.1</v>
      </c>
      <c r="J5" s="873"/>
      <c r="K5" s="399"/>
      <c r="N5" s="83"/>
      <c r="R5" s="496" t="s">
        <v>274</v>
      </c>
      <c r="U5" s="496">
        <v>4.1000000000000002E-2</v>
      </c>
    </row>
    <row r="6" spans="1:21" ht="15" x14ac:dyDescent="0.25">
      <c r="A6" s="354"/>
      <c r="B6" s="1156"/>
      <c r="C6" s="1156"/>
      <c r="D6" s="1156"/>
      <c r="E6" s="1156"/>
      <c r="F6" s="1156"/>
      <c r="G6" s="1156"/>
      <c r="H6" s="341" t="s">
        <v>301</v>
      </c>
      <c r="I6" s="872">
        <v>0.04</v>
      </c>
      <c r="J6" s="873"/>
      <c r="N6" s="83"/>
      <c r="R6" s="496" t="s">
        <v>386</v>
      </c>
      <c r="U6" s="496">
        <v>3.6999999999999998E-2</v>
      </c>
    </row>
    <row r="7" spans="1:21" ht="15" x14ac:dyDescent="0.25">
      <c r="A7" s="354"/>
      <c r="B7" s="1156"/>
      <c r="C7" s="1156"/>
      <c r="D7" s="1156"/>
      <c r="E7" s="1156"/>
      <c r="F7" s="1156"/>
      <c r="G7" s="1156"/>
      <c r="H7" s="341" t="s">
        <v>323</v>
      </c>
      <c r="I7" s="1096">
        <v>0.3</v>
      </c>
      <c r="J7" s="1097"/>
      <c r="N7" s="83"/>
      <c r="R7" s="496" t="s">
        <v>407</v>
      </c>
      <c r="U7" s="496">
        <v>0.6</v>
      </c>
    </row>
    <row r="8" spans="1:21" ht="9.6" customHeight="1" x14ac:dyDescent="0.25">
      <c r="A8" s="354"/>
      <c r="B8" s="355"/>
      <c r="C8" s="341"/>
      <c r="D8" s="341"/>
      <c r="E8" s="341"/>
      <c r="F8" s="341"/>
      <c r="G8" s="892"/>
      <c r="H8" s="892"/>
      <c r="I8" s="341"/>
      <c r="J8" s="359"/>
      <c r="N8" s="83"/>
      <c r="R8" s="496" t="s">
        <v>365</v>
      </c>
      <c r="U8" s="496"/>
    </row>
    <row r="9" spans="1:21" ht="15" customHeight="1" x14ac:dyDescent="0.25">
      <c r="A9" s="354"/>
      <c r="B9" s="355"/>
      <c r="C9" s="882" t="s">
        <v>8</v>
      </c>
      <c r="D9" s="882"/>
      <c r="E9" s="882"/>
      <c r="F9" s="882"/>
      <c r="G9" s="1108">
        <v>0.6</v>
      </c>
      <c r="H9" s="1108"/>
      <c r="I9" s="341"/>
      <c r="J9" s="359"/>
      <c r="N9" s="83"/>
      <c r="R9" s="496" t="s">
        <v>402</v>
      </c>
      <c r="U9" s="496">
        <v>0.26</v>
      </c>
    </row>
    <row r="10" spans="1:21" ht="15" customHeight="1" x14ac:dyDescent="0.25">
      <c r="A10" s="354"/>
      <c r="B10" s="891" t="s">
        <v>311</v>
      </c>
      <c r="C10" s="891"/>
      <c r="D10" s="891"/>
      <c r="E10" s="891"/>
      <c r="F10" s="891"/>
      <c r="G10" s="880">
        <f>G9-G11</f>
        <v>0.54999999999999993</v>
      </c>
      <c r="H10" s="880"/>
      <c r="I10" s="341"/>
      <c r="J10" s="359"/>
      <c r="N10" s="83"/>
      <c r="R10" s="496" t="s">
        <v>481</v>
      </c>
      <c r="U10" s="496"/>
    </row>
    <row r="11" spans="1:21" ht="15" x14ac:dyDescent="0.25">
      <c r="A11" s="354"/>
      <c r="B11" s="891"/>
      <c r="C11" s="891"/>
      <c r="D11" s="891"/>
      <c r="E11" s="891"/>
      <c r="F11" s="891"/>
      <c r="G11" s="1108">
        <v>0.05</v>
      </c>
      <c r="H11" s="1108"/>
      <c r="I11" s="341"/>
      <c r="J11" s="359"/>
      <c r="N11" s="83"/>
      <c r="R11" s="496" t="s">
        <v>380</v>
      </c>
      <c r="U11" s="496">
        <v>3.5999999999999997E-2</v>
      </c>
    </row>
    <row r="12" spans="1:21" ht="7.9" customHeight="1" x14ac:dyDescent="0.2">
      <c r="A12" s="881"/>
      <c r="B12" s="882"/>
      <c r="C12" s="883"/>
      <c r="D12" s="883"/>
      <c r="E12" s="883"/>
      <c r="F12" s="883"/>
      <c r="G12" s="884"/>
      <c r="H12" s="884"/>
      <c r="I12" s="360"/>
      <c r="J12" s="360"/>
      <c r="K12" s="360"/>
      <c r="N12" s="83"/>
      <c r="R12" s="496"/>
      <c r="U12" s="496"/>
    </row>
    <row r="13" spans="1:21" x14ac:dyDescent="0.2">
      <c r="A13" s="890"/>
      <c r="B13" s="891"/>
      <c r="C13" s="883"/>
      <c r="D13" s="883"/>
      <c r="E13" s="361"/>
      <c r="F13" s="361"/>
      <c r="G13" s="467" t="s">
        <v>0</v>
      </c>
      <c r="H13" s="467" t="s">
        <v>1</v>
      </c>
      <c r="I13" s="466"/>
      <c r="J13" s="364"/>
      <c r="K13" s="364"/>
      <c r="N13" s="83"/>
      <c r="R13" s="496"/>
      <c r="U13" s="496"/>
    </row>
    <row r="14" spans="1:21" x14ac:dyDescent="0.2">
      <c r="A14" s="887" t="s">
        <v>312</v>
      </c>
      <c r="B14" s="888"/>
      <c r="C14" s="888"/>
      <c r="D14" s="888"/>
      <c r="E14" s="888"/>
      <c r="F14" s="888"/>
      <c r="G14" s="476">
        <f>G10/G9</f>
        <v>0.91666666666666663</v>
      </c>
      <c r="H14" s="476">
        <f>G11/G9</f>
        <v>8.3333333333333343E-2</v>
      </c>
      <c r="I14" s="457"/>
      <c r="J14" s="364"/>
      <c r="K14" s="364"/>
      <c r="N14" s="83"/>
      <c r="R14" s="496"/>
      <c r="U14" s="496"/>
    </row>
    <row r="15" spans="1:21" ht="26.25" customHeight="1" x14ac:dyDescent="0.2">
      <c r="A15" s="367"/>
      <c r="B15" s="368"/>
      <c r="C15" s="368"/>
      <c r="D15" s="368"/>
      <c r="E15" s="368"/>
      <c r="F15" s="368"/>
      <c r="G15" s="889" t="s">
        <v>313</v>
      </c>
      <c r="H15" s="889"/>
      <c r="I15" s="889" t="s">
        <v>314</v>
      </c>
      <c r="J15" s="889"/>
      <c r="K15" s="889"/>
      <c r="N15" s="83"/>
      <c r="R15" s="497"/>
      <c r="U15" s="497"/>
    </row>
    <row r="16" spans="1:21" ht="24.75" customHeight="1" x14ac:dyDescent="0.2">
      <c r="A16" s="369"/>
      <c r="B16" s="907" t="s">
        <v>6</v>
      </c>
      <c r="C16" s="907"/>
      <c r="D16" s="470" t="s">
        <v>315</v>
      </c>
      <c r="E16" s="470" t="s">
        <v>303</v>
      </c>
      <c r="F16" s="470" t="s">
        <v>316</v>
      </c>
      <c r="G16" s="470" t="s">
        <v>317</v>
      </c>
      <c r="H16" s="470" t="s">
        <v>318</v>
      </c>
      <c r="I16" s="471" t="s">
        <v>4</v>
      </c>
      <c r="J16" s="470" t="s">
        <v>119</v>
      </c>
      <c r="K16" s="470" t="s">
        <v>321</v>
      </c>
      <c r="M16" s="458" t="s">
        <v>324</v>
      </c>
      <c r="N16" s="83"/>
    </row>
    <row r="17" spans="1:16" ht="12.6" hidden="1" customHeight="1" x14ac:dyDescent="0.2">
      <c r="A17" s="469"/>
      <c r="B17" s="1092" t="s">
        <v>223</v>
      </c>
      <c r="C17" s="1092"/>
      <c r="D17" s="473">
        <v>0.6</v>
      </c>
      <c r="E17" s="473">
        <v>0</v>
      </c>
      <c r="F17" s="474">
        <f t="shared" ref="F17:F27" si="0">D17+E17</f>
        <v>0.6</v>
      </c>
      <c r="G17" s="459">
        <f>M17/F17</f>
        <v>0</v>
      </c>
      <c r="H17" s="459">
        <f t="shared" ref="H17:H22" si="1">M17/F17</f>
        <v>0</v>
      </c>
      <c r="I17" s="456"/>
      <c r="J17" s="459">
        <f>F17</f>
        <v>0.6</v>
      </c>
      <c r="K17" s="459">
        <f t="shared" ref="K17:K22" si="2">M17/J17</f>
        <v>0</v>
      </c>
      <c r="M17" s="473">
        <v>0</v>
      </c>
      <c r="N17" s="83"/>
    </row>
    <row r="18" spans="1:16" ht="12.75" hidden="1" customHeight="1" x14ac:dyDescent="0.2">
      <c r="A18" s="469"/>
      <c r="B18" s="1147" t="s">
        <v>124</v>
      </c>
      <c r="C18" s="1148"/>
      <c r="D18" s="735"/>
      <c r="E18" s="1157"/>
      <c r="F18" s="736"/>
      <c r="G18" s="459">
        <f>IF($M$18=0,0,0.25)</f>
        <v>0</v>
      </c>
      <c r="H18" s="459">
        <f>IF($M$18=0,0,0.25)</f>
        <v>0</v>
      </c>
      <c r="I18" s="910"/>
      <c r="J18" s="911"/>
      <c r="K18" s="459">
        <f>G18</f>
        <v>0</v>
      </c>
      <c r="M18" s="473">
        <v>0</v>
      </c>
      <c r="N18" s="83"/>
      <c r="P18" s="2">
        <v>0.16</v>
      </c>
    </row>
    <row r="19" spans="1:16" ht="12.75" hidden="1" customHeight="1" x14ac:dyDescent="0.2">
      <c r="A19" s="469"/>
      <c r="B19" s="1147" t="s">
        <v>368</v>
      </c>
      <c r="C19" s="1148"/>
      <c r="D19" s="472">
        <v>0.26</v>
      </c>
      <c r="E19" s="473">
        <v>0</v>
      </c>
      <c r="F19" s="474">
        <f>D19+E19</f>
        <v>0.26</v>
      </c>
      <c r="G19" s="459">
        <f>M19/F19</f>
        <v>0</v>
      </c>
      <c r="H19" s="459">
        <f t="shared" si="1"/>
        <v>0</v>
      </c>
      <c r="I19" s="456"/>
      <c r="J19" s="459">
        <f>F19</f>
        <v>0.26</v>
      </c>
      <c r="K19" s="459">
        <f t="shared" si="2"/>
        <v>0</v>
      </c>
      <c r="M19" s="473">
        <v>0</v>
      </c>
      <c r="N19" s="83"/>
    </row>
    <row r="20" spans="1:16" ht="12.75" hidden="1" customHeight="1" x14ac:dyDescent="0.2">
      <c r="A20" s="469"/>
      <c r="B20" s="1147" t="s">
        <v>386</v>
      </c>
      <c r="C20" s="1148"/>
      <c r="D20" s="472">
        <v>3.5999999999999997E-2</v>
      </c>
      <c r="E20" s="473">
        <v>0</v>
      </c>
      <c r="F20" s="474">
        <f>D20+E20</f>
        <v>3.5999999999999997E-2</v>
      </c>
      <c r="G20" s="459">
        <f>M20/F20</f>
        <v>0</v>
      </c>
      <c r="H20" s="459">
        <f t="shared" si="1"/>
        <v>0</v>
      </c>
      <c r="I20" s="456"/>
      <c r="J20" s="459">
        <f>F20</f>
        <v>3.5999999999999997E-2</v>
      </c>
      <c r="K20" s="459">
        <f t="shared" si="2"/>
        <v>0</v>
      </c>
      <c r="M20" s="473">
        <v>0</v>
      </c>
      <c r="N20" s="83"/>
    </row>
    <row r="21" spans="1:16" ht="12.75" customHeight="1" x14ac:dyDescent="0.2">
      <c r="A21" s="469"/>
      <c r="B21" s="1147" t="s">
        <v>557</v>
      </c>
      <c r="C21" s="1148"/>
      <c r="D21" s="472">
        <v>0.14000000000000001</v>
      </c>
      <c r="E21" s="473">
        <v>0</v>
      </c>
      <c r="F21" s="474">
        <f>D21+E21</f>
        <v>0.14000000000000001</v>
      </c>
      <c r="G21" s="459">
        <f>M21/F21</f>
        <v>0.15714285714285711</v>
      </c>
      <c r="H21" s="459">
        <f t="shared" si="1"/>
        <v>0.15714285714285711</v>
      </c>
      <c r="I21" s="456"/>
      <c r="J21" s="459">
        <f>F21</f>
        <v>0.14000000000000001</v>
      </c>
      <c r="K21" s="459">
        <f t="shared" si="2"/>
        <v>0.15714285714285711</v>
      </c>
      <c r="M21" s="473">
        <v>2.1999999999999999E-2</v>
      </c>
      <c r="N21" s="83"/>
    </row>
    <row r="22" spans="1:16" ht="12.75" customHeight="1" x14ac:dyDescent="0.2">
      <c r="A22" s="887"/>
      <c r="B22" s="1092" t="s">
        <v>7</v>
      </c>
      <c r="C22" s="1092"/>
      <c r="D22" s="473">
        <v>0.15</v>
      </c>
      <c r="E22" s="473">
        <v>0</v>
      </c>
      <c r="F22" s="474">
        <f t="shared" si="0"/>
        <v>0.15</v>
      </c>
      <c r="G22" s="459"/>
      <c r="H22" s="459">
        <f t="shared" si="1"/>
        <v>1.3333333333333335</v>
      </c>
      <c r="I22" s="465">
        <f>(G11*G9*2)/(G9*G9*2)</f>
        <v>8.3333333333333329E-2</v>
      </c>
      <c r="J22" s="879">
        <f>(I22*F22)+(I23*F23)</f>
        <v>4.6416666666666662E-2</v>
      </c>
      <c r="K22" s="879">
        <f t="shared" si="2"/>
        <v>4.3087971274685826</v>
      </c>
      <c r="M22" s="1108">
        <v>0.2</v>
      </c>
      <c r="N22" s="83"/>
    </row>
    <row r="23" spans="1:16" x14ac:dyDescent="0.2">
      <c r="A23" s="887"/>
      <c r="B23" s="1092" t="s">
        <v>386</v>
      </c>
      <c r="C23" s="1092"/>
      <c r="D23" s="473">
        <v>3.5999999999999997E-2</v>
      </c>
      <c r="E23" s="473">
        <v>1E-3</v>
      </c>
      <c r="F23" s="474">
        <f t="shared" si="0"/>
        <v>3.6999999999999998E-2</v>
      </c>
      <c r="G23" s="459">
        <f>M22/F23</f>
        <v>5.4054054054054061</v>
      </c>
      <c r="H23" s="459"/>
      <c r="I23" s="465">
        <f>(G10*G9*2)/(G9*G9*2)</f>
        <v>0.91666666666666663</v>
      </c>
      <c r="J23" s="879"/>
      <c r="K23" s="879"/>
      <c r="M23" s="1108"/>
      <c r="N23" s="83"/>
    </row>
    <row r="24" spans="1:16" ht="12.75" hidden="1" customHeight="1" x14ac:dyDescent="0.2">
      <c r="A24" s="887"/>
      <c r="B24" s="1092" t="s">
        <v>7</v>
      </c>
      <c r="C24" s="1092"/>
      <c r="D24" s="472">
        <v>0.13</v>
      </c>
      <c r="E24" s="530">
        <v>0</v>
      </c>
      <c r="F24" s="474">
        <f t="shared" si="0"/>
        <v>0.13</v>
      </c>
      <c r="G24" s="459"/>
      <c r="H24" s="459">
        <f>M24/F24</f>
        <v>0</v>
      </c>
      <c r="I24" s="459">
        <f>(G11*G9*2)/(G9*G9*2)</f>
        <v>8.3333333333333329E-2</v>
      </c>
      <c r="J24" s="879">
        <f>F25</f>
        <v>0.7</v>
      </c>
      <c r="K24" s="879">
        <f>M24/J24</f>
        <v>0</v>
      </c>
      <c r="M24" s="1108">
        <v>0</v>
      </c>
      <c r="N24" s="83"/>
    </row>
    <row r="25" spans="1:16" ht="12.75" hidden="1" customHeight="1" x14ac:dyDescent="0.2">
      <c r="A25" s="887"/>
      <c r="B25" s="1092" t="s">
        <v>273</v>
      </c>
      <c r="C25" s="1092"/>
      <c r="D25" s="472">
        <v>0.7</v>
      </c>
      <c r="E25" s="530">
        <v>0</v>
      </c>
      <c r="F25" s="474">
        <f t="shared" si="0"/>
        <v>0.7</v>
      </c>
      <c r="G25" s="459">
        <f>M24/F25</f>
        <v>0</v>
      </c>
      <c r="H25" s="459">
        <f>M24/F25</f>
        <v>0</v>
      </c>
      <c r="I25" s="459"/>
      <c r="J25" s="879"/>
      <c r="K25" s="879"/>
      <c r="M25" s="1108"/>
      <c r="N25" s="83"/>
    </row>
    <row r="26" spans="1:16" hidden="1" x14ac:dyDescent="0.2">
      <c r="A26" s="367"/>
      <c r="B26" s="1092" t="s">
        <v>124</v>
      </c>
      <c r="C26" s="1092"/>
      <c r="D26" s="473">
        <v>0.3</v>
      </c>
      <c r="E26" s="473">
        <v>0</v>
      </c>
      <c r="F26" s="474">
        <f t="shared" si="0"/>
        <v>0.3</v>
      </c>
      <c r="G26" s="459">
        <f>M26/F26</f>
        <v>0</v>
      </c>
      <c r="H26" s="459"/>
      <c r="I26" s="456"/>
      <c r="J26" s="477">
        <f>F26</f>
        <v>0.3</v>
      </c>
      <c r="K26" s="477">
        <f>M26/J26</f>
        <v>0</v>
      </c>
      <c r="M26" s="473">
        <v>0</v>
      </c>
      <c r="N26" s="83"/>
    </row>
    <row r="27" spans="1:16" hidden="1" x14ac:dyDescent="0.2">
      <c r="A27" s="367"/>
      <c r="B27" s="1092" t="s">
        <v>402</v>
      </c>
      <c r="C27" s="1092"/>
      <c r="D27" s="472">
        <v>0.15</v>
      </c>
      <c r="E27" s="473">
        <v>0</v>
      </c>
      <c r="F27" s="474">
        <f t="shared" si="0"/>
        <v>0.15</v>
      </c>
      <c r="G27" s="459">
        <f>M27/F27</f>
        <v>0.12</v>
      </c>
      <c r="H27" s="459">
        <f>M27/F27</f>
        <v>0.12</v>
      </c>
      <c r="I27" s="456"/>
      <c r="J27" s="459">
        <f>F27</f>
        <v>0.15</v>
      </c>
      <c r="K27" s="477">
        <f>M27/J27</f>
        <v>0.12</v>
      </c>
      <c r="M27" s="473">
        <v>1.7999999999999999E-2</v>
      </c>
      <c r="N27" s="83"/>
    </row>
    <row r="28" spans="1:16" hidden="1" x14ac:dyDescent="0.2">
      <c r="A28" s="367"/>
      <c r="B28" s="1092" t="s">
        <v>402</v>
      </c>
      <c r="C28" s="1092"/>
      <c r="D28" s="473">
        <v>0.6</v>
      </c>
      <c r="E28" s="473">
        <v>0</v>
      </c>
      <c r="F28" s="474">
        <f>D28+E28</f>
        <v>0.6</v>
      </c>
      <c r="G28" s="459">
        <f>M28/F28</f>
        <v>0</v>
      </c>
      <c r="H28" s="459">
        <f>M28/F28</f>
        <v>0</v>
      </c>
      <c r="I28" s="456"/>
      <c r="J28" s="459">
        <f>F28</f>
        <v>0.6</v>
      </c>
      <c r="K28" s="477">
        <f>M28/J28</f>
        <v>0</v>
      </c>
      <c r="M28" s="473">
        <v>0</v>
      </c>
      <c r="N28" s="83"/>
    </row>
    <row r="29" spans="1:16" hidden="1" x14ac:dyDescent="0.2">
      <c r="A29" s="86"/>
      <c r="F29" s="349"/>
      <c r="G29" s="459">
        <f>SUM(G17:G28)+I5+I6+I7</f>
        <v>6.1225482625482632</v>
      </c>
      <c r="H29" s="459">
        <f>SUM(H17:H28)+I5+I6+I7</f>
        <v>2.0504761904761906</v>
      </c>
      <c r="I29" s="935"/>
      <c r="J29" s="935"/>
      <c r="K29" s="935"/>
      <c r="N29" s="83"/>
    </row>
    <row r="30" spans="1:16" ht="12.75" customHeight="1" x14ac:dyDescent="0.2">
      <c r="A30" s="86"/>
      <c r="C30" s="343"/>
      <c r="D30" s="377"/>
      <c r="E30" s="377"/>
      <c r="F30" s="377"/>
      <c r="G30" s="879">
        <f>ROUND((G14*G29)+(H14*H29),3)</f>
        <v>5.7830000000000004</v>
      </c>
      <c r="H30" s="879"/>
      <c r="I30" s="936">
        <f>SUM(K17:K28)+I5+I6+I7</f>
        <v>5.0259399846114396</v>
      </c>
      <c r="J30" s="936"/>
      <c r="K30" s="936"/>
      <c r="N30" s="83"/>
    </row>
    <row r="31" spans="1:16" ht="4.5" customHeight="1" x14ac:dyDescent="0.2">
      <c r="A31" s="86"/>
      <c r="C31" s="378"/>
      <c r="D31" s="379"/>
      <c r="E31" s="377"/>
      <c r="F31" s="377"/>
      <c r="G31" s="380"/>
      <c r="H31" s="380"/>
      <c r="I31" s="380"/>
      <c r="J31" s="380"/>
      <c r="K31" s="380"/>
      <c r="M31" s="343"/>
      <c r="N31" s="83"/>
    </row>
    <row r="32" spans="1:16" ht="12.75" customHeight="1" x14ac:dyDescent="0.2">
      <c r="A32" s="86"/>
      <c r="K32" s="349" t="s">
        <v>106</v>
      </c>
      <c r="M32" s="350">
        <f>SUM(M17:M28)*1000</f>
        <v>240</v>
      </c>
      <c r="N32" s="384" t="s">
        <v>120</v>
      </c>
    </row>
    <row r="33" spans="1:21" ht="7.15" customHeight="1" x14ac:dyDescent="0.2">
      <c r="A33" s="86"/>
      <c r="N33" s="83"/>
    </row>
    <row r="34" spans="1:21" ht="21" x14ac:dyDescent="0.2">
      <c r="A34" s="86"/>
      <c r="E34" s="902" t="s">
        <v>93</v>
      </c>
      <c r="F34" s="902"/>
      <c r="G34" s="902"/>
      <c r="H34" s="903">
        <f>ROUND(1/((G30+I30)/2),3)</f>
        <v>0.185</v>
      </c>
      <c r="I34" s="904"/>
      <c r="J34" s="905" t="s">
        <v>306</v>
      </c>
      <c r="K34" s="906"/>
      <c r="N34" s="83"/>
    </row>
    <row r="35" spans="1:21" ht="17.45" customHeight="1" x14ac:dyDescent="0.2">
      <c r="A35" s="87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9"/>
    </row>
    <row r="36" spans="1:21" ht="8.4499999999999993" customHeight="1" x14ac:dyDescent="0.2"/>
    <row r="37" spans="1:21" ht="9" customHeight="1" x14ac:dyDescent="0.35">
      <c r="A37" s="78"/>
      <c r="B37" s="79"/>
      <c r="C37" s="79"/>
      <c r="D37" s="79"/>
      <c r="E37" s="79"/>
      <c r="F37" s="79"/>
      <c r="G37" s="79"/>
      <c r="H37" s="79"/>
      <c r="I37" s="79"/>
      <c r="J37" s="80"/>
      <c r="K37" s="80"/>
      <c r="L37" s="99"/>
      <c r="M37" s="99"/>
      <c r="N37" s="81"/>
    </row>
    <row r="38" spans="1:21" ht="23.45" customHeight="1" x14ac:dyDescent="0.2">
      <c r="A38" s="354"/>
      <c r="B38" s="387"/>
      <c r="C38" s="868" t="s">
        <v>528</v>
      </c>
      <c r="D38" s="868"/>
      <c r="E38" s="868"/>
      <c r="F38" s="868"/>
      <c r="G38" s="868"/>
      <c r="H38" s="868"/>
      <c r="I38" s="868"/>
      <c r="J38" s="868"/>
      <c r="K38" s="868"/>
      <c r="L38" s="868"/>
      <c r="M38" s="869"/>
      <c r="N38" s="83"/>
    </row>
    <row r="39" spans="1:21" ht="7.15" customHeight="1" x14ac:dyDescent="0.2">
      <c r="A39" s="354"/>
      <c r="B39" s="355"/>
      <c r="C39" s="341"/>
      <c r="D39" s="356"/>
      <c r="E39" s="356"/>
      <c r="F39" s="356"/>
      <c r="G39" s="356"/>
      <c r="H39" s="356"/>
      <c r="I39" s="356"/>
      <c r="J39" s="356"/>
      <c r="N39" s="83"/>
      <c r="R39" s="495" t="s">
        <v>262</v>
      </c>
      <c r="U39" s="495">
        <v>3.5999999999999997E-2</v>
      </c>
    </row>
    <row r="40" spans="1:21" ht="15" customHeight="1" x14ac:dyDescent="0.25">
      <c r="A40" s="354"/>
      <c r="B40" s="1156" t="s">
        <v>307</v>
      </c>
      <c r="C40" s="1156"/>
      <c r="D40" s="1156"/>
      <c r="E40" s="1156"/>
      <c r="F40" s="1156"/>
      <c r="G40" s="1156"/>
      <c r="H40" s="357" t="s">
        <v>308</v>
      </c>
      <c r="I40" s="872">
        <v>0.1</v>
      </c>
      <c r="J40" s="873"/>
      <c r="K40" s="399"/>
      <c r="N40" s="83"/>
      <c r="R40" s="496" t="s">
        <v>274</v>
      </c>
      <c r="U40" s="496">
        <v>4.1000000000000002E-2</v>
      </c>
    </row>
    <row r="41" spans="1:21" ht="15" x14ac:dyDescent="0.25">
      <c r="A41" s="354"/>
      <c r="B41" s="1156"/>
      <c r="C41" s="1156"/>
      <c r="D41" s="1156"/>
      <c r="E41" s="1156"/>
      <c r="F41" s="1156"/>
      <c r="G41" s="1156"/>
      <c r="H41" s="341" t="s">
        <v>301</v>
      </c>
      <c r="I41" s="872">
        <v>0.04</v>
      </c>
      <c r="J41" s="873"/>
      <c r="N41" s="83"/>
      <c r="R41" s="496" t="s">
        <v>386</v>
      </c>
      <c r="U41" s="496">
        <v>3.6999999999999998E-2</v>
      </c>
    </row>
    <row r="42" spans="1:21" ht="15" x14ac:dyDescent="0.25">
      <c r="A42" s="354"/>
      <c r="B42" s="1156"/>
      <c r="C42" s="1156"/>
      <c r="D42" s="1156"/>
      <c r="E42" s="1156"/>
      <c r="F42" s="1156"/>
      <c r="G42" s="1156"/>
      <c r="H42" s="341" t="s">
        <v>323</v>
      </c>
      <c r="I42" s="1096">
        <v>0.3</v>
      </c>
      <c r="J42" s="1097"/>
      <c r="N42" s="83"/>
      <c r="R42" s="496"/>
      <c r="U42" s="496"/>
    </row>
    <row r="43" spans="1:21" ht="6.6" customHeight="1" x14ac:dyDescent="0.25">
      <c r="A43" s="354"/>
      <c r="B43" s="355"/>
      <c r="C43" s="341"/>
      <c r="D43" s="341"/>
      <c r="E43" s="341"/>
      <c r="F43" s="341"/>
      <c r="G43" s="892"/>
      <c r="H43" s="892"/>
      <c r="I43" s="341"/>
      <c r="J43" s="359"/>
      <c r="N43" s="83"/>
      <c r="R43" s="496"/>
      <c r="U43" s="496"/>
    </row>
    <row r="44" spans="1:21" ht="15" customHeight="1" x14ac:dyDescent="0.25">
      <c r="A44" s="354"/>
      <c r="B44" s="355"/>
      <c r="C44" s="882" t="s">
        <v>8</v>
      </c>
      <c r="D44" s="882"/>
      <c r="E44" s="882"/>
      <c r="F44" s="882"/>
      <c r="G44" s="1108">
        <v>0.6</v>
      </c>
      <c r="H44" s="1108"/>
      <c r="I44" s="341"/>
      <c r="J44" s="359"/>
      <c r="N44" s="83"/>
      <c r="R44" s="496"/>
      <c r="U44" s="496"/>
    </row>
    <row r="45" spans="1:21" ht="15" customHeight="1" x14ac:dyDescent="0.25">
      <c r="A45" s="354"/>
      <c r="B45" s="891" t="s">
        <v>311</v>
      </c>
      <c r="C45" s="891"/>
      <c r="D45" s="891"/>
      <c r="E45" s="891"/>
      <c r="F45" s="891"/>
      <c r="G45" s="880">
        <f>G44-G46</f>
        <v>0.54999999999999993</v>
      </c>
      <c r="H45" s="880"/>
      <c r="I45" s="341"/>
      <c r="J45" s="359"/>
      <c r="N45" s="83"/>
      <c r="R45" s="496"/>
      <c r="U45" s="496"/>
    </row>
    <row r="46" spans="1:21" ht="15" x14ac:dyDescent="0.25">
      <c r="A46" s="354"/>
      <c r="B46" s="891"/>
      <c r="C46" s="891"/>
      <c r="D46" s="891"/>
      <c r="E46" s="891"/>
      <c r="F46" s="891"/>
      <c r="G46" s="1108">
        <v>0.05</v>
      </c>
      <c r="H46" s="1108"/>
      <c r="I46" s="341"/>
      <c r="J46" s="359"/>
      <c r="N46" s="83"/>
      <c r="R46" s="496"/>
      <c r="U46" s="496"/>
    </row>
    <row r="47" spans="1:21" ht="8.4499999999999993" customHeight="1" x14ac:dyDescent="0.2">
      <c r="A47" s="881"/>
      <c r="B47" s="882"/>
      <c r="C47" s="883"/>
      <c r="D47" s="883"/>
      <c r="E47" s="883"/>
      <c r="F47" s="883"/>
      <c r="G47" s="884"/>
      <c r="H47" s="884"/>
      <c r="I47" s="360"/>
      <c r="J47" s="360"/>
      <c r="K47" s="360"/>
      <c r="N47" s="83"/>
      <c r="R47" s="496"/>
      <c r="U47" s="496"/>
    </row>
    <row r="48" spans="1:21" x14ac:dyDescent="0.2">
      <c r="A48" s="890"/>
      <c r="B48" s="891"/>
      <c r="C48" s="883"/>
      <c r="D48" s="883"/>
      <c r="E48" s="361"/>
      <c r="F48" s="361"/>
      <c r="G48" s="467" t="s">
        <v>0</v>
      </c>
      <c r="H48" s="467" t="s">
        <v>1</v>
      </c>
      <c r="I48" s="466"/>
      <c r="J48" s="364"/>
      <c r="K48" s="364"/>
      <c r="N48" s="83"/>
      <c r="R48" s="496"/>
      <c r="U48" s="496"/>
    </row>
    <row r="49" spans="1:21" x14ac:dyDescent="0.2">
      <c r="A49" s="887" t="s">
        <v>312</v>
      </c>
      <c r="B49" s="888"/>
      <c r="C49" s="888"/>
      <c r="D49" s="888"/>
      <c r="E49" s="888"/>
      <c r="F49" s="888"/>
      <c r="G49" s="476">
        <f>G45/G44</f>
        <v>0.91666666666666663</v>
      </c>
      <c r="H49" s="476">
        <f>G46/G44</f>
        <v>8.3333333333333343E-2</v>
      </c>
      <c r="I49" s="457"/>
      <c r="J49" s="364"/>
      <c r="K49" s="364"/>
      <c r="N49" s="83"/>
      <c r="R49" s="496"/>
      <c r="U49" s="496"/>
    </row>
    <row r="50" spans="1:21" ht="26.25" customHeight="1" x14ac:dyDescent="0.2">
      <c r="A50" s="367"/>
      <c r="B50" s="368"/>
      <c r="C50" s="368"/>
      <c r="D50" s="368"/>
      <c r="E50" s="368"/>
      <c r="F50" s="368"/>
      <c r="G50" s="889" t="s">
        <v>313</v>
      </c>
      <c r="H50" s="889"/>
      <c r="I50" s="889" t="s">
        <v>314</v>
      </c>
      <c r="J50" s="889"/>
      <c r="K50" s="889"/>
      <c r="N50" s="83"/>
      <c r="R50" s="497"/>
      <c r="U50" s="497"/>
    </row>
    <row r="51" spans="1:21" ht="24.75" customHeight="1" x14ac:dyDescent="0.2">
      <c r="A51" s="369"/>
      <c r="B51" s="907" t="s">
        <v>6</v>
      </c>
      <c r="C51" s="907"/>
      <c r="D51" s="470" t="s">
        <v>315</v>
      </c>
      <c r="E51" s="470" t="s">
        <v>303</v>
      </c>
      <c r="F51" s="470" t="s">
        <v>316</v>
      </c>
      <c r="G51" s="470" t="s">
        <v>317</v>
      </c>
      <c r="H51" s="470" t="s">
        <v>318</v>
      </c>
      <c r="I51" s="471" t="s">
        <v>4</v>
      </c>
      <c r="J51" s="470" t="s">
        <v>119</v>
      </c>
      <c r="K51" s="470" t="s">
        <v>321</v>
      </c>
      <c r="M51" s="458" t="s">
        <v>324</v>
      </c>
      <c r="N51" s="83"/>
    </row>
    <row r="52" spans="1:21" ht="12.75" customHeight="1" x14ac:dyDescent="0.2">
      <c r="A52" s="469"/>
      <c r="B52" s="1092" t="s">
        <v>529</v>
      </c>
      <c r="C52" s="1092"/>
      <c r="D52" s="472">
        <v>0.15</v>
      </c>
      <c r="E52" s="473">
        <v>0</v>
      </c>
      <c r="F52" s="474">
        <f>D52+E52</f>
        <v>0.15</v>
      </c>
      <c r="G52" s="459">
        <f>M52/F52</f>
        <v>0.16666666666666669</v>
      </c>
      <c r="H52" s="459">
        <f>M52/F52</f>
        <v>0.16666666666666669</v>
      </c>
      <c r="I52" s="456"/>
      <c r="J52" s="459">
        <f>F52</f>
        <v>0.15</v>
      </c>
      <c r="K52" s="459">
        <f>M52/J52</f>
        <v>0.16666666666666669</v>
      </c>
      <c r="M52" s="473">
        <v>2.5000000000000001E-2</v>
      </c>
      <c r="N52" s="83"/>
    </row>
    <row r="53" spans="1:21" ht="12.75" customHeight="1" x14ac:dyDescent="0.2">
      <c r="A53" s="469"/>
      <c r="B53" s="1147" t="s">
        <v>124</v>
      </c>
      <c r="C53" s="1148"/>
      <c r="D53" s="735"/>
      <c r="E53" s="1157"/>
      <c r="F53" s="736"/>
      <c r="G53" s="459">
        <f>IF(M53=0,0,P53)</f>
        <v>0</v>
      </c>
      <c r="H53" s="459">
        <f>IF(M53=0,0,P53)</f>
        <v>0</v>
      </c>
      <c r="I53" s="910"/>
      <c r="J53" s="911"/>
      <c r="K53" s="459">
        <f>IF(M53=0,0,P53)</f>
        <v>0</v>
      </c>
      <c r="M53" s="473">
        <v>0</v>
      </c>
      <c r="N53" s="83"/>
      <c r="P53" s="2">
        <v>0.16</v>
      </c>
    </row>
    <row r="54" spans="1:21" ht="12.75" customHeight="1" x14ac:dyDescent="0.2">
      <c r="A54" s="469"/>
      <c r="B54" s="1147" t="s">
        <v>420</v>
      </c>
      <c r="C54" s="1148"/>
      <c r="D54" s="472">
        <v>1.7</v>
      </c>
      <c r="E54" s="473">
        <v>0</v>
      </c>
      <c r="F54" s="474">
        <f t="shared" ref="F54:F60" si="3">D54+E54</f>
        <v>1.7</v>
      </c>
      <c r="G54" s="459">
        <f>M54/F54</f>
        <v>0</v>
      </c>
      <c r="H54" s="459">
        <f>M54/F54</f>
        <v>0</v>
      </c>
      <c r="I54" s="456"/>
      <c r="J54" s="459">
        <f>F54</f>
        <v>1.7</v>
      </c>
      <c r="K54" s="459">
        <f>M54/J54</f>
        <v>0</v>
      </c>
      <c r="M54" s="473"/>
      <c r="N54" s="83"/>
    </row>
    <row r="55" spans="1:21" ht="12.75" customHeight="1" x14ac:dyDescent="0.2">
      <c r="A55" s="469"/>
      <c r="B55" s="1147" t="s">
        <v>386</v>
      </c>
      <c r="C55" s="1148"/>
      <c r="D55" s="472">
        <v>4.1000000000000002E-2</v>
      </c>
      <c r="E55" s="473">
        <v>8.0000000000000002E-3</v>
      </c>
      <c r="F55" s="474">
        <f t="shared" si="3"/>
        <v>4.9000000000000002E-2</v>
      </c>
      <c r="G55" s="459">
        <f>M55/F55</f>
        <v>0</v>
      </c>
      <c r="H55" s="459">
        <f>M55/F55</f>
        <v>0</v>
      </c>
      <c r="I55" s="456"/>
      <c r="J55" s="459">
        <f>F55</f>
        <v>4.9000000000000002E-2</v>
      </c>
      <c r="K55" s="459">
        <f>M55/J55</f>
        <v>0</v>
      </c>
      <c r="M55" s="473"/>
      <c r="N55" s="83"/>
    </row>
    <row r="56" spans="1:21" ht="12.75" customHeight="1" x14ac:dyDescent="0.2">
      <c r="A56" s="469"/>
      <c r="B56" s="1147" t="s">
        <v>365</v>
      </c>
      <c r="C56" s="1148"/>
      <c r="D56" s="472">
        <v>0.13</v>
      </c>
      <c r="E56" s="473">
        <v>0</v>
      </c>
      <c r="F56" s="474">
        <f t="shared" si="3"/>
        <v>0.13</v>
      </c>
      <c r="G56" s="459">
        <f>M56/F56</f>
        <v>0</v>
      </c>
      <c r="H56" s="459">
        <f>M56/F56</f>
        <v>0</v>
      </c>
      <c r="I56" s="456"/>
      <c r="J56" s="459">
        <f>F56</f>
        <v>0.13</v>
      </c>
      <c r="K56" s="459">
        <f>M56/J56</f>
        <v>0</v>
      </c>
      <c r="M56" s="473">
        <v>0</v>
      </c>
      <c r="N56" s="83"/>
    </row>
    <row r="57" spans="1:21" ht="12.75" customHeight="1" x14ac:dyDescent="0.2">
      <c r="A57" s="887"/>
      <c r="B57" s="1092" t="s">
        <v>7</v>
      </c>
      <c r="C57" s="1092"/>
      <c r="D57" s="472">
        <v>0.13</v>
      </c>
      <c r="E57" s="473">
        <v>0</v>
      </c>
      <c r="F57" s="474">
        <f t="shared" si="3"/>
        <v>0.13</v>
      </c>
      <c r="G57" s="459"/>
      <c r="H57" s="459">
        <f>M57/F57</f>
        <v>2.3076923076923075</v>
      </c>
      <c r="I57" s="465">
        <f>(G46*G44*2)/(G44*G44*2)</f>
        <v>8.3333333333333329E-2</v>
      </c>
      <c r="J57" s="879">
        <f>(I57*F57)+(I58*F58)</f>
        <v>4.7500000000000001E-2</v>
      </c>
      <c r="K57" s="879">
        <f>M57/J57</f>
        <v>6.3157894736842106</v>
      </c>
      <c r="M57" s="1108">
        <v>0.3</v>
      </c>
      <c r="N57" s="83"/>
    </row>
    <row r="58" spans="1:21" x14ac:dyDescent="0.2">
      <c r="A58" s="887"/>
      <c r="B58" s="1092" t="s">
        <v>262</v>
      </c>
      <c r="C58" s="1092"/>
      <c r="D58" s="475">
        <v>0.04</v>
      </c>
      <c r="E58" s="473">
        <v>0</v>
      </c>
      <c r="F58" s="474">
        <f t="shared" si="3"/>
        <v>0.04</v>
      </c>
      <c r="G58" s="459">
        <f>M57/F58</f>
        <v>7.5</v>
      </c>
      <c r="H58" s="459"/>
      <c r="I58" s="465">
        <f>(G45*G44*2)/(G44*G44*2)</f>
        <v>0.91666666666666663</v>
      </c>
      <c r="J58" s="879"/>
      <c r="K58" s="879"/>
      <c r="M58" s="1108"/>
      <c r="N58" s="83"/>
    </row>
    <row r="59" spans="1:21" ht="12.75" customHeight="1" x14ac:dyDescent="0.2">
      <c r="A59" s="887"/>
      <c r="B59" s="1092" t="s">
        <v>7</v>
      </c>
      <c r="C59" s="1092"/>
      <c r="D59" s="472">
        <v>0.13</v>
      </c>
      <c r="E59" s="530">
        <v>0</v>
      </c>
      <c r="F59" s="474">
        <f t="shared" si="3"/>
        <v>0.13</v>
      </c>
      <c r="G59" s="459"/>
      <c r="H59" s="459">
        <f>M59/F59</f>
        <v>0</v>
      </c>
      <c r="I59" s="459">
        <f>(G46*G44*2)/(G44*G44*2)</f>
        <v>8.3333333333333329E-2</v>
      </c>
      <c r="J59" s="879">
        <f>F60</f>
        <v>0.7</v>
      </c>
      <c r="K59" s="879">
        <f>M59/J59</f>
        <v>0</v>
      </c>
      <c r="M59" s="1108">
        <v>0</v>
      </c>
      <c r="N59" s="83"/>
    </row>
    <row r="60" spans="1:21" ht="12.75" customHeight="1" x14ac:dyDescent="0.2">
      <c r="A60" s="887"/>
      <c r="B60" s="1092" t="s">
        <v>273</v>
      </c>
      <c r="C60" s="1092"/>
      <c r="D60" s="472">
        <v>0.7</v>
      </c>
      <c r="E60" s="530">
        <v>0</v>
      </c>
      <c r="F60" s="474">
        <f t="shared" si="3"/>
        <v>0.7</v>
      </c>
      <c r="G60" s="459">
        <f>M59/F60</f>
        <v>0</v>
      </c>
      <c r="H60" s="459">
        <f>M59/F60</f>
        <v>0</v>
      </c>
      <c r="I60" s="459"/>
      <c r="J60" s="879"/>
      <c r="K60" s="879"/>
      <c r="M60" s="1108"/>
      <c r="N60" s="83"/>
    </row>
    <row r="61" spans="1:21" x14ac:dyDescent="0.2">
      <c r="A61" s="367"/>
      <c r="B61" s="1092" t="s">
        <v>124</v>
      </c>
      <c r="C61" s="1092"/>
      <c r="D61" s="472">
        <v>0</v>
      </c>
      <c r="E61" s="530">
        <v>0</v>
      </c>
      <c r="F61" s="474">
        <v>0</v>
      </c>
      <c r="G61" s="459"/>
      <c r="H61" s="459"/>
      <c r="I61" s="456"/>
      <c r="J61" s="477">
        <f>F61</f>
        <v>0</v>
      </c>
      <c r="K61" s="477">
        <v>0</v>
      </c>
      <c r="M61" s="473">
        <v>0</v>
      </c>
      <c r="N61" s="83"/>
    </row>
    <row r="62" spans="1:21" x14ac:dyDescent="0.2">
      <c r="A62" s="367"/>
      <c r="B62" s="1092" t="s">
        <v>526</v>
      </c>
      <c r="C62" s="1092"/>
      <c r="D62" s="472">
        <v>5.2999999999999999E-2</v>
      </c>
      <c r="E62" s="473">
        <v>0</v>
      </c>
      <c r="F62" s="474">
        <f>D62</f>
        <v>5.2999999999999999E-2</v>
      </c>
      <c r="G62" s="459">
        <f>M62/F62</f>
        <v>0.94339622641509446</v>
      </c>
      <c r="H62" s="459">
        <f>M62/F62</f>
        <v>0.94339622641509446</v>
      </c>
      <c r="I62" s="456"/>
      <c r="J62" s="459">
        <f>F62</f>
        <v>5.2999999999999999E-2</v>
      </c>
      <c r="K62" s="477">
        <f>M62/J62</f>
        <v>0.94339622641509446</v>
      </c>
      <c r="M62" s="473">
        <v>0.05</v>
      </c>
      <c r="N62" s="83"/>
    </row>
    <row r="63" spans="1:21" x14ac:dyDescent="0.2">
      <c r="A63" s="367"/>
      <c r="B63" s="1092" t="s">
        <v>402</v>
      </c>
      <c r="C63" s="1092"/>
      <c r="D63" s="472">
        <v>0.26</v>
      </c>
      <c r="E63" s="473">
        <v>0</v>
      </c>
      <c r="F63" s="474">
        <f>D63+E63</f>
        <v>0.26</v>
      </c>
      <c r="G63" s="459">
        <f>M63/F63</f>
        <v>9.6153846153846159E-2</v>
      </c>
      <c r="H63" s="459">
        <f>M63/F63</f>
        <v>9.6153846153846159E-2</v>
      </c>
      <c r="I63" s="456"/>
      <c r="J63" s="459">
        <f>F63</f>
        <v>0.26</v>
      </c>
      <c r="K63" s="477">
        <f>M63/J63</f>
        <v>9.6153846153846159E-2</v>
      </c>
      <c r="M63" s="473">
        <v>2.5000000000000001E-2</v>
      </c>
      <c r="N63" s="83"/>
    </row>
    <row r="64" spans="1:21" x14ac:dyDescent="0.2">
      <c r="A64" s="86"/>
      <c r="F64" s="349"/>
      <c r="G64" s="459">
        <f>SUM(G52:G63)+I40+I41+I42</f>
        <v>9.1462167392356069</v>
      </c>
      <c r="H64" s="459">
        <f>SUM(H52:H63)+I40+I41+I42</f>
        <v>3.9539090469279148</v>
      </c>
      <c r="I64" s="935"/>
      <c r="J64" s="935"/>
      <c r="K64" s="935"/>
      <c r="N64" s="83"/>
    </row>
    <row r="65" spans="1:14" ht="12.75" customHeight="1" x14ac:dyDescent="0.2">
      <c r="A65" s="86"/>
      <c r="C65" s="343"/>
      <c r="D65" s="377"/>
      <c r="E65" s="377"/>
      <c r="F65" s="377"/>
      <c r="G65" s="879">
        <f>ROUND((G49*G64)+(H49*H64),3)</f>
        <v>8.7140000000000004</v>
      </c>
      <c r="H65" s="879"/>
      <c r="I65" s="936">
        <f>SUM(K52:K63)+I40+I41+I42</f>
        <v>7.9620062129198175</v>
      </c>
      <c r="J65" s="936"/>
      <c r="K65" s="936"/>
      <c r="N65" s="83"/>
    </row>
    <row r="66" spans="1:14" ht="4.5" customHeight="1" x14ac:dyDescent="0.2">
      <c r="A66" s="86"/>
      <c r="C66" s="378"/>
      <c r="D66" s="379"/>
      <c r="E66" s="377"/>
      <c r="F66" s="377"/>
      <c r="G66" s="380"/>
      <c r="H66" s="380"/>
      <c r="I66" s="380"/>
      <c r="J66" s="380"/>
      <c r="K66" s="380"/>
      <c r="M66" s="343"/>
      <c r="N66" s="83"/>
    </row>
    <row r="67" spans="1:14" ht="12.75" customHeight="1" x14ac:dyDescent="0.2">
      <c r="A67" s="86"/>
      <c r="K67" s="349" t="s">
        <v>106</v>
      </c>
      <c r="M67" s="381">
        <f>SUM(M52:M63)*1000</f>
        <v>400</v>
      </c>
      <c r="N67" s="384" t="s">
        <v>120</v>
      </c>
    </row>
    <row r="68" spans="1:14" ht="7.15" customHeight="1" x14ac:dyDescent="0.2">
      <c r="A68" s="86"/>
      <c r="N68" s="83"/>
    </row>
    <row r="69" spans="1:14" ht="15.75" x14ac:dyDescent="0.2">
      <c r="A69" s="86"/>
      <c r="E69" s="902" t="s">
        <v>93</v>
      </c>
      <c r="F69" s="902"/>
      <c r="G69" s="902"/>
      <c r="H69" s="1094">
        <f>ROUND(1/((G65+I65)/2),3)</f>
        <v>0.12</v>
      </c>
      <c r="I69" s="1095"/>
      <c r="J69" s="905" t="s">
        <v>306</v>
      </c>
      <c r="K69" s="906"/>
      <c r="N69" s="83"/>
    </row>
    <row r="70" spans="1:14" ht="17.45" customHeight="1" x14ac:dyDescent="0.2">
      <c r="A70" s="87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9"/>
    </row>
    <row r="74" spans="1:14" ht="12.6" customHeight="1" x14ac:dyDescent="0.2"/>
  </sheetData>
  <mergeCells count="99">
    <mergeCell ref="E69:G69"/>
    <mergeCell ref="H69:I69"/>
    <mergeCell ref="J69:K69"/>
    <mergeCell ref="B61:C61"/>
    <mergeCell ref="B62:C62"/>
    <mergeCell ref="B63:C63"/>
    <mergeCell ref="I65:K65"/>
    <mergeCell ref="I64:K64"/>
    <mergeCell ref="G65:H65"/>
    <mergeCell ref="B59:C59"/>
    <mergeCell ref="J57:J58"/>
    <mergeCell ref="K57:K58"/>
    <mergeCell ref="M57:M58"/>
    <mergeCell ref="A59:A60"/>
    <mergeCell ref="J59:J60"/>
    <mergeCell ref="K59:K60"/>
    <mergeCell ref="M59:M60"/>
    <mergeCell ref="B60:C60"/>
    <mergeCell ref="G50:H50"/>
    <mergeCell ref="I50:K50"/>
    <mergeCell ref="B51:C51"/>
    <mergeCell ref="D53:F53"/>
    <mergeCell ref="I53:J53"/>
    <mergeCell ref="A48:B48"/>
    <mergeCell ref="C48:D48"/>
    <mergeCell ref="A49:F49"/>
    <mergeCell ref="B52:C52"/>
    <mergeCell ref="B53:C53"/>
    <mergeCell ref="G45:H45"/>
    <mergeCell ref="G46:H46"/>
    <mergeCell ref="G47:H47"/>
    <mergeCell ref="B45:F46"/>
    <mergeCell ref="A47:B47"/>
    <mergeCell ref="C47:D47"/>
    <mergeCell ref="E47:F47"/>
    <mergeCell ref="A22:A23"/>
    <mergeCell ref="B22:C22"/>
    <mergeCell ref="J22:J23"/>
    <mergeCell ref="A24:A25"/>
    <mergeCell ref="I30:K30"/>
    <mergeCell ref="K1:N1"/>
    <mergeCell ref="C3:M3"/>
    <mergeCell ref="I15:K15"/>
    <mergeCell ref="B16:C16"/>
    <mergeCell ref="B17:C17"/>
    <mergeCell ref="A13:B13"/>
    <mergeCell ref="C13:D13"/>
    <mergeCell ref="A14:F14"/>
    <mergeCell ref="G8:H8"/>
    <mergeCell ref="G15:H15"/>
    <mergeCell ref="A12:B12"/>
    <mergeCell ref="C12:D12"/>
    <mergeCell ref="B10:F11"/>
    <mergeCell ref="B20:C20"/>
    <mergeCell ref="B21:C21"/>
    <mergeCell ref="B18:C18"/>
    <mergeCell ref="M22:M23"/>
    <mergeCell ref="H34:I34"/>
    <mergeCell ref="J24:J25"/>
    <mergeCell ref="K24:K25"/>
    <mergeCell ref="E34:G34"/>
    <mergeCell ref="J34:K34"/>
    <mergeCell ref="B24:C24"/>
    <mergeCell ref="B25:C25"/>
    <mergeCell ref="B26:C26"/>
    <mergeCell ref="B27:C27"/>
    <mergeCell ref="B28:C28"/>
    <mergeCell ref="I29:K29"/>
    <mergeCell ref="G30:H30"/>
    <mergeCell ref="D18:F18"/>
    <mergeCell ref="I18:J18"/>
    <mergeCell ref="B5:G7"/>
    <mergeCell ref="B19:C19"/>
    <mergeCell ref="M24:M25"/>
    <mergeCell ref="K22:K23"/>
    <mergeCell ref="B23:C23"/>
    <mergeCell ref="I5:J5"/>
    <mergeCell ref="I6:J6"/>
    <mergeCell ref="C9:F9"/>
    <mergeCell ref="G9:H9"/>
    <mergeCell ref="G10:H10"/>
    <mergeCell ref="G11:H11"/>
    <mergeCell ref="E12:F12"/>
    <mergeCell ref="G12:H12"/>
    <mergeCell ref="I7:J7"/>
    <mergeCell ref="C38:M38"/>
    <mergeCell ref="B40:G42"/>
    <mergeCell ref="I40:J40"/>
    <mergeCell ref="G43:H43"/>
    <mergeCell ref="C44:F44"/>
    <mergeCell ref="I41:J41"/>
    <mergeCell ref="I42:J42"/>
    <mergeCell ref="G44:H44"/>
    <mergeCell ref="B54:C54"/>
    <mergeCell ref="B55:C55"/>
    <mergeCell ref="B56:C56"/>
    <mergeCell ref="A57:A58"/>
    <mergeCell ref="B57:C57"/>
    <mergeCell ref="B58:C58"/>
  </mergeCells>
  <dataValidations count="2">
    <dataValidation type="list" allowBlank="1" showInputMessage="1" showErrorMessage="1" sqref="B23:C23 B28:C28 B58:C58" xr:uid="{00000000-0002-0000-0F00-000000000000}">
      <formula1>$R$4:$R$15</formula1>
    </dataValidation>
    <dataValidation type="list" allowBlank="1" showInputMessage="1" showErrorMessage="1" sqref="D28" xr:uid="{00000000-0002-0000-0F00-000001000000}">
      <formula1>$U$4:$U$15</formula1>
    </dataValidation>
  </dataValidations>
  <printOptions horizontalCentered="1"/>
  <pageMargins left="0.9055118110236221" right="0.70866141732283472" top="0.70866141732283472" bottom="0.70866141732283472" header="0.31496062992125984" footer="0.31496062992125984"/>
  <pageSetup scale="84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N17" sqref="N17"/>
    </sheetView>
  </sheetViews>
  <sheetFormatPr defaultRowHeight="15" x14ac:dyDescent="0.25"/>
  <sheetData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84"/>
  <sheetViews>
    <sheetView showGridLines="0" view="pageBreakPreview" zoomScaleNormal="100" zoomScaleSheetLayoutView="100" workbookViewId="0">
      <selection activeCell="G15" sqref="G15"/>
    </sheetView>
  </sheetViews>
  <sheetFormatPr defaultColWidth="9.140625" defaultRowHeight="12.75" x14ac:dyDescent="0.2"/>
  <cols>
    <col min="1" max="1" width="0.85546875" style="335" customWidth="1"/>
    <col min="2" max="3" width="7.140625" style="2" customWidth="1"/>
    <col min="4" max="4" width="7.5703125" style="2" customWidth="1"/>
    <col min="5" max="5" width="5.85546875" style="2" customWidth="1"/>
    <col min="6" max="6" width="5.7109375" style="2" customWidth="1"/>
    <col min="7" max="7" width="9.7109375" style="2" customWidth="1"/>
    <col min="8" max="8" width="6.85546875" style="2" customWidth="1"/>
    <col min="9" max="9" width="6.140625" style="2" customWidth="1"/>
    <col min="10" max="10" width="6.42578125" style="2" customWidth="1"/>
    <col min="11" max="11" width="6.85546875" style="2" customWidth="1"/>
    <col min="12" max="12" width="0.85546875" style="2" customWidth="1"/>
    <col min="13" max="13" width="7.7109375" style="2" customWidth="1"/>
    <col min="14" max="14" width="4.140625" style="2" customWidth="1"/>
    <col min="15" max="16" width="9.140625" style="2"/>
    <col min="17" max="17" width="20.28515625" style="2" bestFit="1" customWidth="1"/>
    <col min="18" max="20" width="9.140625" style="2"/>
    <col min="21" max="21" width="13.7109375" style="2" bestFit="1" customWidth="1"/>
    <col min="22" max="16384" width="9.140625" style="2"/>
  </cols>
  <sheetData>
    <row r="1" spans="1:23" ht="8.4499999999999993" customHeight="1" x14ac:dyDescent="0.2">
      <c r="A1" s="337">
        <f ca="1">1:22</f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99"/>
      <c r="M1" s="99"/>
      <c r="N1" s="81"/>
    </row>
    <row r="2" spans="1:23" ht="15.6" customHeight="1" x14ac:dyDescent="0.2">
      <c r="A2" s="339"/>
      <c r="B2" s="387"/>
      <c r="C2" s="868" t="s">
        <v>503</v>
      </c>
      <c r="D2" s="868"/>
      <c r="E2" s="868"/>
      <c r="F2" s="868"/>
      <c r="G2" s="868"/>
      <c r="H2" s="868"/>
      <c r="I2" s="868"/>
      <c r="J2" s="868"/>
      <c r="K2" s="868"/>
      <c r="L2" s="868"/>
      <c r="M2" s="869"/>
      <c r="N2" s="83"/>
      <c r="P2" s="433">
        <v>0.1</v>
      </c>
      <c r="Q2" s="495"/>
      <c r="R2" s="495"/>
      <c r="U2" s="495" t="s">
        <v>223</v>
      </c>
      <c r="W2" s="495" t="s">
        <v>441</v>
      </c>
    </row>
    <row r="3" spans="1:23" x14ac:dyDescent="0.2">
      <c r="A3" s="339"/>
      <c r="B3" s="341"/>
      <c r="C3" s="341"/>
      <c r="D3" s="341"/>
      <c r="E3" s="341"/>
      <c r="F3" s="341"/>
      <c r="G3" s="341"/>
      <c r="H3" s="341"/>
      <c r="I3" s="341"/>
      <c r="J3" s="341"/>
      <c r="K3" s="341"/>
      <c r="N3" s="83"/>
      <c r="P3" s="2">
        <v>0.13</v>
      </c>
      <c r="Q3" s="496"/>
      <c r="R3" s="496"/>
      <c r="U3" s="496"/>
      <c r="W3" s="496" t="s">
        <v>442</v>
      </c>
    </row>
    <row r="4" spans="1:23" ht="15" customHeight="1" x14ac:dyDescent="0.25">
      <c r="A4" s="339"/>
      <c r="B4" s="341"/>
      <c r="C4" s="927" t="s">
        <v>299</v>
      </c>
      <c r="D4" s="927"/>
      <c r="E4" s="927"/>
      <c r="F4" s="927"/>
      <c r="G4" s="927"/>
      <c r="H4" s="927"/>
      <c r="I4" s="341" t="s">
        <v>300</v>
      </c>
      <c r="J4" s="930">
        <v>0.1</v>
      </c>
      <c r="K4" s="873"/>
      <c r="N4" s="83"/>
      <c r="P4" s="2">
        <v>0.17</v>
      </c>
      <c r="Q4" s="496" t="s">
        <v>479</v>
      </c>
      <c r="R4" s="496">
        <v>3.5999999999999997E-2</v>
      </c>
      <c r="U4" s="496" t="s">
        <v>502</v>
      </c>
      <c r="W4" s="496" t="s">
        <v>444</v>
      </c>
    </row>
    <row r="5" spans="1:23" ht="15" customHeight="1" x14ac:dyDescent="0.25">
      <c r="A5" s="339"/>
      <c r="B5" s="341"/>
      <c r="C5" s="341"/>
      <c r="D5" s="341"/>
      <c r="E5" s="341"/>
      <c r="F5" s="341"/>
      <c r="G5" s="341"/>
      <c r="H5" s="341"/>
      <c r="I5" s="341" t="s">
        <v>301</v>
      </c>
      <c r="J5" s="843">
        <v>0.04</v>
      </c>
      <c r="K5" s="928"/>
      <c r="N5" s="83"/>
      <c r="Q5" s="496" t="s">
        <v>429</v>
      </c>
      <c r="R5" s="496">
        <v>3.7999999999999999E-2</v>
      </c>
      <c r="U5" s="496" t="s">
        <v>402</v>
      </c>
      <c r="W5" s="496" t="s">
        <v>404</v>
      </c>
    </row>
    <row r="6" spans="1:23" ht="15" customHeight="1" x14ac:dyDescent="0.25">
      <c r="A6" s="339"/>
      <c r="B6" s="341"/>
      <c r="C6" s="341"/>
      <c r="D6" s="341"/>
      <c r="E6" s="341"/>
      <c r="F6" s="341"/>
      <c r="G6" s="341"/>
      <c r="H6" s="341"/>
      <c r="I6" s="341" t="s">
        <v>323</v>
      </c>
      <c r="J6" s="930">
        <v>0.06</v>
      </c>
      <c r="K6" s="873"/>
      <c r="N6" s="83"/>
      <c r="Q6" s="496" t="s">
        <v>262</v>
      </c>
      <c r="R6" s="496">
        <v>0.09</v>
      </c>
      <c r="U6" s="496" t="s">
        <v>453</v>
      </c>
      <c r="W6" s="496" t="s">
        <v>351</v>
      </c>
    </row>
    <row r="7" spans="1:23" ht="4.9000000000000004" customHeight="1" x14ac:dyDescent="0.2">
      <c r="A7" s="339"/>
      <c r="J7" s="762"/>
      <c r="K7" s="762"/>
      <c r="N7" s="83"/>
      <c r="Q7" s="496" t="s">
        <v>427</v>
      </c>
      <c r="R7" s="496">
        <v>3.5999999999999997E-2</v>
      </c>
      <c r="U7" s="496" t="s">
        <v>223</v>
      </c>
      <c r="W7" s="496"/>
    </row>
    <row r="8" spans="1:23" ht="14.45" customHeight="1" x14ac:dyDescent="0.25">
      <c r="A8" s="339"/>
      <c r="B8" s="907" t="s">
        <v>6</v>
      </c>
      <c r="C8" s="907"/>
      <c r="D8" s="907"/>
      <c r="E8" s="1153" t="s">
        <v>302</v>
      </c>
      <c r="F8" s="1153"/>
      <c r="G8" s="568" t="s">
        <v>303</v>
      </c>
      <c r="H8" s="1153" t="s">
        <v>445</v>
      </c>
      <c r="I8" s="1153"/>
      <c r="J8" s="1153" t="s">
        <v>304</v>
      </c>
      <c r="K8" s="1153"/>
      <c r="L8" s="343"/>
      <c r="M8" s="467" t="s">
        <v>305</v>
      </c>
      <c r="N8" s="83"/>
      <c r="Q8" s="496" t="s">
        <v>386</v>
      </c>
      <c r="R8" s="496">
        <v>3.9E-2</v>
      </c>
      <c r="T8" s="2" t="s">
        <v>266</v>
      </c>
      <c r="U8" s="496"/>
      <c r="W8" s="496"/>
    </row>
    <row r="9" spans="1:23" x14ac:dyDescent="0.2">
      <c r="A9" s="344"/>
      <c r="B9" s="1092" t="s">
        <v>502</v>
      </c>
      <c r="C9" s="1092"/>
      <c r="D9" s="1092"/>
      <c r="E9" s="1093">
        <v>0.6</v>
      </c>
      <c r="F9" s="1093"/>
      <c r="G9" s="473">
        <v>0</v>
      </c>
      <c r="H9" s="909">
        <f>E9+G9</f>
        <v>0.6</v>
      </c>
      <c r="I9" s="909"/>
      <c r="J9" s="822">
        <f>ROUND(M9/H9,3)</f>
        <v>8.0000000000000002E-3</v>
      </c>
      <c r="K9" s="822"/>
      <c r="M9" s="485">
        <v>5.0000000000000001E-3</v>
      </c>
      <c r="N9" s="83"/>
      <c r="Q9" s="496" t="s">
        <v>357</v>
      </c>
      <c r="R9" s="496">
        <v>3.7999999999999999E-2</v>
      </c>
      <c r="U9" s="496"/>
      <c r="W9" s="496"/>
    </row>
    <row r="10" spans="1:23" ht="13.9" hidden="1" customHeight="1" x14ac:dyDescent="0.2">
      <c r="A10" s="344"/>
      <c r="B10" s="1092" t="s">
        <v>452</v>
      </c>
      <c r="C10" s="1092"/>
      <c r="D10" s="1092"/>
      <c r="E10" s="1093">
        <v>2</v>
      </c>
      <c r="F10" s="1093"/>
      <c r="G10" s="473">
        <v>0</v>
      </c>
      <c r="H10" s="909">
        <f>E10+G10</f>
        <v>2</v>
      </c>
      <c r="I10" s="909"/>
      <c r="J10" s="822">
        <f>ROUND(M10/H10,3)</f>
        <v>0</v>
      </c>
      <c r="K10" s="822"/>
      <c r="M10" s="485">
        <v>0</v>
      </c>
      <c r="N10" s="83"/>
      <c r="Q10" s="496" t="s">
        <v>423</v>
      </c>
      <c r="R10" s="496">
        <v>3.6999999999999998E-2</v>
      </c>
      <c r="U10" s="496"/>
      <c r="W10" s="496"/>
    </row>
    <row r="11" spans="1:23" ht="13.9" hidden="1" customHeight="1" x14ac:dyDescent="0.2">
      <c r="A11" s="344"/>
      <c r="B11" s="1092" t="s">
        <v>264</v>
      </c>
      <c r="C11" s="1092"/>
      <c r="D11" s="1092"/>
      <c r="E11" s="1093">
        <v>1</v>
      </c>
      <c r="F11" s="1093"/>
      <c r="G11" s="473">
        <v>0</v>
      </c>
      <c r="H11" s="909">
        <f>E11+G11</f>
        <v>1</v>
      </c>
      <c r="I11" s="909"/>
      <c r="J11" s="822">
        <f t="shared" ref="J11:J17" si="0">ROUND(M11/H11,3)</f>
        <v>0</v>
      </c>
      <c r="K11" s="822"/>
      <c r="M11" s="485">
        <v>0</v>
      </c>
      <c r="N11" s="83"/>
      <c r="Q11" s="497" t="s">
        <v>418</v>
      </c>
      <c r="R11" s="497">
        <v>3.5000000000000003E-2</v>
      </c>
      <c r="U11" s="497"/>
      <c r="W11" s="497"/>
    </row>
    <row r="12" spans="1:23" x14ac:dyDescent="0.2">
      <c r="A12" s="344"/>
      <c r="B12" s="1092" t="s">
        <v>386</v>
      </c>
      <c r="C12" s="1092"/>
      <c r="D12" s="1092"/>
      <c r="E12" s="1093">
        <v>0.02</v>
      </c>
      <c r="F12" s="1093"/>
      <c r="G12" s="473">
        <v>0</v>
      </c>
      <c r="H12" s="909">
        <f>E12+G12</f>
        <v>0.02</v>
      </c>
      <c r="I12" s="909"/>
      <c r="J12" s="822">
        <f t="shared" si="0"/>
        <v>2.5</v>
      </c>
      <c r="K12" s="822"/>
      <c r="M12" s="485">
        <v>0.05</v>
      </c>
      <c r="N12" s="83"/>
      <c r="O12" s="2">
        <v>0.12</v>
      </c>
      <c r="Q12" s="496" t="s">
        <v>263</v>
      </c>
      <c r="R12" s="496">
        <v>3.5999999999999997E-2</v>
      </c>
    </row>
    <row r="13" spans="1:23" hidden="1" x14ac:dyDescent="0.2">
      <c r="A13" s="344"/>
      <c r="B13" s="1092" t="s">
        <v>386</v>
      </c>
      <c r="C13" s="1092"/>
      <c r="D13" s="1092"/>
      <c r="E13" s="1093">
        <v>3.7999999999999999E-2</v>
      </c>
      <c r="F13" s="1093"/>
      <c r="G13" s="473">
        <v>1E-3</v>
      </c>
      <c r="H13" s="909">
        <v>3.6999999999999998E-2</v>
      </c>
      <c r="I13" s="909"/>
      <c r="J13" s="822">
        <f t="shared" si="0"/>
        <v>0</v>
      </c>
      <c r="K13" s="822"/>
      <c r="M13" s="485">
        <v>0</v>
      </c>
      <c r="N13" s="83"/>
      <c r="Q13" s="496" t="s">
        <v>426</v>
      </c>
      <c r="R13" s="496">
        <v>0.16</v>
      </c>
    </row>
    <row r="14" spans="1:23" hidden="1" x14ac:dyDescent="0.2">
      <c r="A14" s="344"/>
      <c r="B14" s="1092" t="s">
        <v>351</v>
      </c>
      <c r="C14" s="1092"/>
      <c r="D14" s="1092"/>
      <c r="E14" s="1093">
        <v>1.7</v>
      </c>
      <c r="F14" s="1093"/>
      <c r="G14" s="473">
        <v>0</v>
      </c>
      <c r="H14" s="909">
        <f>E14+G14</f>
        <v>1.7</v>
      </c>
      <c r="I14" s="909"/>
      <c r="J14" s="909">
        <f t="shared" si="0"/>
        <v>0</v>
      </c>
      <c r="K14" s="909"/>
      <c r="M14" s="485">
        <v>0</v>
      </c>
      <c r="N14" s="83"/>
      <c r="Q14" s="496" t="s">
        <v>478</v>
      </c>
      <c r="R14" s="496">
        <v>0.04</v>
      </c>
    </row>
    <row r="15" spans="1:23" x14ac:dyDescent="0.2">
      <c r="A15" s="344"/>
      <c r="B15" s="1092" t="s">
        <v>237</v>
      </c>
      <c r="C15" s="1092"/>
      <c r="D15" s="1092"/>
      <c r="E15" s="1093">
        <v>0.7</v>
      </c>
      <c r="F15" s="1093"/>
      <c r="G15" s="473">
        <v>0</v>
      </c>
      <c r="H15" s="909">
        <v>2</v>
      </c>
      <c r="I15" s="909"/>
      <c r="J15" s="822">
        <f t="shared" si="0"/>
        <v>0.1</v>
      </c>
      <c r="K15" s="822"/>
      <c r="M15" s="485">
        <v>0.2</v>
      </c>
      <c r="N15" s="83"/>
      <c r="Q15" s="496" t="s">
        <v>462</v>
      </c>
      <c r="R15" s="496">
        <v>3.7999999999999999E-2</v>
      </c>
    </row>
    <row r="16" spans="1:23" x14ac:dyDescent="0.2">
      <c r="A16" s="344"/>
      <c r="B16" s="1092" t="s">
        <v>402</v>
      </c>
      <c r="C16" s="1092"/>
      <c r="D16" s="1092"/>
      <c r="E16" s="1093">
        <v>0.26</v>
      </c>
      <c r="F16" s="1093"/>
      <c r="G16" s="473">
        <v>0</v>
      </c>
      <c r="H16" s="909">
        <f>E16+G16</f>
        <v>0.26</v>
      </c>
      <c r="I16" s="909"/>
      <c r="J16" s="822">
        <f t="shared" si="0"/>
        <v>3.7999999999999999E-2</v>
      </c>
      <c r="K16" s="822"/>
      <c r="M16" s="485">
        <v>0.01</v>
      </c>
      <c r="N16" s="83"/>
      <c r="Q16" s="496" t="s">
        <v>469</v>
      </c>
      <c r="R16" s="496">
        <v>0.26</v>
      </c>
    </row>
    <row r="17" spans="1:20" hidden="1" x14ac:dyDescent="0.2">
      <c r="A17" s="344"/>
      <c r="B17" s="1092"/>
      <c r="C17" s="1092"/>
      <c r="D17" s="1092"/>
      <c r="E17" s="1103">
        <v>1</v>
      </c>
      <c r="F17" s="1103"/>
      <c r="G17" s="473">
        <v>0</v>
      </c>
      <c r="H17" s="909">
        <f>E17+G17</f>
        <v>1</v>
      </c>
      <c r="I17" s="909"/>
      <c r="J17" s="822">
        <f t="shared" si="0"/>
        <v>0</v>
      </c>
      <c r="K17" s="822"/>
      <c r="M17" s="486"/>
      <c r="N17" s="83"/>
      <c r="Q17" s="496"/>
      <c r="R17" s="496"/>
    </row>
    <row r="18" spans="1:20" ht="14.25" customHeight="1" x14ac:dyDescent="0.2">
      <c r="A18" s="339"/>
      <c r="B18" s="418"/>
      <c r="C18" s="418"/>
      <c r="D18" s="418"/>
      <c r="E18" s="418"/>
      <c r="F18" s="418"/>
      <c r="G18" s="418"/>
      <c r="H18" s="418"/>
      <c r="I18" s="418"/>
      <c r="J18" s="348"/>
      <c r="K18" s="348"/>
      <c r="M18" s="343" t="s">
        <v>106</v>
      </c>
      <c r="N18" s="83"/>
      <c r="Q18" s="497"/>
      <c r="R18" s="497"/>
    </row>
    <row r="19" spans="1:20" ht="15.6" customHeight="1" x14ac:dyDescent="0.25">
      <c r="A19" s="339"/>
      <c r="B19" s="349"/>
      <c r="C19" s="349"/>
      <c r="D19" s="349"/>
      <c r="E19" s="8"/>
      <c r="H19" s="8"/>
      <c r="I19" s="8"/>
      <c r="M19" s="350">
        <f>SUM(M9:M17)*1000</f>
        <v>265</v>
      </c>
      <c r="N19" s="83" t="s">
        <v>120</v>
      </c>
    </row>
    <row r="20" spans="1:20" ht="6" customHeight="1" x14ac:dyDescent="0.25">
      <c r="A20" s="339"/>
      <c r="B20" s="862"/>
      <c r="C20" s="862"/>
      <c r="D20" s="862"/>
      <c r="E20" s="924"/>
      <c r="F20" s="924"/>
      <c r="G20" s="924"/>
      <c r="H20" s="8"/>
      <c r="I20" s="8"/>
      <c r="J20" s="351"/>
      <c r="N20" s="83"/>
    </row>
    <row r="21" spans="1:20" ht="15.75" x14ac:dyDescent="0.2">
      <c r="A21" s="339"/>
      <c r="B21" s="349"/>
      <c r="C21" s="349"/>
      <c r="D21" s="349"/>
      <c r="E21" s="902" t="s">
        <v>93</v>
      </c>
      <c r="F21" s="902"/>
      <c r="G21" s="902"/>
      <c r="H21" s="1094">
        <f>ROUND(1/((SUM(J9:K17)+J4+J5+J6)),3)</f>
        <v>0.35099999999999998</v>
      </c>
      <c r="I21" s="1095"/>
      <c r="J21" s="905" t="s">
        <v>306</v>
      </c>
      <c r="K21" s="906"/>
      <c r="N21" s="83"/>
      <c r="R21" s="931"/>
    </row>
    <row r="22" spans="1:20" ht="7.15" customHeight="1" x14ac:dyDescent="0.2">
      <c r="A22" s="352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R22" s="931"/>
    </row>
    <row r="23" spans="1:20" ht="1.9" customHeight="1" x14ac:dyDescent="0.2">
      <c r="R23" s="434"/>
    </row>
    <row r="24" spans="1:20" ht="23.45" hidden="1" customHeight="1" x14ac:dyDescent="0.2"/>
    <row r="25" spans="1:20" ht="7.9" hidden="1" customHeight="1" x14ac:dyDescent="0.2">
      <c r="A25" s="337"/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99"/>
      <c r="M25" s="99"/>
      <c r="N25" s="81"/>
    </row>
    <row r="26" spans="1:20" ht="15.75" hidden="1" x14ac:dyDescent="0.25">
      <c r="A26" s="339"/>
      <c r="B26" s="387"/>
      <c r="C26" s="868" t="s">
        <v>391</v>
      </c>
      <c r="D26" s="925"/>
      <c r="E26" s="925"/>
      <c r="F26" s="925"/>
      <c r="G26" s="925"/>
      <c r="H26" s="925"/>
      <c r="I26" s="925"/>
      <c r="J26" s="925"/>
      <c r="K26" s="926"/>
      <c r="N26" s="83"/>
      <c r="Q26" s="495"/>
      <c r="R26" s="495"/>
      <c r="S26" s="2">
        <f>17:17</f>
        <v>0</v>
      </c>
    </row>
    <row r="27" spans="1:20" ht="6.75" hidden="1" customHeight="1" x14ac:dyDescent="0.2">
      <c r="A27" s="339"/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N27" s="83"/>
      <c r="Q27" s="496"/>
      <c r="R27" s="496"/>
    </row>
    <row r="28" spans="1:20" ht="15" hidden="1" x14ac:dyDescent="0.25">
      <c r="A28" s="339"/>
      <c r="B28" s="341"/>
      <c r="C28" s="927" t="s">
        <v>299</v>
      </c>
      <c r="D28" s="927"/>
      <c r="E28" s="927"/>
      <c r="F28" s="927"/>
      <c r="G28" s="927"/>
      <c r="H28" s="927"/>
      <c r="I28" s="341" t="s">
        <v>300</v>
      </c>
      <c r="J28" s="930">
        <v>0.17</v>
      </c>
      <c r="K28" s="873"/>
      <c r="N28" s="83"/>
      <c r="Q28" s="496"/>
      <c r="R28" s="496"/>
    </row>
    <row r="29" spans="1:20" ht="15" hidden="1" x14ac:dyDescent="0.25">
      <c r="A29" s="339"/>
      <c r="B29" s="341"/>
      <c r="C29" s="341"/>
      <c r="D29" s="341"/>
      <c r="E29" s="341"/>
      <c r="F29" s="341"/>
      <c r="G29" s="341"/>
      <c r="H29" s="341"/>
      <c r="I29" s="341" t="s">
        <v>301</v>
      </c>
      <c r="J29" s="843">
        <v>0.04</v>
      </c>
      <c r="K29" s="928"/>
      <c r="N29" s="83"/>
      <c r="Q29" s="496"/>
      <c r="R29" s="496"/>
    </row>
    <row r="30" spans="1:20" ht="10.5" hidden="1" customHeight="1" x14ac:dyDescent="0.2">
      <c r="A30" s="339"/>
      <c r="J30" s="762"/>
      <c r="K30" s="762"/>
      <c r="N30" s="83"/>
      <c r="Q30" s="496"/>
      <c r="R30" s="496"/>
    </row>
    <row r="31" spans="1:20" ht="13.5" hidden="1" x14ac:dyDescent="0.25">
      <c r="A31" s="339"/>
      <c r="B31" s="907" t="s">
        <v>6</v>
      </c>
      <c r="C31" s="907"/>
      <c r="D31" s="907"/>
      <c r="E31" s="929" t="s">
        <v>302</v>
      </c>
      <c r="F31" s="929"/>
      <c r="G31" s="467" t="s">
        <v>303</v>
      </c>
      <c r="H31" s="929" t="s">
        <v>405</v>
      </c>
      <c r="I31" s="929"/>
      <c r="J31" s="929" t="s">
        <v>304</v>
      </c>
      <c r="K31" s="929"/>
      <c r="L31" s="343"/>
      <c r="M31" s="466" t="s">
        <v>305</v>
      </c>
      <c r="N31" s="83"/>
      <c r="Q31" s="496"/>
      <c r="R31" s="496"/>
      <c r="T31" s="2" t="s">
        <v>266</v>
      </c>
    </row>
    <row r="32" spans="1:20" hidden="1" x14ac:dyDescent="0.2">
      <c r="A32" s="344"/>
      <c r="B32" s="1092" t="s">
        <v>440</v>
      </c>
      <c r="C32" s="1092"/>
      <c r="D32" s="1092"/>
      <c r="E32" s="1093">
        <v>0.6</v>
      </c>
      <c r="F32" s="1093"/>
      <c r="G32" s="473">
        <v>0</v>
      </c>
      <c r="H32" s="909">
        <f>E32+G32</f>
        <v>0.6</v>
      </c>
      <c r="I32" s="909"/>
      <c r="J32" s="822">
        <f>ROUND(M32/H32,3)</f>
        <v>8.0000000000000002E-3</v>
      </c>
      <c r="K32" s="822"/>
      <c r="M32" s="485">
        <v>5.0000000000000001E-3</v>
      </c>
      <c r="N32" s="83"/>
      <c r="Q32" s="497"/>
      <c r="R32" s="497"/>
    </row>
    <row r="33" spans="1:18" hidden="1" x14ac:dyDescent="0.2">
      <c r="A33" s="344"/>
      <c r="B33" s="1092" t="s">
        <v>420</v>
      </c>
      <c r="C33" s="1092"/>
      <c r="D33" s="1092"/>
      <c r="E33" s="1093">
        <v>2</v>
      </c>
      <c r="F33" s="1093"/>
      <c r="G33" s="473">
        <v>0</v>
      </c>
      <c r="H33" s="909">
        <f>E33+G33</f>
        <v>2</v>
      </c>
      <c r="I33" s="909"/>
      <c r="J33" s="822">
        <f>ROUND(M33/H33,3)</f>
        <v>0.05</v>
      </c>
      <c r="K33" s="822"/>
      <c r="M33" s="485">
        <v>0.1</v>
      </c>
      <c r="N33" s="83"/>
    </row>
    <row r="34" spans="1:18" hidden="1" x14ac:dyDescent="0.2">
      <c r="A34" s="344"/>
      <c r="B34" s="1092" t="s">
        <v>386</v>
      </c>
      <c r="C34" s="1092"/>
      <c r="D34" s="1092"/>
      <c r="E34" s="1093">
        <v>3.7999999999999999E-2</v>
      </c>
      <c r="F34" s="1093"/>
      <c r="G34" s="473">
        <v>0</v>
      </c>
      <c r="H34" s="909">
        <v>3.5999999999999997E-2</v>
      </c>
      <c r="I34" s="909"/>
      <c r="J34" s="822">
        <f t="shared" ref="J34:J41" si="1">ROUND(M34/H34,3)</f>
        <v>0.83299999999999996</v>
      </c>
      <c r="K34" s="822"/>
      <c r="M34" s="485">
        <v>0.03</v>
      </c>
      <c r="N34" s="83"/>
    </row>
    <row r="35" spans="1:18" hidden="1" x14ac:dyDescent="0.2">
      <c r="A35" s="344"/>
      <c r="B35" s="1092" t="s">
        <v>441</v>
      </c>
      <c r="C35" s="1092"/>
      <c r="D35" s="1092"/>
      <c r="E35" s="1093">
        <v>0.7</v>
      </c>
      <c r="F35" s="1093"/>
      <c r="G35" s="473">
        <v>0</v>
      </c>
      <c r="H35" s="909">
        <f t="shared" ref="H35:H41" si="2">E35+G35</f>
        <v>0.7</v>
      </c>
      <c r="I35" s="909"/>
      <c r="J35" s="822">
        <f t="shared" si="1"/>
        <v>0</v>
      </c>
      <c r="K35" s="822"/>
      <c r="M35" s="485"/>
      <c r="N35" s="83"/>
    </row>
    <row r="36" spans="1:18" hidden="1" x14ac:dyDescent="0.2">
      <c r="A36" s="344"/>
      <c r="B36" s="1092" t="s">
        <v>381</v>
      </c>
      <c r="C36" s="1092"/>
      <c r="D36" s="1092"/>
      <c r="E36" s="1093">
        <v>1.7</v>
      </c>
      <c r="F36" s="1093"/>
      <c r="G36" s="473">
        <v>0</v>
      </c>
      <c r="H36" s="909">
        <f t="shared" si="2"/>
        <v>1.7</v>
      </c>
      <c r="I36" s="909"/>
      <c r="J36" s="822">
        <f t="shared" si="1"/>
        <v>0</v>
      </c>
      <c r="K36" s="822"/>
      <c r="M36" s="485"/>
      <c r="N36" s="83"/>
    </row>
    <row r="37" spans="1:18" hidden="1" x14ac:dyDescent="0.2">
      <c r="A37" s="344"/>
      <c r="B37" s="1092" t="s">
        <v>350</v>
      </c>
      <c r="C37" s="1092"/>
      <c r="D37" s="1092"/>
      <c r="E37" s="1093">
        <v>0.7</v>
      </c>
      <c r="F37" s="1093"/>
      <c r="G37" s="473">
        <v>0</v>
      </c>
      <c r="H37" s="909">
        <f t="shared" si="2"/>
        <v>0.7</v>
      </c>
      <c r="I37" s="909"/>
      <c r="J37" s="822">
        <f t="shared" si="1"/>
        <v>0</v>
      </c>
      <c r="K37" s="822"/>
      <c r="M37" s="485"/>
      <c r="N37" s="83"/>
    </row>
    <row r="38" spans="1:18" hidden="1" x14ac:dyDescent="0.2">
      <c r="A38" s="344"/>
      <c r="B38" s="1092" t="s">
        <v>262</v>
      </c>
      <c r="C38" s="1092"/>
      <c r="D38" s="1092"/>
      <c r="E38" s="1093">
        <v>3.5999999999999997E-2</v>
      </c>
      <c r="F38" s="1093"/>
      <c r="G38" s="473">
        <v>2E-3</v>
      </c>
      <c r="H38" s="909">
        <f t="shared" si="2"/>
        <v>3.7999999999999999E-2</v>
      </c>
      <c r="I38" s="909"/>
      <c r="J38" s="822">
        <f t="shared" si="1"/>
        <v>0</v>
      </c>
      <c r="K38" s="822"/>
      <c r="M38" s="485"/>
      <c r="N38" s="83"/>
    </row>
    <row r="39" spans="1:18" hidden="1" x14ac:dyDescent="0.2">
      <c r="A39" s="344"/>
      <c r="B39" s="1092" t="s">
        <v>386</v>
      </c>
      <c r="C39" s="1092"/>
      <c r="D39" s="1092"/>
      <c r="E39" s="1093">
        <v>3.6999999999999998E-2</v>
      </c>
      <c r="F39" s="1093"/>
      <c r="G39" s="473">
        <v>2E-3</v>
      </c>
      <c r="H39" s="909">
        <f t="shared" si="2"/>
        <v>3.9E-2</v>
      </c>
      <c r="I39" s="909"/>
      <c r="J39" s="822">
        <f t="shared" si="1"/>
        <v>5.1280000000000001</v>
      </c>
      <c r="K39" s="822"/>
      <c r="M39" s="485">
        <v>0.2</v>
      </c>
      <c r="N39" s="83"/>
    </row>
    <row r="40" spans="1:18" hidden="1" x14ac:dyDescent="0.2">
      <c r="A40" s="344"/>
      <c r="B40" s="1092" t="s">
        <v>237</v>
      </c>
      <c r="C40" s="1092"/>
      <c r="D40" s="1092"/>
      <c r="E40" s="1093">
        <v>2</v>
      </c>
      <c r="F40" s="1093"/>
      <c r="G40" s="473">
        <v>0</v>
      </c>
      <c r="H40" s="909">
        <f t="shared" si="2"/>
        <v>2</v>
      </c>
      <c r="I40" s="909"/>
      <c r="J40" s="822">
        <f t="shared" si="1"/>
        <v>0.1</v>
      </c>
      <c r="K40" s="822"/>
      <c r="M40" s="485">
        <v>0.2</v>
      </c>
      <c r="N40" s="83"/>
    </row>
    <row r="41" spans="1:18" hidden="1" x14ac:dyDescent="0.2">
      <c r="A41" s="344"/>
      <c r="B41" s="1092" t="s">
        <v>402</v>
      </c>
      <c r="C41" s="1092"/>
      <c r="D41" s="1092"/>
      <c r="E41" s="1093">
        <v>0.26</v>
      </c>
      <c r="F41" s="1093"/>
      <c r="G41" s="473">
        <v>0</v>
      </c>
      <c r="H41" s="909">
        <f t="shared" si="2"/>
        <v>0.26</v>
      </c>
      <c r="I41" s="909"/>
      <c r="J41" s="822">
        <f t="shared" si="1"/>
        <v>3.7999999999999999E-2</v>
      </c>
      <c r="K41" s="822"/>
      <c r="M41" s="485">
        <v>0.01</v>
      </c>
      <c r="N41" s="83"/>
    </row>
    <row r="42" spans="1:18" ht="14.25" hidden="1" customHeight="1" x14ac:dyDescent="0.2">
      <c r="A42" s="339"/>
      <c r="B42" s="418"/>
      <c r="C42" s="418"/>
      <c r="D42" s="418"/>
      <c r="E42" s="418"/>
      <c r="F42" s="418"/>
      <c r="G42" s="418"/>
      <c r="H42" s="418"/>
      <c r="I42" s="418"/>
      <c r="J42" s="348"/>
      <c r="K42" s="348"/>
      <c r="M42" s="343" t="s">
        <v>106</v>
      </c>
      <c r="N42" s="83"/>
    </row>
    <row r="43" spans="1:18" ht="15.75" hidden="1" x14ac:dyDescent="0.25">
      <c r="A43" s="339"/>
      <c r="B43" s="349"/>
      <c r="C43" s="349"/>
      <c r="D43" s="349"/>
      <c r="E43" s="8"/>
      <c r="H43" s="8"/>
      <c r="I43" s="8"/>
      <c r="M43" s="350">
        <f>SUM(M32:M41)*1000</f>
        <v>545</v>
      </c>
      <c r="N43" s="83" t="s">
        <v>120</v>
      </c>
    </row>
    <row r="44" spans="1:18" ht="9.75" hidden="1" customHeight="1" x14ac:dyDescent="0.25">
      <c r="A44" s="339"/>
      <c r="B44" s="862"/>
      <c r="C44" s="862"/>
      <c r="D44" s="862"/>
      <c r="E44" s="924"/>
      <c r="F44" s="924"/>
      <c r="G44" s="924"/>
      <c r="H44" s="8"/>
      <c r="I44" s="8"/>
      <c r="J44" s="351"/>
      <c r="N44" s="83"/>
    </row>
    <row r="45" spans="1:18" ht="15.75" hidden="1" x14ac:dyDescent="0.2">
      <c r="A45" s="339"/>
      <c r="B45" s="349"/>
      <c r="C45" s="349"/>
      <c r="D45" s="349"/>
      <c r="E45" s="902" t="s">
        <v>93</v>
      </c>
      <c r="F45" s="902"/>
      <c r="G45" s="902"/>
      <c r="H45" s="1094">
        <f>ROUND(1/((SUM(J32:K41)+J28+J29)),3)</f>
        <v>0.157</v>
      </c>
      <c r="I45" s="1095"/>
      <c r="J45" s="905" t="s">
        <v>306</v>
      </c>
      <c r="K45" s="906"/>
      <c r="N45" s="83"/>
      <c r="R45" s="931"/>
    </row>
    <row r="46" spans="1:18" ht="7.5" hidden="1" customHeight="1" x14ac:dyDescent="0.2">
      <c r="A46" s="352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9"/>
      <c r="R46" s="931"/>
    </row>
    <row r="47" spans="1:18" ht="29.45" customHeight="1" x14ac:dyDescent="0.2">
      <c r="R47" s="434"/>
    </row>
    <row r="48" spans="1:18" ht="10.15" customHeight="1" x14ac:dyDescent="0.35">
      <c r="A48" s="78"/>
      <c r="B48" s="79"/>
      <c r="C48" s="79"/>
      <c r="D48" s="79"/>
      <c r="E48" s="79"/>
      <c r="F48" s="79"/>
      <c r="G48" s="79"/>
      <c r="H48" s="79"/>
      <c r="I48" s="79"/>
      <c r="J48" s="80"/>
      <c r="K48" s="80"/>
      <c r="L48" s="99"/>
      <c r="M48" s="99"/>
      <c r="N48" s="81"/>
    </row>
    <row r="49" spans="1:17" ht="15.75" x14ac:dyDescent="0.2">
      <c r="A49" s="354"/>
      <c r="B49" s="387"/>
      <c r="C49" s="868" t="s">
        <v>383</v>
      </c>
      <c r="D49" s="868"/>
      <c r="E49" s="868"/>
      <c r="F49" s="868"/>
      <c r="G49" s="868"/>
      <c r="H49" s="868"/>
      <c r="I49" s="868"/>
      <c r="J49" s="868"/>
      <c r="K49" s="868"/>
      <c r="L49" s="868"/>
      <c r="M49" s="869"/>
      <c r="N49" s="83"/>
    </row>
    <row r="50" spans="1:17" ht="8.25" customHeight="1" x14ac:dyDescent="0.2">
      <c r="A50" s="354"/>
      <c r="B50" s="355"/>
      <c r="C50" s="341"/>
      <c r="D50" s="356"/>
      <c r="E50" s="356"/>
      <c r="F50" s="356"/>
      <c r="G50" s="356"/>
      <c r="H50" s="356"/>
      <c r="I50" s="356"/>
      <c r="J50" s="356"/>
      <c r="N50" s="83"/>
    </row>
    <row r="51" spans="1:17" ht="15" customHeight="1" x14ac:dyDescent="0.25">
      <c r="A51" s="354"/>
      <c r="B51" s="871" t="s">
        <v>307</v>
      </c>
      <c r="C51" s="871"/>
      <c r="D51" s="871"/>
      <c r="E51" s="871"/>
      <c r="F51" s="871"/>
      <c r="G51" s="871"/>
      <c r="H51" s="357" t="s">
        <v>308</v>
      </c>
      <c r="I51" s="1096">
        <v>0.1</v>
      </c>
      <c r="J51" s="1097"/>
      <c r="K51" s="399"/>
      <c r="N51" s="83"/>
    </row>
    <row r="52" spans="1:17" ht="15" x14ac:dyDescent="0.25">
      <c r="A52" s="354"/>
      <c r="B52" s="355"/>
      <c r="C52" s="341"/>
      <c r="D52" s="383"/>
      <c r="E52" s="383"/>
      <c r="F52" s="383"/>
      <c r="G52" s="383"/>
      <c r="H52" s="341" t="s">
        <v>301</v>
      </c>
      <c r="I52" s="872">
        <v>0.04</v>
      </c>
      <c r="J52" s="873"/>
      <c r="N52" s="83"/>
    </row>
    <row r="53" spans="1:17" ht="15" x14ac:dyDescent="0.25">
      <c r="A53" s="354"/>
      <c r="B53" s="355"/>
      <c r="C53" s="341"/>
      <c r="D53" s="383"/>
      <c r="E53" s="383"/>
      <c r="F53" s="383"/>
      <c r="G53" s="383"/>
      <c r="H53" s="341" t="s">
        <v>323</v>
      </c>
      <c r="I53" s="1096">
        <v>0.06</v>
      </c>
      <c r="J53" s="1097"/>
      <c r="N53" s="83"/>
    </row>
    <row r="54" spans="1:17" ht="6.75" customHeight="1" x14ac:dyDescent="0.25">
      <c r="A54" s="354"/>
      <c r="B54" s="355"/>
      <c r="C54" s="341"/>
      <c r="D54" s="341"/>
      <c r="E54" s="341"/>
      <c r="F54" s="341"/>
      <c r="G54" s="892"/>
      <c r="H54" s="892"/>
      <c r="I54" s="341"/>
      <c r="J54" s="359"/>
      <c r="N54" s="83"/>
    </row>
    <row r="55" spans="1:17" ht="15" customHeight="1" x14ac:dyDescent="0.25">
      <c r="A55" s="354"/>
      <c r="B55" s="355"/>
      <c r="C55" s="882" t="s">
        <v>8</v>
      </c>
      <c r="D55" s="882"/>
      <c r="E55" s="882"/>
      <c r="F55" s="882"/>
      <c r="G55" s="1108">
        <v>0.6</v>
      </c>
      <c r="H55" s="1108"/>
      <c r="I55" s="341"/>
      <c r="J55" s="359"/>
      <c r="N55" s="83"/>
    </row>
    <row r="56" spans="1:17" ht="15" customHeight="1" x14ac:dyDescent="0.25">
      <c r="A56" s="354"/>
      <c r="B56" s="891" t="s">
        <v>311</v>
      </c>
      <c r="C56" s="891"/>
      <c r="D56" s="891"/>
      <c r="E56" s="891"/>
      <c r="F56" s="891"/>
      <c r="G56" s="880">
        <f>G55-G57</f>
        <v>0.54999999999999993</v>
      </c>
      <c r="H56" s="880"/>
      <c r="I56" s="341"/>
      <c r="J56" s="359"/>
      <c r="N56" s="83"/>
    </row>
    <row r="57" spans="1:17" ht="15" x14ac:dyDescent="0.25">
      <c r="A57" s="354"/>
      <c r="B57" s="891"/>
      <c r="C57" s="891"/>
      <c r="D57" s="891"/>
      <c r="E57" s="891"/>
      <c r="F57" s="891"/>
      <c r="G57" s="1108">
        <v>0.05</v>
      </c>
      <c r="H57" s="1108"/>
      <c r="I57" s="341"/>
      <c r="J57" s="359"/>
      <c r="N57" s="83"/>
      <c r="Q57" s="2">
        <f>8.84-3.84-4.06-0.2</f>
        <v>0.74000000000000044</v>
      </c>
    </row>
    <row r="58" spans="1:17" ht="5.25" customHeight="1" x14ac:dyDescent="0.2">
      <c r="A58" s="881"/>
      <c r="B58" s="882"/>
      <c r="C58" s="883"/>
      <c r="D58" s="883"/>
      <c r="E58" s="883"/>
      <c r="F58" s="883"/>
      <c r="G58" s="884"/>
      <c r="H58" s="884"/>
      <c r="I58" s="360"/>
      <c r="J58" s="360"/>
      <c r="K58" s="360"/>
      <c r="N58" s="83"/>
    </row>
    <row r="59" spans="1:17" x14ac:dyDescent="0.2">
      <c r="A59" s="890"/>
      <c r="B59" s="891"/>
      <c r="C59" s="883"/>
      <c r="D59" s="883"/>
      <c r="E59" s="361"/>
      <c r="F59" s="361"/>
      <c r="G59" s="467" t="s">
        <v>0</v>
      </c>
      <c r="H59" s="467" t="s">
        <v>1</v>
      </c>
      <c r="I59" s="466"/>
      <c r="J59" s="364"/>
      <c r="K59" s="364"/>
      <c r="N59" s="83"/>
    </row>
    <row r="60" spans="1:17" x14ac:dyDescent="0.2">
      <c r="A60" s="887" t="s">
        <v>312</v>
      </c>
      <c r="B60" s="888"/>
      <c r="C60" s="888"/>
      <c r="D60" s="888"/>
      <c r="E60" s="888"/>
      <c r="F60" s="888"/>
      <c r="G60" s="468">
        <f>G56/G55</f>
        <v>0.91666666666666663</v>
      </c>
      <c r="H60" s="468">
        <f>G57/G55</f>
        <v>8.3333333333333343E-2</v>
      </c>
      <c r="I60" s="457"/>
      <c r="J60" s="364"/>
      <c r="K60" s="364"/>
      <c r="N60" s="83"/>
    </row>
    <row r="61" spans="1:17" ht="22.9" customHeight="1" x14ac:dyDescent="0.2">
      <c r="A61" s="367"/>
      <c r="B61" s="368"/>
      <c r="C61" s="368"/>
      <c r="D61" s="368"/>
      <c r="E61" s="368"/>
      <c r="F61" s="368"/>
      <c r="G61" s="889" t="s">
        <v>313</v>
      </c>
      <c r="H61" s="889"/>
      <c r="I61" s="889" t="s">
        <v>314</v>
      </c>
      <c r="J61" s="889"/>
      <c r="K61" s="889"/>
      <c r="N61" s="83"/>
    </row>
    <row r="62" spans="1:17" ht="24.75" customHeight="1" x14ac:dyDescent="0.2">
      <c r="A62" s="369"/>
      <c r="B62" s="907" t="s">
        <v>6</v>
      </c>
      <c r="C62" s="907"/>
      <c r="D62" s="470" t="s">
        <v>315</v>
      </c>
      <c r="E62" s="470" t="s">
        <v>303</v>
      </c>
      <c r="F62" s="470" t="s">
        <v>482</v>
      </c>
      <c r="G62" s="470" t="s">
        <v>419</v>
      </c>
      <c r="H62" s="470" t="s">
        <v>318</v>
      </c>
      <c r="I62" s="471" t="s">
        <v>4</v>
      </c>
      <c r="J62" s="470" t="s">
        <v>119</v>
      </c>
      <c r="K62" s="470" t="s">
        <v>321</v>
      </c>
      <c r="M62" s="458" t="s">
        <v>324</v>
      </c>
      <c r="N62" s="83"/>
    </row>
    <row r="63" spans="1:17" ht="12.75" hidden="1" customHeight="1" x14ac:dyDescent="0.2">
      <c r="A63" s="469"/>
      <c r="B63" s="1092" t="s">
        <v>446</v>
      </c>
      <c r="C63" s="1092"/>
      <c r="D63" s="473">
        <v>0.26</v>
      </c>
      <c r="E63" s="473">
        <v>0</v>
      </c>
      <c r="F63" s="474">
        <f t="shared" ref="F63:F69" si="3">D63+E63</f>
        <v>0.26</v>
      </c>
      <c r="G63" s="459">
        <f>M63/F63</f>
        <v>0</v>
      </c>
      <c r="H63" s="459">
        <f>M63/F63</f>
        <v>0</v>
      </c>
      <c r="I63" s="456"/>
      <c r="J63" s="459">
        <f>F63</f>
        <v>0.26</v>
      </c>
      <c r="K63" s="459">
        <f>M63/J63</f>
        <v>0</v>
      </c>
      <c r="M63" s="473"/>
      <c r="N63" s="83"/>
    </row>
    <row r="64" spans="1:17" ht="12.75" hidden="1" customHeight="1" x14ac:dyDescent="0.2">
      <c r="A64" s="469"/>
      <c r="B64" s="1147" t="s">
        <v>124</v>
      </c>
      <c r="C64" s="1148"/>
      <c r="D64" s="473">
        <v>0</v>
      </c>
      <c r="E64" s="473">
        <v>0</v>
      </c>
      <c r="F64" s="474">
        <f t="shared" si="3"/>
        <v>0</v>
      </c>
      <c r="G64" s="459"/>
      <c r="H64" s="459"/>
      <c r="I64" s="910"/>
      <c r="J64" s="911"/>
      <c r="K64" s="459"/>
      <c r="M64" s="473"/>
      <c r="N64" s="83"/>
      <c r="P64" s="2">
        <v>0.16</v>
      </c>
    </row>
    <row r="65" spans="1:14" ht="12.75" hidden="1" customHeight="1" x14ac:dyDescent="0.2">
      <c r="A65" s="469"/>
      <c r="B65" s="1147" t="s">
        <v>402</v>
      </c>
      <c r="C65" s="1148"/>
      <c r="D65" s="473">
        <v>3.4000000000000002E-2</v>
      </c>
      <c r="E65" s="473">
        <v>1E-3</v>
      </c>
      <c r="F65" s="474">
        <f t="shared" si="3"/>
        <v>3.5000000000000003E-2</v>
      </c>
      <c r="G65" s="459">
        <f>M65/F65</f>
        <v>0</v>
      </c>
      <c r="H65" s="459">
        <f>M65/F65</f>
        <v>0</v>
      </c>
      <c r="I65" s="456"/>
      <c r="J65" s="459">
        <f>F65</f>
        <v>3.5000000000000003E-2</v>
      </c>
      <c r="K65" s="459">
        <f>M65/J65</f>
        <v>0</v>
      </c>
      <c r="M65" s="473">
        <v>0</v>
      </c>
      <c r="N65" s="83"/>
    </row>
    <row r="66" spans="1:14" hidden="1" x14ac:dyDescent="0.2">
      <c r="A66" s="469"/>
      <c r="B66" s="1147" t="s">
        <v>442</v>
      </c>
      <c r="C66" s="1148"/>
      <c r="D66" s="473">
        <v>0.11</v>
      </c>
      <c r="E66" s="473">
        <v>0.02</v>
      </c>
      <c r="F66" s="474">
        <f t="shared" si="3"/>
        <v>0.13</v>
      </c>
      <c r="G66" s="459">
        <f>M66/F66</f>
        <v>0</v>
      </c>
      <c r="H66" s="459">
        <f>M66/F66</f>
        <v>0</v>
      </c>
      <c r="I66" s="456"/>
      <c r="J66" s="459">
        <f>F66</f>
        <v>0.13</v>
      </c>
      <c r="K66" s="459">
        <f>M66/J66</f>
        <v>0</v>
      </c>
      <c r="M66" s="473">
        <v>0</v>
      </c>
      <c r="N66" s="83"/>
    </row>
    <row r="67" spans="1:14" hidden="1" x14ac:dyDescent="0.2">
      <c r="A67" s="469"/>
      <c r="B67" s="1147" t="s">
        <v>386</v>
      </c>
      <c r="C67" s="1148"/>
      <c r="D67" s="473">
        <v>3.5999999999999997E-2</v>
      </c>
      <c r="E67" s="473">
        <v>1E-3</v>
      </c>
      <c r="F67" s="474">
        <f t="shared" si="3"/>
        <v>3.6999999999999998E-2</v>
      </c>
      <c r="G67" s="459">
        <f>M67/F67</f>
        <v>0</v>
      </c>
      <c r="H67" s="459">
        <f>M67/F67</f>
        <v>0</v>
      </c>
      <c r="I67" s="456"/>
      <c r="J67" s="459">
        <f>F67</f>
        <v>3.6999999999999998E-2</v>
      </c>
      <c r="K67" s="459">
        <f>M67/J67</f>
        <v>0</v>
      </c>
      <c r="M67" s="473">
        <v>0</v>
      </c>
      <c r="N67" s="83"/>
    </row>
    <row r="68" spans="1:14" ht="12.75" customHeight="1" x14ac:dyDescent="0.2">
      <c r="A68" s="887"/>
      <c r="B68" s="1092" t="s">
        <v>7</v>
      </c>
      <c r="C68" s="1092"/>
      <c r="D68" s="473">
        <v>0.15</v>
      </c>
      <c r="E68" s="473">
        <v>0</v>
      </c>
      <c r="F68" s="474">
        <f t="shared" si="3"/>
        <v>0.15</v>
      </c>
      <c r="G68" s="459"/>
      <c r="H68" s="459">
        <f>M68/F68</f>
        <v>1</v>
      </c>
      <c r="I68" s="465">
        <f>(G57*G55*2)/(G55*G55*2)</f>
        <v>8.3333333333333329E-2</v>
      </c>
      <c r="J68" s="879">
        <f>(I68*F68)+(I69*F69)</f>
        <v>4.6416666666666662E-2</v>
      </c>
      <c r="K68" s="879">
        <f>M68/J68</f>
        <v>3.2315978456014367</v>
      </c>
      <c r="M68" s="1108">
        <v>0.15</v>
      </c>
      <c r="N68" s="83"/>
    </row>
    <row r="69" spans="1:14" x14ac:dyDescent="0.2">
      <c r="A69" s="887"/>
      <c r="B69" s="1092" t="s">
        <v>386</v>
      </c>
      <c r="C69" s="1092"/>
      <c r="D69" s="473">
        <v>3.5999999999999997E-2</v>
      </c>
      <c r="E69" s="473">
        <v>1E-3</v>
      </c>
      <c r="F69" s="474">
        <f t="shared" si="3"/>
        <v>3.6999999999999998E-2</v>
      </c>
      <c r="G69" s="459">
        <f>M68/F69</f>
        <v>4.0540540540540544</v>
      </c>
      <c r="H69" s="459"/>
      <c r="I69" s="465">
        <f>(G56*G55*2)/(G55*G55*2)</f>
        <v>0.91666666666666663</v>
      </c>
      <c r="J69" s="879"/>
      <c r="K69" s="879"/>
      <c r="M69" s="1108"/>
      <c r="N69" s="83"/>
    </row>
    <row r="70" spans="1:14" ht="12.75" hidden="1" customHeight="1" x14ac:dyDescent="0.2">
      <c r="A70" s="887"/>
      <c r="B70" s="1092" t="s">
        <v>414</v>
      </c>
      <c r="C70" s="1092"/>
      <c r="D70" s="473"/>
      <c r="E70" s="473"/>
      <c r="F70" s="474">
        <f>E70+D70</f>
        <v>0</v>
      </c>
      <c r="G70" s="459"/>
      <c r="H70" s="459"/>
      <c r="I70" s="459"/>
      <c r="J70" s="879"/>
      <c r="K70" s="879"/>
      <c r="M70" s="1108"/>
      <c r="N70" s="83"/>
    </row>
    <row r="71" spans="1:14" ht="12.75" hidden="1" customHeight="1" x14ac:dyDescent="0.2">
      <c r="A71" s="887"/>
      <c r="B71" s="1092" t="s">
        <v>415</v>
      </c>
      <c r="C71" s="1092"/>
      <c r="D71" s="473"/>
      <c r="E71" s="473"/>
      <c r="F71" s="474">
        <f>E71+D71</f>
        <v>0</v>
      </c>
      <c r="G71" s="459"/>
      <c r="H71" s="459"/>
      <c r="I71" s="459"/>
      <c r="J71" s="879"/>
      <c r="K71" s="879"/>
      <c r="M71" s="1108"/>
      <c r="N71" s="83"/>
    </row>
    <row r="72" spans="1:14" hidden="1" x14ac:dyDescent="0.2">
      <c r="A72" s="367"/>
      <c r="B72" s="1092" t="s">
        <v>501</v>
      </c>
      <c r="C72" s="1092"/>
      <c r="D72" s="473">
        <v>0.15</v>
      </c>
      <c r="E72" s="473">
        <v>0</v>
      </c>
      <c r="F72" s="474">
        <f>E72+D72</f>
        <v>0.15</v>
      </c>
      <c r="G72" s="459">
        <f>M72/F72</f>
        <v>0</v>
      </c>
      <c r="H72" s="459">
        <f>M72/F72</f>
        <v>0</v>
      </c>
      <c r="I72" s="456"/>
      <c r="J72" s="477">
        <f>F72</f>
        <v>0.15</v>
      </c>
      <c r="K72" s="477">
        <f>M72/J72</f>
        <v>0</v>
      </c>
      <c r="M72" s="473">
        <v>0</v>
      </c>
      <c r="N72" s="83"/>
    </row>
    <row r="73" spans="1:14" x14ac:dyDescent="0.2">
      <c r="A73" s="367"/>
      <c r="B73" s="1092" t="s">
        <v>386</v>
      </c>
      <c r="C73" s="1092"/>
      <c r="D73" s="473">
        <v>3.4000000000000002E-2</v>
      </c>
      <c r="E73" s="473">
        <v>1E-3</v>
      </c>
      <c r="F73" s="474">
        <f>D73+E73</f>
        <v>3.5000000000000003E-2</v>
      </c>
      <c r="G73" s="459">
        <f>M73/F73</f>
        <v>1.4285714285714286</v>
      </c>
      <c r="H73" s="459">
        <f>M73/F73</f>
        <v>1.4285714285714286</v>
      </c>
      <c r="I73" s="456"/>
      <c r="J73" s="459">
        <f>F73</f>
        <v>3.5000000000000003E-2</v>
      </c>
      <c r="K73" s="477">
        <f>M73/J73</f>
        <v>1.4285714285714286</v>
      </c>
      <c r="M73" s="473">
        <v>0.05</v>
      </c>
      <c r="N73" s="83"/>
    </row>
    <row r="74" spans="1:14" x14ac:dyDescent="0.2">
      <c r="A74" s="367"/>
      <c r="B74" s="1092" t="s">
        <v>402</v>
      </c>
      <c r="C74" s="1092"/>
      <c r="D74" s="473">
        <v>0.26</v>
      </c>
      <c r="E74" s="473">
        <v>0</v>
      </c>
      <c r="F74" s="474">
        <f>D74+E74</f>
        <v>0.26</v>
      </c>
      <c r="G74" s="459">
        <f>M74/F74</f>
        <v>4.807692307692308E-2</v>
      </c>
      <c r="H74" s="459">
        <f>M74/F74</f>
        <v>4.807692307692308E-2</v>
      </c>
      <c r="I74" s="456"/>
      <c r="J74" s="459">
        <f>F74</f>
        <v>0.26</v>
      </c>
      <c r="K74" s="477">
        <f>M74/J74</f>
        <v>4.807692307692308E-2</v>
      </c>
      <c r="M74" s="473">
        <v>1.2500000000000001E-2</v>
      </c>
      <c r="N74" s="83"/>
    </row>
    <row r="75" spans="1:14" x14ac:dyDescent="0.2">
      <c r="A75" s="86"/>
      <c r="F75" s="349"/>
      <c r="G75" s="459">
        <f>SUM(G63:G73)+I51+I52+I53</f>
        <v>5.6826254826254825</v>
      </c>
      <c r="H75" s="459">
        <f>SUM(H63:H73)+I51+I52+I53</f>
        <v>2.628571428571429</v>
      </c>
      <c r="I75" s="895">
        <f>SUM(K63:K74)+I51+I52+I53</f>
        <v>4.9082461972497882</v>
      </c>
      <c r="J75" s="896"/>
      <c r="K75" s="897"/>
      <c r="N75" s="83"/>
    </row>
    <row r="76" spans="1:14" ht="12.75" customHeight="1" x14ac:dyDescent="0.2">
      <c r="A76" s="86"/>
      <c r="C76" s="343"/>
      <c r="D76" s="377"/>
      <c r="E76" s="377"/>
      <c r="F76" s="377"/>
      <c r="G76" s="879">
        <f>ROUND((G60*G75)+(H60*H75),3)</f>
        <v>5.4279999999999999</v>
      </c>
      <c r="H76" s="879"/>
      <c r="I76" s="898"/>
      <c r="J76" s="899"/>
      <c r="K76" s="900"/>
      <c r="N76" s="83"/>
    </row>
    <row r="77" spans="1:14" ht="8.4499999999999993" customHeight="1" x14ac:dyDescent="0.2">
      <c r="A77" s="86"/>
      <c r="C77" s="378"/>
      <c r="D77" s="379"/>
      <c r="E77" s="377"/>
      <c r="F77" s="377"/>
      <c r="G77" s="380"/>
      <c r="H77" s="380"/>
      <c r="I77" s="380"/>
      <c r="J77" s="380"/>
      <c r="K77" s="380"/>
      <c r="M77" s="343"/>
      <c r="N77" s="83"/>
    </row>
    <row r="78" spans="1:14" ht="12.75" customHeight="1" x14ac:dyDescent="0.2">
      <c r="A78" s="86"/>
      <c r="K78" s="349" t="s">
        <v>106</v>
      </c>
      <c r="M78" s="350">
        <f>SUM(M63:M74)*1000</f>
        <v>212.50000000000003</v>
      </c>
      <c r="N78" s="384" t="s">
        <v>120</v>
      </c>
    </row>
    <row r="79" spans="1:14" ht="1.5" customHeight="1" x14ac:dyDescent="0.2">
      <c r="A79" s="86"/>
      <c r="N79" s="83"/>
    </row>
    <row r="80" spans="1:14" ht="15.75" x14ac:dyDescent="0.2">
      <c r="A80" s="86"/>
      <c r="E80" s="902" t="s">
        <v>93</v>
      </c>
      <c r="F80" s="902"/>
      <c r="G80" s="902"/>
      <c r="H80" s="1094">
        <f>ROUND(1/((G76+I75)/2),3)</f>
        <v>0.193</v>
      </c>
      <c r="I80" s="1095"/>
      <c r="J80" s="905" t="s">
        <v>306</v>
      </c>
      <c r="K80" s="906"/>
      <c r="N80" s="83"/>
    </row>
    <row r="81" spans="1:14" ht="4.9000000000000004" customHeight="1" x14ac:dyDescent="0.2">
      <c r="A81" s="87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9"/>
    </row>
    <row r="84" spans="1:14" ht="10.9" customHeight="1" x14ac:dyDescent="0.2"/>
  </sheetData>
  <mergeCells count="154">
    <mergeCell ref="J5:K5"/>
    <mergeCell ref="J6:K6"/>
    <mergeCell ref="J7:K7"/>
    <mergeCell ref="B8:D8"/>
    <mergeCell ref="E8:F8"/>
    <mergeCell ref="H8:I8"/>
    <mergeCell ref="J8:K8"/>
    <mergeCell ref="C2:M2"/>
    <mergeCell ref="C4:H4"/>
    <mergeCell ref="J4:K4"/>
    <mergeCell ref="B11:D11"/>
    <mergeCell ref="E11:F11"/>
    <mergeCell ref="H11:I11"/>
    <mergeCell ref="J11:K11"/>
    <mergeCell ref="B12:D12"/>
    <mergeCell ref="E12:F12"/>
    <mergeCell ref="H12:I12"/>
    <mergeCell ref="J12:K12"/>
    <mergeCell ref="B9:D9"/>
    <mergeCell ref="E9:F9"/>
    <mergeCell ref="H9:I9"/>
    <mergeCell ref="J9:K9"/>
    <mergeCell ref="B10:D10"/>
    <mergeCell ref="E10:F10"/>
    <mergeCell ref="H10:I10"/>
    <mergeCell ref="J10:K10"/>
    <mergeCell ref="B15:D15"/>
    <mergeCell ref="E15:F15"/>
    <mergeCell ref="H15:I15"/>
    <mergeCell ref="J15:K15"/>
    <mergeCell ref="B16:D16"/>
    <mergeCell ref="E16:F16"/>
    <mergeCell ref="H16:I16"/>
    <mergeCell ref="J16:K16"/>
    <mergeCell ref="B13:D13"/>
    <mergeCell ref="E13:F13"/>
    <mergeCell ref="H13:I13"/>
    <mergeCell ref="J13:K13"/>
    <mergeCell ref="B14:D14"/>
    <mergeCell ref="E14:F14"/>
    <mergeCell ref="H14:I14"/>
    <mergeCell ref="J14:K14"/>
    <mergeCell ref="R21:R22"/>
    <mergeCell ref="C26:K26"/>
    <mergeCell ref="C28:H28"/>
    <mergeCell ref="J28:K28"/>
    <mergeCell ref="B17:D17"/>
    <mergeCell ref="E17:F17"/>
    <mergeCell ref="H17:I17"/>
    <mergeCell ref="J17:K17"/>
    <mergeCell ref="B20:D20"/>
    <mergeCell ref="E20:G20"/>
    <mergeCell ref="J29:K29"/>
    <mergeCell ref="J30:K30"/>
    <mergeCell ref="B31:D31"/>
    <mergeCell ref="E31:F31"/>
    <mergeCell ref="H31:I31"/>
    <mergeCell ref="J31:K31"/>
    <mergeCell ref="E21:G21"/>
    <mergeCell ref="H21:I21"/>
    <mergeCell ref="J21:K21"/>
    <mergeCell ref="B34:D34"/>
    <mergeCell ref="E34:F34"/>
    <mergeCell ref="H34:I34"/>
    <mergeCell ref="J34:K34"/>
    <mergeCell ref="B35:D35"/>
    <mergeCell ref="E35:F35"/>
    <mergeCell ref="H35:I35"/>
    <mergeCell ref="J35:K35"/>
    <mergeCell ref="B32:D32"/>
    <mergeCell ref="E32:F32"/>
    <mergeCell ref="H32:I32"/>
    <mergeCell ref="J32:K32"/>
    <mergeCell ref="B33:D33"/>
    <mergeCell ref="E33:F33"/>
    <mergeCell ref="H33:I33"/>
    <mergeCell ref="J33:K33"/>
    <mergeCell ref="B38:D38"/>
    <mergeCell ref="E38:F38"/>
    <mergeCell ref="H38:I38"/>
    <mergeCell ref="J38:K38"/>
    <mergeCell ref="B39:D39"/>
    <mergeCell ref="E39:F39"/>
    <mergeCell ref="H39:I39"/>
    <mergeCell ref="J39:K39"/>
    <mergeCell ref="B36:D36"/>
    <mergeCell ref="E36:F36"/>
    <mergeCell ref="H36:I36"/>
    <mergeCell ref="J36:K36"/>
    <mergeCell ref="B37:D37"/>
    <mergeCell ref="E37:F37"/>
    <mergeCell ref="H37:I37"/>
    <mergeCell ref="J37:K37"/>
    <mergeCell ref="R45:R46"/>
    <mergeCell ref="B40:D40"/>
    <mergeCell ref="E40:F40"/>
    <mergeCell ref="H40:I40"/>
    <mergeCell ref="J40:K40"/>
    <mergeCell ref="B41:D41"/>
    <mergeCell ref="E41:F41"/>
    <mergeCell ref="H41:I41"/>
    <mergeCell ref="J41:K41"/>
    <mergeCell ref="C49:M49"/>
    <mergeCell ref="B51:G51"/>
    <mergeCell ref="I51:J51"/>
    <mergeCell ref="I52:J52"/>
    <mergeCell ref="I53:J53"/>
    <mergeCell ref="G54:H54"/>
    <mergeCell ref="B44:D44"/>
    <mergeCell ref="E44:G44"/>
    <mergeCell ref="E45:G45"/>
    <mergeCell ref="H45:I45"/>
    <mergeCell ref="J45:K45"/>
    <mergeCell ref="A59:B59"/>
    <mergeCell ref="C59:D59"/>
    <mergeCell ref="A60:F60"/>
    <mergeCell ref="G61:H61"/>
    <mergeCell ref="I61:K61"/>
    <mergeCell ref="B62:C62"/>
    <mergeCell ref="C55:F55"/>
    <mergeCell ref="G55:H55"/>
    <mergeCell ref="B56:F57"/>
    <mergeCell ref="G56:H56"/>
    <mergeCell ref="G57:H57"/>
    <mergeCell ref="A58:B58"/>
    <mergeCell ref="C58:D58"/>
    <mergeCell ref="E58:F58"/>
    <mergeCell ref="G58:H58"/>
    <mergeCell ref="M70:M71"/>
    <mergeCell ref="B71:C71"/>
    <mergeCell ref="A68:A69"/>
    <mergeCell ref="B68:C68"/>
    <mergeCell ref="J68:J69"/>
    <mergeCell ref="K68:K69"/>
    <mergeCell ref="M68:M69"/>
    <mergeCell ref="B69:C69"/>
    <mergeCell ref="B63:C63"/>
    <mergeCell ref="B64:C64"/>
    <mergeCell ref="I64:J64"/>
    <mergeCell ref="B65:C65"/>
    <mergeCell ref="B66:C66"/>
    <mergeCell ref="B67:C67"/>
    <mergeCell ref="B72:C72"/>
    <mergeCell ref="B73:C73"/>
    <mergeCell ref="B74:C74"/>
    <mergeCell ref="I75:K76"/>
    <mergeCell ref="G76:H76"/>
    <mergeCell ref="E80:G80"/>
    <mergeCell ref="H80:I80"/>
    <mergeCell ref="J80:K80"/>
    <mergeCell ref="A70:A71"/>
    <mergeCell ref="B70:C70"/>
    <mergeCell ref="J70:J71"/>
    <mergeCell ref="K70:K71"/>
  </mergeCells>
  <dataValidations count="6">
    <dataValidation type="list" allowBlank="1" showInputMessage="1" showErrorMessage="1" sqref="H13:I13" xr:uid="{00000000-0002-0000-1100-000000000000}">
      <formula1>$R$2:$R$18</formula1>
    </dataValidation>
    <dataValidation type="list" allowBlank="1" showInputMessage="1" showErrorMessage="1" sqref="B12:D13" xr:uid="{00000000-0002-0000-1100-000001000000}">
      <formula1>$Q$2:$Q$18</formula1>
    </dataValidation>
    <dataValidation type="list" allowBlank="1" showInputMessage="1" showErrorMessage="1" sqref="B14:D14" xr:uid="{00000000-0002-0000-1100-000002000000}">
      <formula1>$W$2:$W$11</formula1>
    </dataValidation>
    <dataValidation type="list" allowBlank="1" showInputMessage="1" showErrorMessage="1" sqref="B9:D9" xr:uid="{00000000-0002-0000-1100-000003000000}">
      <formula1>$U$2:$U$11</formula1>
    </dataValidation>
    <dataValidation type="list" allowBlank="1" showInputMessage="1" showErrorMessage="1" sqref="J4:K4" xr:uid="{00000000-0002-0000-1100-000004000000}">
      <formula1>$P$2:$P$4</formula1>
    </dataValidation>
    <dataValidation type="list" allowBlank="1" showInputMessage="1" showErrorMessage="1" sqref="B11:D11" xr:uid="{00000000-0002-0000-1100-000005000000}">
      <formula1>$Q$2:$Q$11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U191"/>
  <sheetViews>
    <sheetView showGridLines="0" view="pageBreakPreview" zoomScaleNormal="100" zoomScaleSheetLayoutView="100" workbookViewId="0">
      <selection activeCell="AB201" sqref="AB192:AC201"/>
    </sheetView>
  </sheetViews>
  <sheetFormatPr defaultColWidth="9.140625" defaultRowHeight="12.75" x14ac:dyDescent="0.2"/>
  <cols>
    <col min="1" max="1" width="2.5703125" style="2" customWidth="1"/>
    <col min="2" max="2" width="13.7109375" style="2" customWidth="1"/>
    <col min="3" max="3" width="7.7109375" style="2" customWidth="1"/>
    <col min="4" max="4" width="6.140625" style="2" customWidth="1"/>
    <col min="5" max="6" width="5.85546875" style="2" customWidth="1"/>
    <col min="7" max="7" width="6.5703125" style="2" customWidth="1"/>
    <col min="8" max="8" width="6.85546875" style="2" customWidth="1"/>
    <col min="9" max="9" width="5.42578125" style="2" customWidth="1"/>
    <col min="10" max="10" width="6.42578125" style="2" customWidth="1"/>
    <col min="11" max="11" width="6.5703125" style="2" customWidth="1"/>
    <col min="12" max="12" width="1.85546875" style="2" customWidth="1"/>
    <col min="13" max="13" width="6.7109375" style="2" customWidth="1"/>
    <col min="14" max="14" width="3.7109375" style="2" customWidth="1"/>
    <col min="15" max="16" width="9.140625" style="2"/>
    <col min="17" max="17" width="19.85546875" style="2" customWidth="1"/>
    <col min="18" max="16384" width="9.140625" style="2"/>
  </cols>
  <sheetData>
    <row r="1" spans="1:21" s="58" customFormat="1" ht="4.5" customHeight="1" x14ac:dyDescent="0.2">
      <c r="A1" s="59"/>
    </row>
    <row r="2" spans="1:21" ht="24" hidden="1" customHeight="1" x14ac:dyDescent="0.2">
      <c r="A2" s="864" t="s">
        <v>217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6"/>
    </row>
    <row r="3" spans="1:21" s="58" customFormat="1" ht="5.45" customHeight="1" x14ac:dyDescent="0.2">
      <c r="A3" s="59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21" ht="9.9499999999999993" customHeight="1" x14ac:dyDescent="0.35">
      <c r="A4" s="78"/>
      <c r="B4" s="79"/>
      <c r="C4" s="79"/>
      <c r="D4" s="79"/>
      <c r="E4" s="79"/>
      <c r="F4" s="79"/>
      <c r="G4" s="79"/>
      <c r="H4" s="79"/>
      <c r="I4" s="79"/>
      <c r="J4" s="80"/>
      <c r="K4" s="80"/>
      <c r="L4" s="99"/>
      <c r="M4" s="99"/>
      <c r="N4" s="81"/>
    </row>
    <row r="5" spans="1:21" s="272" customFormat="1" ht="15.75" x14ac:dyDescent="0.2">
      <c r="A5" s="354"/>
      <c r="B5" s="494" t="s">
        <v>349</v>
      </c>
      <c r="C5" s="1099" t="s">
        <v>383</v>
      </c>
      <c r="D5" s="1100"/>
      <c r="E5" s="1100"/>
      <c r="F5" s="1100"/>
      <c r="G5" s="1100"/>
      <c r="H5" s="1100"/>
      <c r="I5" s="1100"/>
      <c r="J5" s="1100"/>
      <c r="K5" s="1100"/>
      <c r="L5" s="1100"/>
      <c r="M5" s="1101"/>
      <c r="N5" s="83"/>
    </row>
    <row r="6" spans="1:21" s="272" customFormat="1" ht="10.5" customHeight="1" x14ac:dyDescent="0.2">
      <c r="A6" s="354"/>
      <c r="B6" s="355"/>
      <c r="C6" s="341"/>
      <c r="D6" s="356"/>
      <c r="E6" s="356"/>
      <c r="F6" s="356"/>
      <c r="G6" s="356"/>
      <c r="H6" s="356"/>
      <c r="I6" s="356"/>
      <c r="J6" s="356"/>
      <c r="K6" s="2"/>
      <c r="L6" s="2"/>
      <c r="M6" s="2"/>
      <c r="N6" s="83"/>
    </row>
    <row r="7" spans="1:21" s="272" customFormat="1" ht="15" customHeight="1" x14ac:dyDescent="0.25">
      <c r="A7" s="354"/>
      <c r="B7" s="871" t="s">
        <v>307</v>
      </c>
      <c r="C7" s="871"/>
      <c r="D7" s="871"/>
      <c r="E7" s="871"/>
      <c r="F7" s="871"/>
      <c r="G7" s="871"/>
      <c r="H7" s="357" t="s">
        <v>308</v>
      </c>
      <c r="I7" s="1102">
        <v>0.1</v>
      </c>
      <c r="J7" s="1097"/>
      <c r="K7" s="399"/>
      <c r="L7" s="2"/>
      <c r="M7" s="2"/>
      <c r="N7" s="83"/>
      <c r="Q7" s="500" t="s">
        <v>422</v>
      </c>
      <c r="R7" s="500">
        <v>0.2</v>
      </c>
    </row>
    <row r="8" spans="1:21" s="272" customFormat="1" ht="15" x14ac:dyDescent="0.25">
      <c r="A8" s="354"/>
      <c r="B8" s="355"/>
      <c r="C8" s="341"/>
      <c r="D8" s="383"/>
      <c r="E8" s="383"/>
      <c r="F8" s="383"/>
      <c r="G8" s="383"/>
      <c r="H8" s="341" t="s">
        <v>301</v>
      </c>
      <c r="I8" s="930">
        <v>0.04</v>
      </c>
      <c r="J8" s="873"/>
      <c r="K8" s="2"/>
      <c r="L8" s="2"/>
      <c r="M8" s="2"/>
      <c r="N8" s="83"/>
      <c r="Q8" s="501" t="s">
        <v>408</v>
      </c>
      <c r="R8" s="501">
        <v>0.15</v>
      </c>
    </row>
    <row r="9" spans="1:21" ht="15" x14ac:dyDescent="0.25">
      <c r="A9" s="354"/>
      <c r="B9" s="355"/>
      <c r="C9" s="341"/>
      <c r="D9" s="383"/>
      <c r="E9" s="383"/>
      <c r="F9" s="383"/>
      <c r="G9" s="383"/>
      <c r="H9" s="341" t="s">
        <v>323</v>
      </c>
      <c r="I9" s="1096">
        <v>0.3</v>
      </c>
      <c r="J9" s="1097"/>
      <c r="N9" s="83"/>
      <c r="R9" s="496" t="s">
        <v>407</v>
      </c>
      <c r="U9" s="496">
        <v>0.15</v>
      </c>
    </row>
    <row r="10" spans="1:21" s="272" customFormat="1" ht="7.9" customHeight="1" x14ac:dyDescent="0.25">
      <c r="A10" s="354"/>
      <c r="B10" s="355"/>
      <c r="C10" s="341"/>
      <c r="D10" s="341"/>
      <c r="E10" s="341"/>
      <c r="F10" s="341"/>
      <c r="G10" s="892"/>
      <c r="H10" s="892"/>
      <c r="I10" s="341"/>
      <c r="J10" s="359"/>
      <c r="K10" s="2"/>
      <c r="L10" s="2"/>
      <c r="M10" s="2"/>
      <c r="N10" s="83"/>
      <c r="Q10" s="501" t="s">
        <v>431</v>
      </c>
      <c r="R10" s="501">
        <v>3.5000000000000003E-2</v>
      </c>
    </row>
    <row r="11" spans="1:21" s="272" customFormat="1" ht="15" x14ac:dyDescent="0.25">
      <c r="A11" s="354"/>
      <c r="B11" s="355"/>
      <c r="C11" s="882" t="s">
        <v>8</v>
      </c>
      <c r="D11" s="882"/>
      <c r="E11" s="882"/>
      <c r="F11" s="882"/>
      <c r="G11" s="1149">
        <v>0.6</v>
      </c>
      <c r="H11" s="1149"/>
      <c r="I11" s="341"/>
      <c r="J11" s="359"/>
      <c r="K11" s="2"/>
      <c r="L11" s="2"/>
      <c r="M11" s="2"/>
      <c r="N11" s="83"/>
      <c r="Q11" s="501" t="s">
        <v>432</v>
      </c>
      <c r="R11" s="501">
        <v>3.3000000000000002E-2</v>
      </c>
    </row>
    <row r="12" spans="1:21" s="272" customFormat="1" ht="15" customHeight="1" x14ac:dyDescent="0.25">
      <c r="A12" s="354"/>
      <c r="B12" s="891" t="s">
        <v>311</v>
      </c>
      <c r="C12" s="891"/>
      <c r="D12" s="891"/>
      <c r="E12" s="891"/>
      <c r="F12" s="891"/>
      <c r="G12" s="1150">
        <v>0.55000000000000004</v>
      </c>
      <c r="H12" s="1150"/>
      <c r="I12" s="341"/>
      <c r="J12" s="359"/>
      <c r="K12" s="2"/>
      <c r="L12" s="2"/>
      <c r="M12" s="2"/>
      <c r="N12" s="83"/>
      <c r="Q12" s="501" t="s">
        <v>402</v>
      </c>
      <c r="R12" s="501">
        <v>0.26</v>
      </c>
    </row>
    <row r="13" spans="1:21" s="272" customFormat="1" ht="15" x14ac:dyDescent="0.25">
      <c r="A13" s="354"/>
      <c r="B13" s="452"/>
      <c r="C13" s="452"/>
      <c r="D13" s="452"/>
      <c r="E13" s="452"/>
      <c r="F13" s="452"/>
      <c r="G13" s="1149">
        <f>G11-G12</f>
        <v>4.9999999999999933E-2</v>
      </c>
      <c r="H13" s="1149"/>
      <c r="I13" s="341"/>
      <c r="J13" s="359"/>
      <c r="K13" s="2"/>
      <c r="L13" s="2"/>
      <c r="M13" s="2"/>
      <c r="N13" s="83"/>
      <c r="Q13" s="501" t="s">
        <v>404</v>
      </c>
      <c r="R13" s="501">
        <v>0.64</v>
      </c>
    </row>
    <row r="14" spans="1:21" ht="9.75" customHeight="1" x14ac:dyDescent="0.2">
      <c r="A14" s="881"/>
      <c r="B14" s="882"/>
      <c r="C14" s="883"/>
      <c r="D14" s="883"/>
      <c r="E14" s="883"/>
      <c r="F14" s="883"/>
      <c r="G14" s="884"/>
      <c r="H14" s="884"/>
      <c r="I14" s="360"/>
      <c r="J14" s="360"/>
      <c r="K14" s="360"/>
      <c r="N14" s="83"/>
      <c r="Q14" s="496" t="s">
        <v>262</v>
      </c>
      <c r="R14" s="496">
        <v>3.5999999999999997E-2</v>
      </c>
    </row>
    <row r="15" spans="1:21" x14ac:dyDescent="0.2">
      <c r="A15" s="890"/>
      <c r="B15" s="891"/>
      <c r="C15" s="883"/>
      <c r="D15" s="883"/>
      <c r="E15" s="361"/>
      <c r="F15" s="361"/>
      <c r="G15" s="467" t="s">
        <v>0</v>
      </c>
      <c r="H15" s="467" t="s">
        <v>1</v>
      </c>
      <c r="I15" s="466"/>
      <c r="J15" s="364"/>
      <c r="K15" s="364"/>
      <c r="N15" s="83"/>
      <c r="Q15" s="496" t="s">
        <v>386</v>
      </c>
      <c r="R15" s="496">
        <v>3.6999999999999998E-2</v>
      </c>
    </row>
    <row r="16" spans="1:21" x14ac:dyDescent="0.2">
      <c r="A16" s="887" t="s">
        <v>312</v>
      </c>
      <c r="B16" s="888"/>
      <c r="C16" s="888"/>
      <c r="D16" s="888"/>
      <c r="E16" s="888"/>
      <c r="F16" s="888"/>
      <c r="G16" s="468">
        <f>G12/G11</f>
        <v>0.91666666666666674</v>
      </c>
      <c r="H16" s="468">
        <f>G13/G11</f>
        <v>8.3333333333333232E-2</v>
      </c>
      <c r="I16" s="457"/>
      <c r="J16" s="364"/>
      <c r="K16" s="364"/>
      <c r="N16" s="83"/>
      <c r="Q16" s="496" t="s">
        <v>460</v>
      </c>
      <c r="R16" s="496">
        <v>3.5000000000000003E-2</v>
      </c>
    </row>
    <row r="17" spans="1:18" ht="36.75" customHeight="1" x14ac:dyDescent="0.2">
      <c r="A17" s="367"/>
      <c r="B17" s="368"/>
      <c r="C17" s="368"/>
      <c r="D17" s="368"/>
      <c r="E17" s="368"/>
      <c r="F17" s="368"/>
      <c r="G17" s="889" t="s">
        <v>313</v>
      </c>
      <c r="H17" s="889"/>
      <c r="I17" s="889" t="s">
        <v>314</v>
      </c>
      <c r="J17" s="889"/>
      <c r="K17" s="889"/>
      <c r="N17" s="83"/>
      <c r="Q17" s="496" t="s">
        <v>473</v>
      </c>
      <c r="R17" s="497">
        <v>3.7999999999999999E-2</v>
      </c>
    </row>
    <row r="18" spans="1:18" ht="24" customHeight="1" x14ac:dyDescent="0.2">
      <c r="A18" s="369"/>
      <c r="B18" s="907" t="s">
        <v>6</v>
      </c>
      <c r="C18" s="907"/>
      <c r="D18" s="470" t="s">
        <v>315</v>
      </c>
      <c r="E18" s="470" t="s">
        <v>303</v>
      </c>
      <c r="F18" s="470" t="s">
        <v>316</v>
      </c>
      <c r="G18" s="470" t="s">
        <v>317</v>
      </c>
      <c r="H18" s="470" t="s">
        <v>318</v>
      </c>
      <c r="I18" s="471" t="s">
        <v>4</v>
      </c>
      <c r="J18" s="470" t="s">
        <v>119</v>
      </c>
      <c r="K18" s="470" t="s">
        <v>321</v>
      </c>
      <c r="M18" s="458" t="s">
        <v>324</v>
      </c>
      <c r="N18" s="83"/>
      <c r="Q18" s="2" t="s">
        <v>386</v>
      </c>
    </row>
    <row r="19" spans="1:18" ht="12.75" customHeight="1" x14ac:dyDescent="0.2">
      <c r="A19" s="469"/>
      <c r="B19" s="874" t="s">
        <v>483</v>
      </c>
      <c r="C19" s="874"/>
      <c r="D19" s="472">
        <v>0.15</v>
      </c>
      <c r="E19" s="473">
        <v>0</v>
      </c>
      <c r="F19" s="474">
        <f>D19+E19</f>
        <v>0.15</v>
      </c>
      <c r="G19" s="459">
        <f>$M$19/$F$19</f>
        <v>0.13333333333333333</v>
      </c>
      <c r="H19" s="459">
        <f>$M$19/$F$19</f>
        <v>0.13333333333333333</v>
      </c>
      <c r="I19" s="456"/>
      <c r="J19" s="459">
        <f>F19</f>
        <v>0.15</v>
      </c>
      <c r="K19" s="459">
        <f>M19/J19</f>
        <v>0.13333333333333333</v>
      </c>
      <c r="M19" s="473">
        <v>0.02</v>
      </c>
      <c r="N19" s="83"/>
    </row>
    <row r="20" spans="1:18" ht="12.75" hidden="1" customHeight="1" x14ac:dyDescent="0.2">
      <c r="A20" s="469"/>
      <c r="B20" s="874" t="s">
        <v>262</v>
      </c>
      <c r="C20" s="874"/>
      <c r="D20" s="475">
        <v>0.64</v>
      </c>
      <c r="E20" s="473">
        <v>0</v>
      </c>
      <c r="F20" s="474">
        <f>D20+E20</f>
        <v>0.64</v>
      </c>
      <c r="G20" s="459">
        <f>M20/F20</f>
        <v>0</v>
      </c>
      <c r="H20" s="459">
        <f>M20/F20</f>
        <v>0</v>
      </c>
      <c r="I20" s="456"/>
      <c r="J20" s="459">
        <f>F20</f>
        <v>0.64</v>
      </c>
      <c r="K20" s="459">
        <f>M20/J20</f>
        <v>0</v>
      </c>
      <c r="M20" s="473"/>
      <c r="N20" s="83"/>
    </row>
    <row r="21" spans="1:18" ht="12.75" hidden="1" customHeight="1" x14ac:dyDescent="0.2">
      <c r="A21" s="469"/>
      <c r="B21" s="874" t="s">
        <v>473</v>
      </c>
      <c r="C21" s="874"/>
      <c r="D21" s="475">
        <v>3.7999999999999999E-2</v>
      </c>
      <c r="E21" s="473">
        <v>0</v>
      </c>
      <c r="F21" s="474">
        <f>D21+E21</f>
        <v>3.7999999999999999E-2</v>
      </c>
      <c r="G21" s="459">
        <f>M21/F21</f>
        <v>0</v>
      </c>
      <c r="H21" s="459">
        <f>M21/F21</f>
        <v>0</v>
      </c>
      <c r="I21" s="456"/>
      <c r="J21" s="459">
        <f>F21</f>
        <v>3.7999999999999999E-2</v>
      </c>
      <c r="K21" s="459">
        <v>0</v>
      </c>
      <c r="M21" s="473"/>
      <c r="N21" s="83"/>
    </row>
    <row r="22" spans="1:18" ht="12.75" customHeight="1" x14ac:dyDescent="0.2">
      <c r="A22" s="887"/>
      <c r="B22" s="874" t="s">
        <v>7</v>
      </c>
      <c r="C22" s="874"/>
      <c r="D22" s="472">
        <v>0.15</v>
      </c>
      <c r="E22" s="473">
        <v>0</v>
      </c>
      <c r="F22" s="474">
        <f t="shared" ref="F22:F28" si="0">D22+E22</f>
        <v>0.15</v>
      </c>
      <c r="G22" s="459"/>
      <c r="H22" s="459">
        <f>M22/F22</f>
        <v>1.3333333333333335</v>
      </c>
      <c r="I22" s="465">
        <f>(G13*G11*2)/(G11*G11*2)</f>
        <v>8.3333333333333218E-2</v>
      </c>
      <c r="J22" s="879">
        <f>(I22*F22)+(I23*F23)</f>
        <v>4.7333333333333318E-2</v>
      </c>
      <c r="K22" s="879">
        <f>M22/J22</f>
        <v>4.2253521126760578</v>
      </c>
      <c r="M22" s="1108">
        <v>0.2</v>
      </c>
      <c r="N22" s="83"/>
    </row>
    <row r="23" spans="1:18" x14ac:dyDescent="0.2">
      <c r="A23" s="887"/>
      <c r="B23" s="874" t="s">
        <v>386</v>
      </c>
      <c r="C23" s="874"/>
      <c r="D23" s="473">
        <v>3.6999999999999998E-2</v>
      </c>
      <c r="E23" s="473">
        <v>1E-3</v>
      </c>
      <c r="F23" s="474">
        <f t="shared" si="0"/>
        <v>3.7999999999999999E-2</v>
      </c>
      <c r="G23" s="459">
        <f>$M$22/$F$23</f>
        <v>5.2631578947368425</v>
      </c>
      <c r="H23" s="459"/>
      <c r="I23" s="465">
        <f>(G12*G11*2)/(G11*G11*2)</f>
        <v>0.91666666666666674</v>
      </c>
      <c r="J23" s="879"/>
      <c r="K23" s="879"/>
      <c r="M23" s="1108"/>
      <c r="N23" s="83"/>
    </row>
    <row r="24" spans="1:18" hidden="1" x14ac:dyDescent="0.2">
      <c r="A24" s="887"/>
      <c r="B24" s="874" t="s">
        <v>7</v>
      </c>
      <c r="C24" s="874"/>
      <c r="D24" s="472">
        <v>0.13</v>
      </c>
      <c r="E24" s="473">
        <v>0</v>
      </c>
      <c r="F24" s="474">
        <f t="shared" si="0"/>
        <v>0.13</v>
      </c>
      <c r="G24" s="459"/>
      <c r="H24" s="459">
        <f>M24/F24</f>
        <v>0</v>
      </c>
      <c r="I24" s="465">
        <f>(G13*G11*2)/(G11*G11*2)</f>
        <v>8.3333333333333218E-2</v>
      </c>
      <c r="J24" s="879">
        <f>(I24*F24)+(I25*F25)</f>
        <v>4.2916666666666659E-2</v>
      </c>
      <c r="K24" s="879">
        <f>M24/J24</f>
        <v>0</v>
      </c>
      <c r="M24" s="1108">
        <v>0</v>
      </c>
      <c r="N24" s="83"/>
    </row>
    <row r="25" spans="1:18" hidden="1" x14ac:dyDescent="0.2">
      <c r="A25" s="887"/>
      <c r="B25" s="874" t="s">
        <v>409</v>
      </c>
      <c r="C25" s="874"/>
      <c r="D25" s="475">
        <v>0</v>
      </c>
      <c r="E25" s="473">
        <v>0</v>
      </c>
      <c r="F25" s="474">
        <v>3.5000000000000003E-2</v>
      </c>
      <c r="G25" s="459">
        <f>M24/F25</f>
        <v>0</v>
      </c>
      <c r="H25" s="459"/>
      <c r="I25" s="465">
        <f>(G12*G11*2)/(G11*G11*2)</f>
        <v>0.91666666666666674</v>
      </c>
      <c r="J25" s="879"/>
      <c r="K25" s="879"/>
      <c r="M25" s="1108"/>
      <c r="N25" s="83"/>
    </row>
    <row r="26" spans="1:18" x14ac:dyDescent="0.2">
      <c r="A26" s="367"/>
      <c r="B26" s="874" t="s">
        <v>386</v>
      </c>
      <c r="C26" s="874"/>
      <c r="D26" s="473">
        <v>3.6999999999999998E-2</v>
      </c>
      <c r="E26" s="473">
        <v>1E-3</v>
      </c>
      <c r="F26" s="474">
        <f t="shared" si="0"/>
        <v>3.7999999999999999E-2</v>
      </c>
      <c r="G26" s="459">
        <f>$M$26/$F$26</f>
        <v>1.3157894736842106</v>
      </c>
      <c r="H26" s="459">
        <f>$M$26/$F$26</f>
        <v>1.3157894736842106</v>
      </c>
      <c r="I26" s="456"/>
      <c r="J26" s="477">
        <f>F26</f>
        <v>3.7999999999999999E-2</v>
      </c>
      <c r="K26" s="477">
        <f>M26/J26</f>
        <v>1.3157894736842106</v>
      </c>
      <c r="M26" s="473">
        <v>0.05</v>
      </c>
      <c r="N26" s="83"/>
    </row>
    <row r="27" spans="1:18" hidden="1" x14ac:dyDescent="0.2">
      <c r="A27" s="367"/>
      <c r="B27" s="874" t="s">
        <v>402</v>
      </c>
      <c r="C27" s="874"/>
      <c r="D27" s="472">
        <v>0.15</v>
      </c>
      <c r="E27" s="473">
        <v>0</v>
      </c>
      <c r="F27" s="474">
        <v>3.3000000000000002E-2</v>
      </c>
      <c r="G27" s="459">
        <f>$M$27/$F$27</f>
        <v>0</v>
      </c>
      <c r="H27" s="459">
        <f>$M$27/$F$27</f>
        <v>0</v>
      </c>
      <c r="I27" s="456"/>
      <c r="J27" s="459">
        <f>F27</f>
        <v>3.3000000000000002E-2</v>
      </c>
      <c r="K27" s="477">
        <f>M27/J27</f>
        <v>0</v>
      </c>
      <c r="M27" s="473">
        <v>0</v>
      </c>
      <c r="N27" s="83"/>
    </row>
    <row r="28" spans="1:18" x14ac:dyDescent="0.2">
      <c r="A28" s="367"/>
      <c r="B28" s="874" t="s">
        <v>402</v>
      </c>
      <c r="C28" s="874"/>
      <c r="D28" s="472">
        <v>0.26</v>
      </c>
      <c r="E28" s="473">
        <v>0</v>
      </c>
      <c r="F28" s="474">
        <f t="shared" si="0"/>
        <v>0.26</v>
      </c>
      <c r="G28" s="459">
        <f>$M$28/$F$28</f>
        <v>4.807692307692308E-2</v>
      </c>
      <c r="H28" s="459">
        <f>$M$28/$F$28</f>
        <v>4.807692307692308E-2</v>
      </c>
      <c r="I28" s="456"/>
      <c r="J28" s="459">
        <v>1</v>
      </c>
      <c r="K28" s="477">
        <f>M28/J28</f>
        <v>1.2500000000000001E-2</v>
      </c>
      <c r="M28" s="473">
        <v>1.2500000000000001E-2</v>
      </c>
      <c r="N28" s="83"/>
    </row>
    <row r="29" spans="1:18" x14ac:dyDescent="0.2">
      <c r="A29" s="86"/>
      <c r="F29" s="349"/>
      <c r="G29" s="488">
        <f>SUM(G19:G28)+$I$7+$I$8+I9</f>
        <v>7.2003576248313097</v>
      </c>
      <c r="H29" s="488">
        <f>SUM(H19:H28)+$I$7+$I$8+I9</f>
        <v>3.2705330634278003</v>
      </c>
      <c r="I29" s="1162"/>
      <c r="J29" s="1162"/>
      <c r="K29" s="1162"/>
      <c r="N29" s="83"/>
    </row>
    <row r="30" spans="1:18" ht="12.75" customHeight="1" x14ac:dyDescent="0.2">
      <c r="A30" s="86"/>
      <c r="C30" s="343"/>
      <c r="D30" s="377"/>
      <c r="E30" s="377"/>
      <c r="F30" s="377"/>
      <c r="G30" s="879">
        <f>ROUND(1/((G16/G29)+(H16/H29)),3)</f>
        <v>6.5449999999999999</v>
      </c>
      <c r="H30" s="879"/>
      <c r="I30" s="936">
        <f>SUM(K19:K28)+I7+I8+I9</f>
        <v>6.1269749196936019</v>
      </c>
      <c r="J30" s="936"/>
      <c r="K30" s="936"/>
      <c r="N30" s="83"/>
    </row>
    <row r="31" spans="1:18" ht="7.15" customHeight="1" x14ac:dyDescent="0.2">
      <c r="A31" s="86"/>
      <c r="C31" s="378"/>
      <c r="D31" s="379"/>
      <c r="E31" s="377"/>
      <c r="F31" s="377"/>
      <c r="G31" s="380"/>
      <c r="H31" s="380"/>
      <c r="I31" s="380"/>
      <c r="J31" s="380"/>
      <c r="K31" s="380"/>
      <c r="M31" s="343"/>
      <c r="N31" s="83"/>
    </row>
    <row r="32" spans="1:18" ht="12.75" customHeight="1" x14ac:dyDescent="0.2">
      <c r="A32" s="86"/>
      <c r="K32" s="349" t="s">
        <v>106</v>
      </c>
      <c r="M32" s="350">
        <f>SUM(M19:M28)*1000</f>
        <v>282.50000000000006</v>
      </c>
      <c r="N32" s="384" t="s">
        <v>120</v>
      </c>
    </row>
    <row r="33" spans="1:18" ht="6.6" customHeight="1" x14ac:dyDescent="0.2">
      <c r="A33" s="86"/>
      <c r="N33" s="83"/>
    </row>
    <row r="34" spans="1:18" ht="15.75" x14ac:dyDescent="0.2">
      <c r="A34" s="86"/>
      <c r="E34" s="902" t="s">
        <v>93</v>
      </c>
      <c r="F34" s="902"/>
      <c r="G34" s="902"/>
      <c r="H34" s="1094">
        <f>ROUND(1/((G30+I30)/2),3)</f>
        <v>0.158</v>
      </c>
      <c r="I34" s="1095"/>
      <c r="J34" s="905" t="s">
        <v>306</v>
      </c>
      <c r="K34" s="906"/>
      <c r="N34" s="83"/>
    </row>
    <row r="35" spans="1:18" ht="6" customHeight="1" x14ac:dyDescent="0.2">
      <c r="A35" s="87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9"/>
    </row>
    <row r="36" spans="1:18" ht="7.5" hidden="1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2"/>
      <c r="K36" s="1098"/>
      <c r="L36" s="1098"/>
      <c r="M36" s="1098"/>
      <c r="N36" s="1098"/>
    </row>
    <row r="37" spans="1:18" ht="9.9499999999999993" hidden="1" customHeight="1" x14ac:dyDescent="0.35">
      <c r="A37" s="78"/>
      <c r="B37" s="79"/>
      <c r="C37" s="79"/>
      <c r="D37" s="79"/>
      <c r="E37" s="79"/>
      <c r="F37" s="79"/>
      <c r="G37" s="79"/>
      <c r="H37" s="79"/>
      <c r="I37" s="79"/>
      <c r="J37" s="80"/>
      <c r="K37" s="80"/>
      <c r="L37" s="99"/>
      <c r="M37" s="99"/>
      <c r="N37" s="81"/>
    </row>
    <row r="38" spans="1:18" s="272" customFormat="1" ht="15.75" hidden="1" x14ac:dyDescent="0.2">
      <c r="A38" s="354"/>
      <c r="B38" s="494" t="s">
        <v>349</v>
      </c>
      <c r="C38" s="1099" t="s">
        <v>387</v>
      </c>
      <c r="D38" s="1100"/>
      <c r="E38" s="1100"/>
      <c r="F38" s="1100"/>
      <c r="G38" s="1100"/>
      <c r="H38" s="1100"/>
      <c r="I38" s="1100"/>
      <c r="J38" s="1100"/>
      <c r="K38" s="1100"/>
      <c r="L38" s="1100"/>
      <c r="M38" s="1101"/>
      <c r="N38" s="83"/>
    </row>
    <row r="39" spans="1:18" s="272" customFormat="1" ht="10.5" hidden="1" customHeight="1" x14ac:dyDescent="0.2">
      <c r="A39" s="354"/>
      <c r="B39" s="355"/>
      <c r="C39" s="341"/>
      <c r="D39" s="356"/>
      <c r="E39" s="356"/>
      <c r="F39" s="356"/>
      <c r="G39" s="356"/>
      <c r="H39" s="356"/>
      <c r="I39" s="356"/>
      <c r="J39" s="356"/>
      <c r="K39" s="2"/>
      <c r="L39" s="2"/>
      <c r="M39" s="2"/>
      <c r="N39" s="83"/>
    </row>
    <row r="40" spans="1:18" s="272" customFormat="1" ht="15" hidden="1" customHeight="1" x14ac:dyDescent="0.25">
      <c r="A40" s="354"/>
      <c r="B40" s="871" t="s">
        <v>307</v>
      </c>
      <c r="C40" s="871"/>
      <c r="D40" s="871"/>
      <c r="E40" s="871"/>
      <c r="F40" s="871"/>
      <c r="G40" s="871"/>
      <c r="H40" s="357" t="s">
        <v>308</v>
      </c>
      <c r="I40" s="1102">
        <v>0.13</v>
      </c>
      <c r="J40" s="1097"/>
      <c r="K40" s="399"/>
      <c r="L40" s="2"/>
      <c r="M40" s="2"/>
      <c r="N40" s="83"/>
      <c r="Q40" s="500" t="s">
        <v>422</v>
      </c>
      <c r="R40" s="500">
        <v>0.2</v>
      </c>
    </row>
    <row r="41" spans="1:18" s="272" customFormat="1" ht="15" hidden="1" x14ac:dyDescent="0.25">
      <c r="A41" s="354"/>
      <c r="B41" s="355"/>
      <c r="C41" s="341"/>
      <c r="D41" s="383"/>
      <c r="E41" s="383"/>
      <c r="F41" s="383"/>
      <c r="G41" s="383"/>
      <c r="H41" s="341" t="s">
        <v>301</v>
      </c>
      <c r="I41" s="1102">
        <v>0.04</v>
      </c>
      <c r="J41" s="1097"/>
      <c r="K41" s="2"/>
      <c r="L41" s="2"/>
      <c r="M41" s="2"/>
      <c r="N41" s="83"/>
      <c r="Q41" s="501" t="s">
        <v>408</v>
      </c>
      <c r="R41" s="501">
        <v>0.25</v>
      </c>
    </row>
    <row r="42" spans="1:18" s="272" customFormat="1" ht="7.9" hidden="1" customHeight="1" x14ac:dyDescent="0.25">
      <c r="A42" s="354"/>
      <c r="B42" s="355"/>
      <c r="C42" s="341"/>
      <c r="D42" s="341"/>
      <c r="E42" s="341"/>
      <c r="F42" s="341"/>
      <c r="G42" s="892"/>
      <c r="H42" s="892"/>
      <c r="I42" s="341"/>
      <c r="J42" s="359"/>
      <c r="K42" s="2"/>
      <c r="L42" s="2"/>
      <c r="M42" s="2"/>
      <c r="N42" s="83"/>
      <c r="Q42" s="501" t="s">
        <v>431</v>
      </c>
      <c r="R42" s="501">
        <v>3.5000000000000003E-2</v>
      </c>
    </row>
    <row r="43" spans="1:18" s="272" customFormat="1" ht="15" hidden="1" x14ac:dyDescent="0.25">
      <c r="A43" s="354"/>
      <c r="B43" s="355"/>
      <c r="C43" s="882" t="s">
        <v>8</v>
      </c>
      <c r="D43" s="882"/>
      <c r="E43" s="882"/>
      <c r="F43" s="882"/>
      <c r="G43" s="1149">
        <v>0.6</v>
      </c>
      <c r="H43" s="1149"/>
      <c r="I43" s="341"/>
      <c r="J43" s="359"/>
      <c r="K43" s="2"/>
      <c r="L43" s="2"/>
      <c r="M43" s="2"/>
      <c r="N43" s="83"/>
      <c r="Q43" s="501" t="s">
        <v>432</v>
      </c>
      <c r="R43" s="501">
        <v>3.3000000000000002E-2</v>
      </c>
    </row>
    <row r="44" spans="1:18" s="272" customFormat="1" ht="15" hidden="1" customHeight="1" x14ac:dyDescent="0.25">
      <c r="A44" s="354"/>
      <c r="B44" s="891" t="s">
        <v>311</v>
      </c>
      <c r="C44" s="891"/>
      <c r="D44" s="891"/>
      <c r="E44" s="891"/>
      <c r="F44" s="891"/>
      <c r="G44" s="1149">
        <v>0.55000000000000004</v>
      </c>
      <c r="H44" s="1149"/>
      <c r="I44" s="341"/>
      <c r="J44" s="359"/>
      <c r="K44" s="2"/>
      <c r="L44" s="2"/>
      <c r="M44" s="2"/>
      <c r="N44" s="83"/>
      <c r="Q44" s="501" t="s">
        <v>402</v>
      </c>
      <c r="R44" s="501">
        <v>0.26</v>
      </c>
    </row>
    <row r="45" spans="1:18" s="272" customFormat="1" ht="15" hidden="1" x14ac:dyDescent="0.25">
      <c r="A45" s="354"/>
      <c r="B45" s="452"/>
      <c r="C45" s="452"/>
      <c r="D45" s="452"/>
      <c r="E45" s="452"/>
      <c r="F45" s="452"/>
      <c r="G45" s="1149">
        <f>G43-G44</f>
        <v>4.9999999999999933E-2</v>
      </c>
      <c r="H45" s="1149"/>
      <c r="I45" s="341"/>
      <c r="J45" s="359"/>
      <c r="K45" s="2"/>
      <c r="L45" s="2"/>
      <c r="M45" s="2"/>
      <c r="N45" s="83"/>
      <c r="Q45" s="501" t="s">
        <v>404</v>
      </c>
      <c r="R45" s="501">
        <v>0.64</v>
      </c>
    </row>
    <row r="46" spans="1:18" ht="9.75" hidden="1" customHeight="1" x14ac:dyDescent="0.2">
      <c r="A46" s="881"/>
      <c r="B46" s="882"/>
      <c r="C46" s="883"/>
      <c r="D46" s="883"/>
      <c r="E46" s="883"/>
      <c r="F46" s="883"/>
      <c r="G46" s="884"/>
      <c r="H46" s="884"/>
      <c r="I46" s="360"/>
      <c r="J46" s="360"/>
      <c r="K46" s="360"/>
      <c r="N46" s="83"/>
      <c r="Q46" s="496" t="s">
        <v>262</v>
      </c>
      <c r="R46" s="496">
        <v>3.5999999999999997E-2</v>
      </c>
    </row>
    <row r="47" spans="1:18" hidden="1" x14ac:dyDescent="0.2">
      <c r="A47" s="890"/>
      <c r="B47" s="891"/>
      <c r="C47" s="883"/>
      <c r="D47" s="883"/>
      <c r="E47" s="361"/>
      <c r="F47" s="361"/>
      <c r="G47" s="467" t="s">
        <v>0</v>
      </c>
      <c r="H47" s="467" t="s">
        <v>1</v>
      </c>
      <c r="I47" s="466"/>
      <c r="J47" s="364"/>
      <c r="K47" s="364"/>
      <c r="N47" s="83"/>
      <c r="Q47" s="496" t="s">
        <v>386</v>
      </c>
      <c r="R47" s="496">
        <v>3.6999999999999998E-2</v>
      </c>
    </row>
    <row r="48" spans="1:18" hidden="1" x14ac:dyDescent="0.2">
      <c r="A48" s="887" t="s">
        <v>312</v>
      </c>
      <c r="B48" s="888"/>
      <c r="C48" s="888"/>
      <c r="D48" s="888"/>
      <c r="E48" s="888"/>
      <c r="F48" s="888"/>
      <c r="G48" s="468">
        <f>G44/G43</f>
        <v>0.91666666666666674</v>
      </c>
      <c r="H48" s="468">
        <f>G45/G43</f>
        <v>8.3333333333333232E-2</v>
      </c>
      <c r="I48" s="457"/>
      <c r="J48" s="364"/>
      <c r="K48" s="364"/>
      <c r="N48" s="83"/>
      <c r="Q48" s="496" t="s">
        <v>460</v>
      </c>
      <c r="R48" s="496">
        <v>3.5000000000000003E-2</v>
      </c>
    </row>
    <row r="49" spans="1:18" ht="36.75" hidden="1" customHeight="1" x14ac:dyDescent="0.2">
      <c r="A49" s="367"/>
      <c r="B49" s="368"/>
      <c r="C49" s="368"/>
      <c r="D49" s="368"/>
      <c r="E49" s="368"/>
      <c r="F49" s="368"/>
      <c r="G49" s="889" t="s">
        <v>313</v>
      </c>
      <c r="H49" s="889"/>
      <c r="I49" s="889" t="s">
        <v>314</v>
      </c>
      <c r="J49" s="889"/>
      <c r="K49" s="889"/>
      <c r="N49" s="83"/>
      <c r="Q49" s="496" t="s">
        <v>473</v>
      </c>
      <c r="R49" s="497">
        <v>3.7999999999999999E-2</v>
      </c>
    </row>
    <row r="50" spans="1:18" ht="24" hidden="1" customHeight="1" x14ac:dyDescent="0.2">
      <c r="A50" s="369"/>
      <c r="B50" s="907" t="s">
        <v>6</v>
      </c>
      <c r="C50" s="907"/>
      <c r="D50" s="470" t="s">
        <v>315</v>
      </c>
      <c r="E50" s="470" t="s">
        <v>303</v>
      </c>
      <c r="F50" s="470" t="s">
        <v>316</v>
      </c>
      <c r="G50" s="470" t="s">
        <v>317</v>
      </c>
      <c r="H50" s="470" t="s">
        <v>318</v>
      </c>
      <c r="I50" s="471" t="s">
        <v>4</v>
      </c>
      <c r="J50" s="470" t="s">
        <v>119</v>
      </c>
      <c r="K50" s="470" t="s">
        <v>321</v>
      </c>
      <c r="M50" s="458" t="s">
        <v>324</v>
      </c>
      <c r="N50" s="83"/>
      <c r="Q50" s="2" t="s">
        <v>386</v>
      </c>
    </row>
    <row r="51" spans="1:18" ht="12.75" hidden="1" customHeight="1" x14ac:dyDescent="0.2">
      <c r="A51" s="469"/>
      <c r="B51" s="874" t="s">
        <v>402</v>
      </c>
      <c r="C51" s="874"/>
      <c r="D51" s="472">
        <v>0.26</v>
      </c>
      <c r="E51" s="473">
        <v>0</v>
      </c>
      <c r="F51" s="474">
        <f>D51+E51</f>
        <v>0.26</v>
      </c>
      <c r="G51" s="459">
        <f>$M$19/$F$19</f>
        <v>0.13333333333333333</v>
      </c>
      <c r="H51" s="459">
        <f>$M$19/$F$19</f>
        <v>0.13333333333333333</v>
      </c>
      <c r="I51" s="456"/>
      <c r="J51" s="459">
        <f>F51</f>
        <v>0.26</v>
      </c>
      <c r="K51" s="459">
        <f>M51/J51</f>
        <v>4.807692307692308E-2</v>
      </c>
      <c r="M51" s="473">
        <v>1.2500000000000001E-2</v>
      </c>
      <c r="N51" s="83"/>
    </row>
    <row r="52" spans="1:18" ht="12.75" hidden="1" customHeight="1" x14ac:dyDescent="0.2">
      <c r="A52" s="469"/>
      <c r="B52" s="874" t="s">
        <v>262</v>
      </c>
      <c r="C52" s="874"/>
      <c r="D52" s="473">
        <v>3.5999999999999997E-2</v>
      </c>
      <c r="E52" s="473">
        <v>0</v>
      </c>
      <c r="F52" s="474">
        <f>D52+E52</f>
        <v>3.5999999999999997E-2</v>
      </c>
      <c r="G52" s="459">
        <f>M52/F52</f>
        <v>0</v>
      </c>
      <c r="H52" s="459">
        <f>M52/F52</f>
        <v>0</v>
      </c>
      <c r="I52" s="456"/>
      <c r="J52" s="459">
        <f>F52</f>
        <v>3.5999999999999997E-2</v>
      </c>
      <c r="K52" s="459">
        <f>M52/J52</f>
        <v>0</v>
      </c>
      <c r="M52" s="473"/>
      <c r="N52" s="83"/>
    </row>
    <row r="53" spans="1:18" ht="12.75" hidden="1" customHeight="1" x14ac:dyDescent="0.2">
      <c r="A53" s="469"/>
      <c r="B53" s="874" t="s">
        <v>473</v>
      </c>
      <c r="C53" s="874"/>
      <c r="D53" s="475">
        <v>3.7999999999999999E-2</v>
      </c>
      <c r="E53" s="473">
        <v>0</v>
      </c>
      <c r="F53" s="474">
        <f>D53+E53</f>
        <v>3.7999999999999999E-2</v>
      </c>
      <c r="G53" s="459">
        <f>M53/F53</f>
        <v>0</v>
      </c>
      <c r="H53" s="459">
        <f>M53/F53</f>
        <v>0</v>
      </c>
      <c r="I53" s="456"/>
      <c r="J53" s="459">
        <f>F53</f>
        <v>3.7999999999999999E-2</v>
      </c>
      <c r="K53" s="459">
        <v>0</v>
      </c>
      <c r="M53" s="473"/>
      <c r="N53" s="83"/>
    </row>
    <row r="54" spans="1:18" ht="12.75" hidden="1" customHeight="1" x14ac:dyDescent="0.2">
      <c r="A54" s="887"/>
      <c r="B54" s="874" t="s">
        <v>7</v>
      </c>
      <c r="C54" s="874"/>
      <c r="D54" s="472">
        <v>0.13</v>
      </c>
      <c r="E54" s="473">
        <v>0</v>
      </c>
      <c r="F54" s="474">
        <f>D54+E54</f>
        <v>0.13</v>
      </c>
      <c r="G54" s="459"/>
      <c r="H54" s="459">
        <f>M54/F54</f>
        <v>1.5384615384615385</v>
      </c>
      <c r="I54" s="465">
        <f>(G45*G43*2)/(G43*G43*2)</f>
        <v>8.3333333333333218E-2</v>
      </c>
      <c r="J54" s="879">
        <f>(I54*F54)+(I55*F55)</f>
        <v>4.4749999999999984E-2</v>
      </c>
      <c r="K54" s="879">
        <f>M54/J54</f>
        <v>4.4692737430167613</v>
      </c>
      <c r="M54" s="1108">
        <v>0.2</v>
      </c>
      <c r="N54" s="83"/>
    </row>
    <row r="55" spans="1:18" hidden="1" x14ac:dyDescent="0.2">
      <c r="A55" s="887"/>
      <c r="B55" s="874" t="s">
        <v>386</v>
      </c>
      <c r="C55" s="874"/>
      <c r="D55" s="475">
        <v>0</v>
      </c>
      <c r="E55" s="473">
        <v>0</v>
      </c>
      <c r="F55" s="474">
        <v>3.6999999999999998E-2</v>
      </c>
      <c r="G55" s="459">
        <f>M54/F55</f>
        <v>5.4054054054054061</v>
      </c>
      <c r="H55" s="459"/>
      <c r="I55" s="465">
        <f>(G44*G43*2)/(G43*G43*2)</f>
        <v>0.91666666666666674</v>
      </c>
      <c r="J55" s="879"/>
      <c r="K55" s="879"/>
      <c r="M55" s="1108"/>
      <c r="N55" s="83"/>
    </row>
    <row r="56" spans="1:18" hidden="1" x14ac:dyDescent="0.2">
      <c r="A56" s="887"/>
      <c r="B56" s="874" t="s">
        <v>7</v>
      </c>
      <c r="C56" s="874"/>
      <c r="D56" s="472">
        <v>0.13</v>
      </c>
      <c r="E56" s="473">
        <v>0</v>
      </c>
      <c r="F56" s="474">
        <f>D56+E56</f>
        <v>0.13</v>
      </c>
      <c r="G56" s="459"/>
      <c r="H56" s="459">
        <f>M56/F56</f>
        <v>0</v>
      </c>
      <c r="I56" s="465">
        <f>(G45*G43*2)/(G43*G43*2)</f>
        <v>8.3333333333333218E-2</v>
      </c>
      <c r="J56" s="879">
        <f>(I56*F56)+(I57*F57)</f>
        <v>4.2916666666666659E-2</v>
      </c>
      <c r="K56" s="879">
        <f>M56/J56</f>
        <v>0</v>
      </c>
      <c r="M56" s="1108">
        <v>0</v>
      </c>
      <c r="N56" s="83"/>
    </row>
    <row r="57" spans="1:18" hidden="1" x14ac:dyDescent="0.2">
      <c r="A57" s="887"/>
      <c r="B57" s="874" t="s">
        <v>409</v>
      </c>
      <c r="C57" s="874"/>
      <c r="D57" s="475">
        <v>0</v>
      </c>
      <c r="E57" s="473">
        <v>0</v>
      </c>
      <c r="F57" s="474">
        <v>3.5000000000000003E-2</v>
      </c>
      <c r="G57" s="459">
        <f>M56/F57</f>
        <v>0</v>
      </c>
      <c r="H57" s="459"/>
      <c r="I57" s="465">
        <f>(G44*G43*2)/(G43*G43*2)</f>
        <v>0.91666666666666674</v>
      </c>
      <c r="J57" s="879"/>
      <c r="K57" s="879"/>
      <c r="M57" s="1108"/>
      <c r="N57" s="83"/>
    </row>
    <row r="58" spans="1:18" hidden="1" x14ac:dyDescent="0.2">
      <c r="A58" s="367"/>
      <c r="B58" s="874" t="s">
        <v>262</v>
      </c>
      <c r="C58" s="874"/>
      <c r="D58" s="475">
        <v>0</v>
      </c>
      <c r="E58" s="473">
        <v>0</v>
      </c>
      <c r="F58" s="474">
        <v>3.6999999999999998E-2</v>
      </c>
      <c r="G58" s="459">
        <f>$M$26/$F$26</f>
        <v>1.3157894736842106</v>
      </c>
      <c r="H58" s="459">
        <f>$M$26/$F$26</f>
        <v>1.3157894736842106</v>
      </c>
      <c r="I58" s="456"/>
      <c r="J58" s="477">
        <f>F58</f>
        <v>3.6999999999999998E-2</v>
      </c>
      <c r="K58" s="477">
        <f>M58/J58</f>
        <v>0</v>
      </c>
      <c r="M58" s="473">
        <v>0</v>
      </c>
      <c r="N58" s="83"/>
    </row>
    <row r="59" spans="1:18" hidden="1" x14ac:dyDescent="0.2">
      <c r="A59" s="367"/>
      <c r="B59" s="874" t="s">
        <v>407</v>
      </c>
      <c r="C59" s="874"/>
      <c r="D59" s="472">
        <v>0.15</v>
      </c>
      <c r="E59" s="473">
        <v>0</v>
      </c>
      <c r="F59" s="474">
        <v>3.3000000000000002E-2</v>
      </c>
      <c r="G59" s="459">
        <f>$M$27/$F$27</f>
        <v>0</v>
      </c>
      <c r="H59" s="459">
        <f>$M$27/$F$27</f>
        <v>0</v>
      </c>
      <c r="I59" s="456"/>
      <c r="J59" s="459">
        <f>F59</f>
        <v>3.3000000000000002E-2</v>
      </c>
      <c r="K59" s="477">
        <f>M59/J59</f>
        <v>0.45454545454545453</v>
      </c>
      <c r="M59" s="473">
        <v>1.4999999999999999E-2</v>
      </c>
      <c r="N59" s="83"/>
    </row>
    <row r="60" spans="1:18" hidden="1" x14ac:dyDescent="0.2">
      <c r="A60" s="367"/>
      <c r="B60" s="874" t="s">
        <v>402</v>
      </c>
      <c r="C60" s="874"/>
      <c r="D60" s="472">
        <v>0.26</v>
      </c>
      <c r="E60" s="473">
        <v>0</v>
      </c>
      <c r="F60" s="474">
        <f>D60+E60</f>
        <v>0.26</v>
      </c>
      <c r="G60" s="459">
        <f>$M$28/$F$28</f>
        <v>4.807692307692308E-2</v>
      </c>
      <c r="H60" s="459">
        <f>$M$28/$F$28</f>
        <v>4.807692307692308E-2</v>
      </c>
      <c r="I60" s="456"/>
      <c r="J60" s="459">
        <v>1</v>
      </c>
      <c r="K60" s="477">
        <f>M60/J60</f>
        <v>0</v>
      </c>
      <c r="M60" s="473">
        <v>0</v>
      </c>
      <c r="N60" s="83"/>
    </row>
    <row r="61" spans="1:18" hidden="1" x14ac:dyDescent="0.2">
      <c r="A61" s="86"/>
      <c r="F61" s="349"/>
      <c r="G61" s="488">
        <f>SUM(G51:G60)+$I$7+$I$8</f>
        <v>7.0426051354998735</v>
      </c>
      <c r="H61" s="488">
        <f>SUM(H51:H60)+$I$7+$I$8</f>
        <v>3.1756612685560057</v>
      </c>
      <c r="I61" s="1162"/>
      <c r="J61" s="1162"/>
      <c r="K61" s="1162"/>
      <c r="N61" s="83"/>
    </row>
    <row r="62" spans="1:18" ht="12.75" hidden="1" customHeight="1" x14ac:dyDescent="0.2">
      <c r="A62" s="86"/>
      <c r="C62" s="343"/>
      <c r="D62" s="377"/>
      <c r="E62" s="377"/>
      <c r="F62" s="377"/>
      <c r="G62" s="879">
        <f>ROUND(1/((G48/G61)+(H48/H61)),3)</f>
        <v>6.3940000000000001</v>
      </c>
      <c r="H62" s="879"/>
      <c r="I62" s="936">
        <f>SUM(K51:K60)+I40+I41</f>
        <v>5.1418961206391387</v>
      </c>
      <c r="J62" s="936"/>
      <c r="K62" s="936"/>
      <c r="N62" s="83"/>
    </row>
    <row r="63" spans="1:18" ht="7.15" hidden="1" customHeight="1" x14ac:dyDescent="0.2">
      <c r="A63" s="86"/>
      <c r="C63" s="378"/>
      <c r="D63" s="379"/>
      <c r="E63" s="377"/>
      <c r="F63" s="377"/>
      <c r="G63" s="380"/>
      <c r="H63" s="380"/>
      <c r="I63" s="380"/>
      <c r="J63" s="380"/>
      <c r="K63" s="380"/>
      <c r="M63" s="343"/>
      <c r="N63" s="83"/>
    </row>
    <row r="64" spans="1:18" ht="12.75" hidden="1" customHeight="1" x14ac:dyDescent="0.2">
      <c r="A64" s="86"/>
      <c r="K64" s="349" t="s">
        <v>106</v>
      </c>
      <c r="M64" s="350">
        <f>SUM(M51:M60)*1000</f>
        <v>227.50000000000003</v>
      </c>
      <c r="N64" s="384" t="s">
        <v>120</v>
      </c>
    </row>
    <row r="65" spans="1:14" ht="6.6" hidden="1" customHeight="1" x14ac:dyDescent="0.2">
      <c r="A65" s="86"/>
      <c r="N65" s="83"/>
    </row>
    <row r="66" spans="1:14" ht="15.75" hidden="1" x14ac:dyDescent="0.2">
      <c r="A66" s="86"/>
      <c r="E66" s="902" t="s">
        <v>93</v>
      </c>
      <c r="F66" s="902"/>
      <c r="G66" s="902"/>
      <c r="H66" s="1094">
        <f>ROUND(1/((G62+I62)/2),3)-0.002</f>
        <v>0.17099999999999999</v>
      </c>
      <c r="I66" s="1095"/>
      <c r="J66" s="905" t="s">
        <v>306</v>
      </c>
      <c r="K66" s="906"/>
      <c r="N66" s="83"/>
    </row>
    <row r="67" spans="1:14" ht="6" hidden="1" customHeight="1" x14ac:dyDescent="0.2">
      <c r="A67" s="87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spans="1:14" ht="7.5" hidden="1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2"/>
      <c r="K68" s="1098"/>
      <c r="L68" s="1098"/>
      <c r="M68" s="1098"/>
      <c r="N68" s="1098"/>
    </row>
    <row r="69" spans="1:14" ht="6" hidden="1" customHeight="1" x14ac:dyDescent="0.35">
      <c r="A69" s="78"/>
      <c r="B69" s="79"/>
      <c r="C69" s="79"/>
      <c r="D69" s="79"/>
      <c r="E69" s="79"/>
      <c r="F69" s="79"/>
      <c r="G69" s="79"/>
      <c r="H69" s="79"/>
      <c r="I69" s="79"/>
      <c r="J69" s="80"/>
      <c r="K69" s="80"/>
      <c r="L69" s="99"/>
      <c r="M69" s="99"/>
      <c r="N69" s="81"/>
    </row>
    <row r="70" spans="1:14" ht="16.5" hidden="1" customHeight="1" x14ac:dyDescent="0.2">
      <c r="A70" s="354"/>
      <c r="B70" s="494" t="s">
        <v>352</v>
      </c>
      <c r="C70" s="1099" t="s">
        <v>474</v>
      </c>
      <c r="D70" s="1100"/>
      <c r="E70" s="1100"/>
      <c r="F70" s="1100"/>
      <c r="G70" s="1100"/>
      <c r="H70" s="1100"/>
      <c r="I70" s="1100"/>
      <c r="J70" s="1100"/>
      <c r="K70" s="1100"/>
      <c r="L70" s="1100"/>
      <c r="M70" s="1101"/>
      <c r="N70" s="83"/>
    </row>
    <row r="71" spans="1:14" ht="8.25" hidden="1" customHeight="1" x14ac:dyDescent="0.2">
      <c r="A71" s="354"/>
      <c r="B71" s="355"/>
      <c r="C71" s="341"/>
      <c r="D71" s="356"/>
      <c r="E71" s="356"/>
      <c r="F71" s="356"/>
      <c r="G71" s="356"/>
      <c r="H71" s="356"/>
      <c r="I71" s="356"/>
      <c r="J71" s="356"/>
      <c r="N71" s="83"/>
    </row>
    <row r="72" spans="1:14" ht="15" hidden="1" customHeight="1" x14ac:dyDescent="0.25">
      <c r="A72" s="354"/>
      <c r="B72" s="871" t="s">
        <v>307</v>
      </c>
      <c r="C72" s="871"/>
      <c r="D72" s="871"/>
      <c r="E72" s="871"/>
      <c r="F72" s="871"/>
      <c r="G72" s="871"/>
      <c r="H72" s="357" t="s">
        <v>308</v>
      </c>
      <c r="I72" s="1096">
        <v>0.1</v>
      </c>
      <c r="J72" s="1097"/>
      <c r="K72" s="399"/>
      <c r="N72" s="83"/>
    </row>
    <row r="73" spans="1:14" ht="15" hidden="1" x14ac:dyDescent="0.25">
      <c r="A73" s="354"/>
      <c r="B73" s="355"/>
      <c r="C73" s="341"/>
      <c r="D73" s="383"/>
      <c r="E73" s="383"/>
      <c r="F73" s="383"/>
      <c r="G73" s="383"/>
      <c r="H73" s="341" t="s">
        <v>301</v>
      </c>
      <c r="I73" s="1096">
        <v>0.04</v>
      </c>
      <c r="J73" s="1097"/>
      <c r="N73" s="83"/>
    </row>
    <row r="74" spans="1:14" ht="15" hidden="1" x14ac:dyDescent="0.25">
      <c r="A74" s="354"/>
      <c r="B74" s="355"/>
      <c r="C74" s="341"/>
      <c r="D74" s="383"/>
      <c r="E74" s="383"/>
      <c r="F74" s="383"/>
      <c r="G74" s="383"/>
      <c r="H74" s="341" t="s">
        <v>323</v>
      </c>
      <c r="I74" s="1160"/>
      <c r="J74" s="1161"/>
      <c r="N74" s="83"/>
    </row>
    <row r="75" spans="1:14" ht="6.75" hidden="1" customHeight="1" x14ac:dyDescent="0.25">
      <c r="A75" s="354"/>
      <c r="B75" s="355"/>
      <c r="C75" s="341"/>
      <c r="D75" s="341"/>
      <c r="E75" s="341"/>
      <c r="F75" s="341"/>
      <c r="G75" s="892"/>
      <c r="H75" s="892"/>
      <c r="I75" s="341"/>
      <c r="J75" s="359"/>
      <c r="N75" s="83"/>
    </row>
    <row r="76" spans="1:14" ht="15" hidden="1" customHeight="1" x14ac:dyDescent="0.25">
      <c r="A76" s="354"/>
      <c r="B76" s="355"/>
      <c r="C76" s="882" t="s">
        <v>8</v>
      </c>
      <c r="D76" s="882"/>
      <c r="E76" s="882"/>
      <c r="F76" s="882"/>
      <c r="G76" s="1149">
        <v>0.6</v>
      </c>
      <c r="H76" s="1149"/>
      <c r="I76" s="341"/>
      <c r="J76" s="359"/>
      <c r="N76" s="83"/>
    </row>
    <row r="77" spans="1:14" ht="15" hidden="1" customHeight="1" x14ac:dyDescent="0.25">
      <c r="A77" s="354"/>
      <c r="B77" s="891" t="s">
        <v>311</v>
      </c>
      <c r="C77" s="891"/>
      <c r="D77" s="891"/>
      <c r="E77" s="891"/>
      <c r="F77" s="891"/>
      <c r="G77" s="1152">
        <v>0.55000000000000004</v>
      </c>
      <c r="H77" s="1152"/>
      <c r="I77" s="341"/>
      <c r="J77" s="359"/>
      <c r="N77" s="83"/>
    </row>
    <row r="78" spans="1:14" ht="15" hidden="1" x14ac:dyDescent="0.25">
      <c r="A78" s="354"/>
      <c r="B78" s="891"/>
      <c r="C78" s="891"/>
      <c r="D78" s="891"/>
      <c r="E78" s="891"/>
      <c r="F78" s="891"/>
      <c r="G78" s="1149">
        <f>G76-G77</f>
        <v>4.9999999999999933E-2</v>
      </c>
      <c r="H78" s="1152"/>
      <c r="I78" s="341"/>
      <c r="J78" s="359"/>
      <c r="N78" s="83"/>
    </row>
    <row r="79" spans="1:14" ht="5.25" hidden="1" customHeight="1" x14ac:dyDescent="0.2">
      <c r="A79" s="881"/>
      <c r="B79" s="882"/>
      <c r="C79" s="883"/>
      <c r="D79" s="883"/>
      <c r="E79" s="883"/>
      <c r="F79" s="883"/>
      <c r="G79" s="884"/>
      <c r="H79" s="884"/>
      <c r="I79" s="360"/>
      <c r="J79" s="360"/>
      <c r="K79" s="360"/>
      <c r="N79" s="83"/>
    </row>
    <row r="80" spans="1:14" hidden="1" x14ac:dyDescent="0.2">
      <c r="A80" s="890"/>
      <c r="B80" s="891"/>
      <c r="C80" s="883"/>
      <c r="D80" s="883"/>
      <c r="E80" s="361"/>
      <c r="F80" s="361"/>
      <c r="G80" s="467" t="s">
        <v>0</v>
      </c>
      <c r="H80" s="467" t="s">
        <v>1</v>
      </c>
      <c r="I80" s="466"/>
      <c r="J80" s="364"/>
      <c r="K80" s="364"/>
      <c r="N80" s="83"/>
    </row>
    <row r="81" spans="1:16" hidden="1" x14ac:dyDescent="0.2">
      <c r="A81" s="887" t="s">
        <v>312</v>
      </c>
      <c r="B81" s="888"/>
      <c r="C81" s="888"/>
      <c r="D81" s="888"/>
      <c r="E81" s="888"/>
      <c r="F81" s="888"/>
      <c r="G81" s="476">
        <f>G77/G76</f>
        <v>0.91666666666666674</v>
      </c>
      <c r="H81" s="476">
        <f>G78/G76</f>
        <v>8.3333333333333232E-2</v>
      </c>
      <c r="I81" s="457"/>
      <c r="J81" s="364"/>
      <c r="K81" s="364"/>
      <c r="N81" s="83"/>
    </row>
    <row r="82" spans="1:16" ht="26.25" hidden="1" customHeight="1" x14ac:dyDescent="0.2">
      <c r="A82" s="367"/>
      <c r="B82" s="368"/>
      <c r="C82" s="368"/>
      <c r="D82" s="368"/>
      <c r="E82" s="368"/>
      <c r="F82" s="368"/>
      <c r="G82" s="889" t="s">
        <v>313</v>
      </c>
      <c r="H82" s="889"/>
      <c r="I82" s="889" t="s">
        <v>314</v>
      </c>
      <c r="J82" s="889"/>
      <c r="K82" s="889"/>
      <c r="N82" s="83"/>
    </row>
    <row r="83" spans="1:16" ht="24.75" hidden="1" customHeight="1" x14ac:dyDescent="0.2">
      <c r="A83" s="369"/>
      <c r="B83" s="907" t="s">
        <v>6</v>
      </c>
      <c r="C83" s="907"/>
      <c r="D83" s="470" t="s">
        <v>315</v>
      </c>
      <c r="E83" s="470" t="s">
        <v>303</v>
      </c>
      <c r="F83" s="470" t="s">
        <v>316</v>
      </c>
      <c r="G83" s="470" t="s">
        <v>317</v>
      </c>
      <c r="H83" s="470" t="s">
        <v>318</v>
      </c>
      <c r="I83" s="471" t="s">
        <v>4</v>
      </c>
      <c r="J83" s="470" t="s">
        <v>119</v>
      </c>
      <c r="K83" s="470" t="s">
        <v>321</v>
      </c>
      <c r="M83" s="458" t="s">
        <v>324</v>
      </c>
      <c r="N83" s="83"/>
    </row>
    <row r="84" spans="1:16" ht="12.75" hidden="1" customHeight="1" x14ac:dyDescent="0.2">
      <c r="A84" s="469"/>
      <c r="B84" s="1092" t="s">
        <v>389</v>
      </c>
      <c r="C84" s="1092"/>
      <c r="D84" s="472">
        <v>0.13</v>
      </c>
      <c r="E84" s="473">
        <v>0</v>
      </c>
      <c r="F84" s="474">
        <f t="shared" ref="F84:F93" si="1">D84+E84</f>
        <v>0.13</v>
      </c>
      <c r="G84" s="459">
        <f>M84/F84</f>
        <v>0</v>
      </c>
      <c r="H84" s="459">
        <f t="shared" ref="H84:H89" si="2">M84/F84</f>
        <v>0</v>
      </c>
      <c r="I84" s="456"/>
      <c r="J84" s="459">
        <f>F84</f>
        <v>0.13</v>
      </c>
      <c r="K84" s="459">
        <f t="shared" ref="K84:K89" si="3">M84/J84</f>
        <v>0</v>
      </c>
      <c r="M84" s="473">
        <v>0</v>
      </c>
      <c r="N84" s="83"/>
    </row>
    <row r="85" spans="1:16" ht="12.75" hidden="1" customHeight="1" x14ac:dyDescent="0.2">
      <c r="A85" s="469"/>
      <c r="B85" s="536" t="s">
        <v>124</v>
      </c>
      <c r="C85" s="536"/>
      <c r="D85" s="472"/>
      <c r="E85" s="473"/>
      <c r="F85" s="474"/>
      <c r="G85" s="459"/>
      <c r="H85" s="459"/>
      <c r="I85" s="456"/>
      <c r="J85" s="459"/>
      <c r="K85" s="459">
        <v>0</v>
      </c>
      <c r="M85" s="473">
        <v>0</v>
      </c>
      <c r="N85" s="83"/>
      <c r="P85" s="2">
        <v>0.16</v>
      </c>
    </row>
    <row r="86" spans="1:16" ht="12.75" hidden="1" customHeight="1" x14ac:dyDescent="0.2">
      <c r="A86" s="469"/>
      <c r="B86" s="1147" t="s">
        <v>263</v>
      </c>
      <c r="C86" s="1148"/>
      <c r="D86" s="472">
        <v>3.5999999999999997E-2</v>
      </c>
      <c r="E86" s="473">
        <v>1E-3</v>
      </c>
      <c r="F86" s="474">
        <f>D86+E86</f>
        <v>3.6999999999999998E-2</v>
      </c>
      <c r="G86" s="459">
        <f>M86/F86</f>
        <v>0</v>
      </c>
      <c r="H86" s="459">
        <f t="shared" si="2"/>
        <v>0</v>
      </c>
      <c r="I86" s="456"/>
      <c r="J86" s="459">
        <f>F86</f>
        <v>3.6999999999999998E-2</v>
      </c>
      <c r="K86" s="459">
        <f t="shared" si="3"/>
        <v>0</v>
      </c>
      <c r="M86" s="473"/>
      <c r="N86" s="83"/>
    </row>
    <row r="87" spans="1:16" ht="12.75" hidden="1" customHeight="1" x14ac:dyDescent="0.2">
      <c r="A87" s="469"/>
      <c r="B87" s="1092" t="s">
        <v>467</v>
      </c>
      <c r="C87" s="1092"/>
      <c r="D87" s="472">
        <v>0.11</v>
      </c>
      <c r="E87" s="473">
        <v>0</v>
      </c>
      <c r="F87" s="474">
        <f>D87+E87</f>
        <v>0.11</v>
      </c>
      <c r="G87" s="459">
        <f>M87/F87</f>
        <v>2.2727272727272729</v>
      </c>
      <c r="H87" s="459">
        <f t="shared" si="2"/>
        <v>2.2727272727272729</v>
      </c>
      <c r="I87" s="456"/>
      <c r="J87" s="459">
        <f>F87</f>
        <v>0.11</v>
      </c>
      <c r="K87" s="459">
        <f t="shared" si="3"/>
        <v>2.2727272727272729</v>
      </c>
      <c r="M87" s="473">
        <v>0.25</v>
      </c>
      <c r="N87" s="83"/>
    </row>
    <row r="88" spans="1:16" ht="12.75" hidden="1" customHeight="1" x14ac:dyDescent="0.2">
      <c r="A88" s="469"/>
      <c r="B88" s="1147" t="s">
        <v>255</v>
      </c>
      <c r="C88" s="1148"/>
      <c r="D88" s="472">
        <v>0.14000000000000001</v>
      </c>
      <c r="E88" s="473">
        <v>0</v>
      </c>
      <c r="F88" s="474">
        <f>D88+E88</f>
        <v>0.14000000000000001</v>
      </c>
      <c r="G88" s="459">
        <f>M88/F88</f>
        <v>0</v>
      </c>
      <c r="H88" s="459">
        <f t="shared" si="2"/>
        <v>0</v>
      </c>
      <c r="I88" s="456"/>
      <c r="J88" s="459">
        <f>F88</f>
        <v>0.14000000000000001</v>
      </c>
      <c r="K88" s="459">
        <f t="shared" si="3"/>
        <v>0</v>
      </c>
      <c r="M88" s="473"/>
      <c r="N88" s="83"/>
    </row>
    <row r="89" spans="1:16" ht="12.75" hidden="1" customHeight="1" x14ac:dyDescent="0.2">
      <c r="A89" s="887"/>
      <c r="B89" s="1092" t="s">
        <v>7</v>
      </c>
      <c r="C89" s="1092"/>
      <c r="D89" s="472">
        <v>0.13</v>
      </c>
      <c r="E89" s="473">
        <v>0</v>
      </c>
      <c r="F89" s="474">
        <f t="shared" si="1"/>
        <v>0.13</v>
      </c>
      <c r="G89" s="459"/>
      <c r="H89" s="459">
        <f t="shared" si="2"/>
        <v>0.76923076923076927</v>
      </c>
      <c r="I89" s="465">
        <f>(G78*G76*2)/(G76*G76*2)</f>
        <v>8.3333333333333218E-2</v>
      </c>
      <c r="J89" s="879">
        <f>(I89*F89)+(I90*F90)</f>
        <v>4.3833333333333321E-2</v>
      </c>
      <c r="K89" s="879">
        <f t="shared" si="3"/>
        <v>2.2813688212927765</v>
      </c>
      <c r="M89" s="1108">
        <v>0.1</v>
      </c>
      <c r="N89" s="83"/>
    </row>
    <row r="90" spans="1:16" hidden="1" x14ac:dyDescent="0.2">
      <c r="A90" s="887"/>
      <c r="B90" s="1092" t="s">
        <v>386</v>
      </c>
      <c r="C90" s="1092"/>
      <c r="D90" s="475">
        <v>0</v>
      </c>
      <c r="E90" s="473">
        <v>0</v>
      </c>
      <c r="F90" s="474">
        <v>3.5999999999999997E-2</v>
      </c>
      <c r="G90" s="459">
        <f>M89/F90</f>
        <v>2.7777777777777781</v>
      </c>
      <c r="H90" s="459"/>
      <c r="I90" s="465">
        <f>(G77*G76*2)/(G76*G76*2)</f>
        <v>0.91666666666666674</v>
      </c>
      <c r="J90" s="879"/>
      <c r="K90" s="879"/>
      <c r="M90" s="1108"/>
      <c r="N90" s="83"/>
    </row>
    <row r="91" spans="1:16" ht="12.75" hidden="1" customHeight="1" x14ac:dyDescent="0.2">
      <c r="A91" s="887"/>
      <c r="B91" s="1092" t="s">
        <v>7</v>
      </c>
      <c r="C91" s="1092"/>
      <c r="D91" s="472">
        <v>0.13</v>
      </c>
      <c r="E91" s="473">
        <v>0</v>
      </c>
      <c r="F91" s="474">
        <f t="shared" si="1"/>
        <v>0.13</v>
      </c>
      <c r="G91" s="459"/>
      <c r="H91" s="459">
        <f>M91/F91</f>
        <v>0</v>
      </c>
      <c r="I91" s="459">
        <f>(G78*G76*2)/(G76*G76*2)</f>
        <v>8.3333333333333218E-2</v>
      </c>
      <c r="J91" s="879">
        <f>F92</f>
        <v>0.7</v>
      </c>
      <c r="K91" s="879">
        <f>M91/J91</f>
        <v>0</v>
      </c>
      <c r="M91" s="1108">
        <v>0</v>
      </c>
      <c r="N91" s="83"/>
    </row>
    <row r="92" spans="1:16" ht="12.75" hidden="1" customHeight="1" x14ac:dyDescent="0.2">
      <c r="A92" s="887"/>
      <c r="B92" s="1092" t="s">
        <v>273</v>
      </c>
      <c r="C92" s="1092"/>
      <c r="D92" s="472">
        <v>0.7</v>
      </c>
      <c r="E92" s="473">
        <v>0</v>
      </c>
      <c r="F92" s="474">
        <f t="shared" si="1"/>
        <v>0.7</v>
      </c>
      <c r="G92" s="459">
        <f>M91/F92</f>
        <v>0</v>
      </c>
      <c r="H92" s="459">
        <f>M91/F92</f>
        <v>0</v>
      </c>
      <c r="I92" s="459"/>
      <c r="J92" s="879"/>
      <c r="K92" s="879"/>
      <c r="M92" s="1108"/>
      <c r="N92" s="83"/>
    </row>
    <row r="93" spans="1:16" hidden="1" x14ac:dyDescent="0.2">
      <c r="A93" s="367"/>
      <c r="B93" s="1092" t="s">
        <v>351</v>
      </c>
      <c r="C93" s="1092"/>
      <c r="D93" s="472">
        <v>0.7</v>
      </c>
      <c r="E93" s="473">
        <v>0</v>
      </c>
      <c r="F93" s="474">
        <f t="shared" si="1"/>
        <v>0.7</v>
      </c>
      <c r="G93" s="459">
        <f>M93/F93</f>
        <v>0</v>
      </c>
      <c r="H93" s="459">
        <f>M93/F93</f>
        <v>0</v>
      </c>
      <c r="I93" s="456"/>
      <c r="J93" s="477">
        <f>F93</f>
        <v>0.7</v>
      </c>
      <c r="K93" s="477">
        <f>M93/J93</f>
        <v>0</v>
      </c>
      <c r="M93" s="473">
        <v>0</v>
      </c>
      <c r="N93" s="83"/>
    </row>
    <row r="94" spans="1:16" hidden="1" x14ac:dyDescent="0.2">
      <c r="A94" s="367"/>
      <c r="B94" s="1092" t="s">
        <v>262</v>
      </c>
      <c r="C94" s="1092"/>
      <c r="D94" s="472">
        <v>3.5999999999999997E-2</v>
      </c>
      <c r="E94" s="473">
        <v>2E-3</v>
      </c>
      <c r="F94" s="474">
        <f>D94+E94</f>
        <v>3.7999999999999999E-2</v>
      </c>
      <c r="G94" s="459">
        <f>M94/F94</f>
        <v>0</v>
      </c>
      <c r="H94" s="459">
        <f>M94/F94</f>
        <v>0</v>
      </c>
      <c r="I94" s="456"/>
      <c r="J94" s="459">
        <f>F94</f>
        <v>3.7999999999999999E-2</v>
      </c>
      <c r="K94" s="477">
        <f>M94/J94</f>
        <v>0</v>
      </c>
      <c r="M94" s="473">
        <v>0</v>
      </c>
      <c r="N94" s="83"/>
    </row>
    <row r="95" spans="1:16" hidden="1" x14ac:dyDescent="0.2">
      <c r="A95" s="367"/>
      <c r="B95" s="1092" t="s">
        <v>388</v>
      </c>
      <c r="C95" s="1092"/>
      <c r="D95" s="472">
        <v>0.13</v>
      </c>
      <c r="E95" s="473">
        <v>0</v>
      </c>
      <c r="F95" s="474">
        <f>D95+E95</f>
        <v>0.13</v>
      </c>
      <c r="G95" s="459">
        <f>$M$28/$F$28</f>
        <v>4.807692307692308E-2</v>
      </c>
      <c r="H95" s="459">
        <f>$M$28/$F$28</f>
        <v>4.807692307692308E-2</v>
      </c>
      <c r="I95" s="456"/>
      <c r="J95" s="459">
        <v>1</v>
      </c>
      <c r="K95" s="477">
        <f>M95/J95</f>
        <v>0.02</v>
      </c>
      <c r="M95" s="473">
        <v>0.02</v>
      </c>
      <c r="N95" s="83"/>
    </row>
    <row r="96" spans="1:16" hidden="1" x14ac:dyDescent="0.2">
      <c r="A96" s="86"/>
      <c r="F96" s="349"/>
      <c r="G96" s="459">
        <f>SUM(G84:G94)+I72+I73+I74</f>
        <v>5.1905050505050507</v>
      </c>
      <c r="H96" s="459">
        <f>SUM(H84:H94)+I72+I73+I74</f>
        <v>3.1819580419580422</v>
      </c>
      <c r="I96" s="1159"/>
      <c r="J96" s="1159"/>
      <c r="K96" s="1159"/>
      <c r="N96" s="83"/>
    </row>
    <row r="97" spans="1:20" ht="12.75" hidden="1" customHeight="1" x14ac:dyDescent="0.2">
      <c r="A97" s="86"/>
      <c r="C97" s="343"/>
      <c r="D97" s="377"/>
      <c r="E97" s="377"/>
      <c r="F97" s="377"/>
      <c r="G97" s="879">
        <f>ROUND(1/((G81/G96)+(H81/H96)),3)</f>
        <v>4.931</v>
      </c>
      <c r="H97" s="879"/>
      <c r="I97" s="879">
        <f>SUM(K84:K95)+I72+I73+I74</f>
        <v>4.7140960940200491</v>
      </c>
      <c r="J97" s="879"/>
      <c r="K97" s="879"/>
      <c r="N97" s="83"/>
    </row>
    <row r="98" spans="1:20" ht="4.5" hidden="1" customHeight="1" x14ac:dyDescent="0.2">
      <c r="A98" s="86"/>
      <c r="C98" s="378"/>
      <c r="D98" s="379"/>
      <c r="E98" s="377"/>
      <c r="F98" s="377"/>
      <c r="G98" s="380"/>
      <c r="H98" s="380"/>
      <c r="I98" s="380"/>
      <c r="J98" s="380"/>
      <c r="K98" s="380"/>
      <c r="M98" s="343"/>
      <c r="N98" s="83"/>
    </row>
    <row r="99" spans="1:20" ht="12.75" hidden="1" customHeight="1" x14ac:dyDescent="0.2">
      <c r="A99" s="86"/>
      <c r="K99" s="349" t="s">
        <v>106</v>
      </c>
      <c r="M99" s="381">
        <f>SUM(M84:M95)*1000</f>
        <v>370</v>
      </c>
      <c r="N99" s="384" t="s">
        <v>120</v>
      </c>
    </row>
    <row r="100" spans="1:20" ht="1.5" hidden="1" customHeight="1" x14ac:dyDescent="0.2">
      <c r="A100" s="86"/>
      <c r="N100" s="83"/>
    </row>
    <row r="101" spans="1:20" ht="15.75" hidden="1" x14ac:dyDescent="0.2">
      <c r="A101" s="86"/>
      <c r="E101" s="902" t="s">
        <v>93</v>
      </c>
      <c r="F101" s="902"/>
      <c r="G101" s="902"/>
      <c r="H101" s="1094">
        <f>ROUND(1/((G97+I97)/2),3)</f>
        <v>0.20699999999999999</v>
      </c>
      <c r="I101" s="1095"/>
      <c r="J101" s="905" t="s">
        <v>306</v>
      </c>
      <c r="K101" s="906"/>
      <c r="N101" s="83"/>
    </row>
    <row r="102" spans="1:20" ht="3.75" hidden="1" customHeight="1" x14ac:dyDescent="0.2">
      <c r="A102" s="87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9"/>
    </row>
    <row r="103" spans="1:20" hidden="1" x14ac:dyDescent="0.2"/>
    <row r="104" spans="1:20" hidden="1" x14ac:dyDescent="0.2"/>
    <row r="105" spans="1:20" ht="8.25" hidden="1" customHeight="1" x14ac:dyDescent="0.2">
      <c r="A105" s="337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99"/>
      <c r="M105" s="99"/>
      <c r="N105" s="81"/>
    </row>
    <row r="106" spans="1:20" ht="15.75" hidden="1" x14ac:dyDescent="0.25">
      <c r="A106" s="339"/>
      <c r="B106" s="340" t="s">
        <v>349</v>
      </c>
      <c r="C106" s="1158" t="s">
        <v>383</v>
      </c>
      <c r="D106" s="925"/>
      <c r="E106" s="925"/>
      <c r="F106" s="925"/>
      <c r="G106" s="925"/>
      <c r="H106" s="925"/>
      <c r="I106" s="925"/>
      <c r="J106" s="925"/>
      <c r="K106" s="926"/>
      <c r="N106" s="83"/>
    </row>
    <row r="107" spans="1:20" ht="6.75" hidden="1" customHeight="1" x14ac:dyDescent="0.2">
      <c r="A107" s="339"/>
      <c r="B107" s="341"/>
      <c r="C107" s="341"/>
      <c r="D107" s="341"/>
      <c r="E107" s="341"/>
      <c r="F107" s="341"/>
      <c r="G107" s="341"/>
      <c r="H107" s="341"/>
      <c r="I107" s="341"/>
      <c r="J107" s="341"/>
      <c r="K107" s="341"/>
      <c r="N107" s="83"/>
    </row>
    <row r="108" spans="1:20" ht="15" hidden="1" x14ac:dyDescent="0.25">
      <c r="A108" s="339"/>
      <c r="B108" s="341"/>
      <c r="C108" s="927" t="s">
        <v>299</v>
      </c>
      <c r="D108" s="927"/>
      <c r="E108" s="927"/>
      <c r="F108" s="927"/>
      <c r="G108" s="927"/>
      <c r="H108" s="927"/>
      <c r="I108" s="341" t="s">
        <v>300</v>
      </c>
      <c r="J108" s="1102">
        <v>0.1</v>
      </c>
      <c r="K108" s="1097"/>
      <c r="N108" s="83"/>
    </row>
    <row r="109" spans="1:20" ht="15" hidden="1" x14ac:dyDescent="0.25">
      <c r="A109" s="339"/>
      <c r="B109" s="341"/>
      <c r="C109" s="341"/>
      <c r="D109" s="341"/>
      <c r="E109" s="341"/>
      <c r="F109" s="341"/>
      <c r="G109" s="341"/>
      <c r="H109" s="341"/>
      <c r="I109" s="341" t="s">
        <v>301</v>
      </c>
      <c r="J109" s="1104">
        <v>0.04</v>
      </c>
      <c r="K109" s="1105"/>
      <c r="N109" s="83"/>
    </row>
    <row r="110" spans="1:20" ht="10.5" hidden="1" customHeight="1" x14ac:dyDescent="0.2">
      <c r="A110" s="339"/>
      <c r="J110" s="762"/>
      <c r="K110" s="762"/>
      <c r="N110" s="83"/>
    </row>
    <row r="111" spans="1:20" ht="13.5" hidden="1" x14ac:dyDescent="0.25">
      <c r="A111" s="339"/>
      <c r="B111" s="907" t="s">
        <v>6</v>
      </c>
      <c r="C111" s="907"/>
      <c r="D111" s="907"/>
      <c r="E111" s="929" t="s">
        <v>302</v>
      </c>
      <c r="F111" s="929"/>
      <c r="G111" s="467" t="s">
        <v>303</v>
      </c>
      <c r="H111" s="929" t="s">
        <v>411</v>
      </c>
      <c r="I111" s="929"/>
      <c r="J111" s="929" t="s">
        <v>304</v>
      </c>
      <c r="K111" s="929"/>
      <c r="L111" s="343"/>
      <c r="M111" s="466" t="s">
        <v>305</v>
      </c>
      <c r="N111" s="83"/>
      <c r="T111" s="2" t="s">
        <v>266</v>
      </c>
    </row>
    <row r="112" spans="1:20" hidden="1" x14ac:dyDescent="0.2">
      <c r="A112" s="344"/>
      <c r="B112" s="874" t="s">
        <v>402</v>
      </c>
      <c r="C112" s="874"/>
      <c r="D112" s="874"/>
      <c r="E112" s="1093">
        <v>0.25</v>
      </c>
      <c r="F112" s="1093"/>
      <c r="G112" s="473">
        <v>0</v>
      </c>
      <c r="H112" s="909">
        <f>E112+G112</f>
        <v>0.25</v>
      </c>
      <c r="I112" s="909"/>
      <c r="J112" s="822">
        <f>ROUND(M112/H112,3)</f>
        <v>5.1999999999999998E-2</v>
      </c>
      <c r="K112" s="822"/>
      <c r="M112" s="485">
        <v>1.2999999999999999E-2</v>
      </c>
      <c r="N112" s="83"/>
    </row>
    <row r="113" spans="1:18" hidden="1" x14ac:dyDescent="0.2">
      <c r="A113" s="344"/>
      <c r="B113" s="874" t="s">
        <v>410</v>
      </c>
      <c r="C113" s="874"/>
      <c r="D113" s="874"/>
      <c r="E113" s="1093">
        <v>1.7</v>
      </c>
      <c r="F113" s="1093"/>
      <c r="G113" s="473">
        <v>0</v>
      </c>
      <c r="H113" s="909">
        <f>E113+G113</f>
        <v>1.7</v>
      </c>
      <c r="I113" s="909"/>
      <c r="J113" s="822">
        <f>ROUND(M113/H113,3)</f>
        <v>0.129</v>
      </c>
      <c r="K113" s="822"/>
      <c r="M113" s="485">
        <v>0.22</v>
      </c>
      <c r="N113" s="83"/>
    </row>
    <row r="114" spans="1:18" hidden="1" x14ac:dyDescent="0.2">
      <c r="A114" s="344"/>
      <c r="B114" s="874" t="s">
        <v>264</v>
      </c>
      <c r="C114" s="874"/>
      <c r="D114" s="874"/>
      <c r="E114" s="1093">
        <v>0.25</v>
      </c>
      <c r="F114" s="1093"/>
      <c r="G114" s="473">
        <v>0</v>
      </c>
      <c r="H114" s="909">
        <f t="shared" ref="H114:H120" si="4">E114+G114</f>
        <v>0.25</v>
      </c>
      <c r="I114" s="909"/>
      <c r="J114" s="822">
        <f t="shared" ref="J114:J120" si="5">ROUND(M114/H114,3)</f>
        <v>0</v>
      </c>
      <c r="K114" s="822"/>
      <c r="M114" s="485">
        <v>0</v>
      </c>
      <c r="N114" s="83"/>
    </row>
    <row r="115" spans="1:18" ht="13.9" hidden="1" customHeight="1" x14ac:dyDescent="0.2">
      <c r="A115" s="344"/>
      <c r="B115" s="874" t="s">
        <v>386</v>
      </c>
      <c r="C115" s="874"/>
      <c r="D115" s="874"/>
      <c r="E115" s="1093">
        <v>0</v>
      </c>
      <c r="F115" s="1093"/>
      <c r="G115" s="473">
        <v>0</v>
      </c>
      <c r="H115" s="909">
        <v>3.5999999999999997E-2</v>
      </c>
      <c r="I115" s="909"/>
      <c r="J115" s="822">
        <f t="shared" si="5"/>
        <v>6.944</v>
      </c>
      <c r="K115" s="822"/>
      <c r="M115" s="485">
        <v>0.25</v>
      </c>
      <c r="N115" s="83"/>
    </row>
    <row r="116" spans="1:18" ht="13.9" hidden="1" customHeight="1" x14ac:dyDescent="0.2">
      <c r="A116" s="344"/>
      <c r="B116" s="874" t="s">
        <v>413</v>
      </c>
      <c r="C116" s="874"/>
      <c r="D116" s="874"/>
      <c r="E116" s="1093">
        <v>0</v>
      </c>
      <c r="F116" s="1093"/>
      <c r="G116" s="473">
        <v>0</v>
      </c>
      <c r="H116" s="909">
        <v>3.6999999999999998E-2</v>
      </c>
      <c r="I116" s="909"/>
      <c r="J116" s="822">
        <f>ROUND(M116/H116,3)</f>
        <v>0.81100000000000005</v>
      </c>
      <c r="K116" s="822"/>
      <c r="M116" s="485">
        <v>0.03</v>
      </c>
      <c r="N116" s="83"/>
    </row>
    <row r="117" spans="1:18" ht="13.9" hidden="1" customHeight="1" x14ac:dyDescent="0.2">
      <c r="A117" s="344"/>
      <c r="B117" s="874" t="s">
        <v>386</v>
      </c>
      <c r="C117" s="874"/>
      <c r="D117" s="874"/>
      <c r="E117" s="1093">
        <v>0</v>
      </c>
      <c r="F117" s="1093"/>
      <c r="G117" s="473">
        <v>0</v>
      </c>
      <c r="H117" s="909">
        <v>3.5999999999999997E-2</v>
      </c>
      <c r="I117" s="909"/>
      <c r="J117" s="822">
        <f t="shared" si="5"/>
        <v>0</v>
      </c>
      <c r="K117" s="822"/>
      <c r="M117" s="485">
        <v>0</v>
      </c>
      <c r="N117" s="83"/>
    </row>
    <row r="118" spans="1:18" hidden="1" x14ac:dyDescent="0.2">
      <c r="A118" s="344"/>
      <c r="B118" s="874" t="s">
        <v>401</v>
      </c>
      <c r="C118" s="874"/>
      <c r="D118" s="874"/>
      <c r="E118" s="1093">
        <v>0.13</v>
      </c>
      <c r="F118" s="1093"/>
      <c r="G118" s="473">
        <v>0</v>
      </c>
      <c r="H118" s="909">
        <f t="shared" si="4"/>
        <v>0.13</v>
      </c>
      <c r="I118" s="909"/>
      <c r="J118" s="822">
        <f t="shared" si="5"/>
        <v>0</v>
      </c>
      <c r="K118" s="822"/>
      <c r="M118" s="485">
        <v>0</v>
      </c>
      <c r="N118" s="83"/>
    </row>
    <row r="119" spans="1:18" ht="13.9" hidden="1" customHeight="1" x14ac:dyDescent="0.2">
      <c r="A119" s="344"/>
      <c r="B119" s="874" t="s">
        <v>386</v>
      </c>
      <c r="C119" s="874"/>
      <c r="D119" s="874"/>
      <c r="E119" s="1093">
        <v>0</v>
      </c>
      <c r="F119" s="1093"/>
      <c r="G119" s="473">
        <v>0</v>
      </c>
      <c r="H119" s="909">
        <v>3.5999999999999997E-2</v>
      </c>
      <c r="I119" s="909"/>
      <c r="J119" s="822">
        <f t="shared" si="5"/>
        <v>0</v>
      </c>
      <c r="K119" s="822"/>
      <c r="M119" s="485">
        <v>0</v>
      </c>
      <c r="N119" s="83"/>
    </row>
    <row r="120" spans="1:18" ht="13.9" hidden="1" customHeight="1" x14ac:dyDescent="0.2">
      <c r="A120" s="344"/>
      <c r="B120" s="874" t="s">
        <v>402</v>
      </c>
      <c r="C120" s="874"/>
      <c r="D120" s="874"/>
      <c r="E120" s="1093">
        <v>0.26</v>
      </c>
      <c r="F120" s="1093"/>
      <c r="G120" s="473">
        <v>0</v>
      </c>
      <c r="H120" s="909">
        <f t="shared" si="4"/>
        <v>0.26</v>
      </c>
      <c r="I120" s="909"/>
      <c r="J120" s="822">
        <f t="shared" si="5"/>
        <v>0</v>
      </c>
      <c r="K120" s="822"/>
      <c r="M120" s="485">
        <v>0</v>
      </c>
      <c r="N120" s="83"/>
    </row>
    <row r="121" spans="1:18" ht="14.25" hidden="1" customHeight="1" x14ac:dyDescent="0.2">
      <c r="A121" s="339"/>
      <c r="B121" s="418"/>
      <c r="C121" s="418"/>
      <c r="D121" s="418"/>
      <c r="E121" s="418"/>
      <c r="F121" s="418"/>
      <c r="G121" s="418"/>
      <c r="H121" s="418"/>
      <c r="I121" s="418"/>
      <c r="J121" s="348"/>
      <c r="K121" s="348"/>
      <c r="M121" s="343" t="s">
        <v>106</v>
      </c>
      <c r="N121" s="83"/>
    </row>
    <row r="122" spans="1:18" ht="15.75" hidden="1" x14ac:dyDescent="0.25">
      <c r="A122" s="339"/>
      <c r="B122" s="349"/>
      <c r="C122" s="349"/>
      <c r="D122" s="349"/>
      <c r="E122" s="8"/>
      <c r="H122" s="8"/>
      <c r="I122" s="8"/>
      <c r="M122" s="350">
        <f>SUM(M112:M120)*1000</f>
        <v>513</v>
      </c>
      <c r="N122" s="83" t="s">
        <v>120</v>
      </c>
    </row>
    <row r="123" spans="1:18" ht="9.75" hidden="1" customHeight="1" x14ac:dyDescent="0.25">
      <c r="A123" s="339"/>
      <c r="B123" s="862"/>
      <c r="C123" s="862"/>
      <c r="D123" s="862"/>
      <c r="E123" s="924"/>
      <c r="F123" s="924"/>
      <c r="G123" s="924"/>
      <c r="H123" s="8"/>
      <c r="I123" s="8"/>
      <c r="J123" s="351"/>
      <c r="N123" s="83"/>
    </row>
    <row r="124" spans="1:18" ht="15.75" hidden="1" x14ac:dyDescent="0.2">
      <c r="A124" s="339"/>
      <c r="B124" s="349"/>
      <c r="C124" s="349"/>
      <c r="D124" s="349"/>
      <c r="E124" s="902" t="s">
        <v>93</v>
      </c>
      <c r="F124" s="902"/>
      <c r="G124" s="902"/>
      <c r="H124" s="1094">
        <f>ROUND(1/((SUM(J112:K120)+J108+J109)),3)</f>
        <v>0.124</v>
      </c>
      <c r="I124" s="1095"/>
      <c r="J124" s="905" t="s">
        <v>306</v>
      </c>
      <c r="K124" s="906"/>
      <c r="N124" s="83"/>
      <c r="R124" s="931"/>
    </row>
    <row r="125" spans="1:18" ht="6" hidden="1" customHeight="1" x14ac:dyDescent="0.2">
      <c r="A125" s="352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9"/>
      <c r="R125" s="931"/>
    </row>
    <row r="126" spans="1:18" hidden="1" x14ac:dyDescent="0.2"/>
    <row r="127" spans="1:18" hidden="1" x14ac:dyDescent="0.2"/>
    <row r="128" spans="1:1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</sheetData>
  <mergeCells count="189">
    <mergeCell ref="I61:K61"/>
    <mergeCell ref="G62:H62"/>
    <mergeCell ref="I62:K62"/>
    <mergeCell ref="E66:G66"/>
    <mergeCell ref="H66:I66"/>
    <mergeCell ref="J66:K66"/>
    <mergeCell ref="K68:N68"/>
    <mergeCell ref="A56:A57"/>
    <mergeCell ref="B56:C56"/>
    <mergeCell ref="J56:J57"/>
    <mergeCell ref="K56:K57"/>
    <mergeCell ref="M56:M57"/>
    <mergeCell ref="B57:C57"/>
    <mergeCell ref="B58:C58"/>
    <mergeCell ref="B59:C59"/>
    <mergeCell ref="B60:C60"/>
    <mergeCell ref="B50:C50"/>
    <mergeCell ref="B51:C51"/>
    <mergeCell ref="B52:C52"/>
    <mergeCell ref="B53:C53"/>
    <mergeCell ref="A54:A55"/>
    <mergeCell ref="B54:C54"/>
    <mergeCell ref="J54:J55"/>
    <mergeCell ref="K54:K55"/>
    <mergeCell ref="M54:M55"/>
    <mergeCell ref="B55:C55"/>
    <mergeCell ref="A46:B46"/>
    <mergeCell ref="C46:D46"/>
    <mergeCell ref="E46:F46"/>
    <mergeCell ref="G46:H46"/>
    <mergeCell ref="A47:B47"/>
    <mergeCell ref="C47:D47"/>
    <mergeCell ref="A48:F48"/>
    <mergeCell ref="G49:H49"/>
    <mergeCell ref="I49:K49"/>
    <mergeCell ref="A24:A25"/>
    <mergeCell ref="B23:C23"/>
    <mergeCell ref="M24:M25"/>
    <mergeCell ref="B24:C24"/>
    <mergeCell ref="A22:A23"/>
    <mergeCell ref="K22:K23"/>
    <mergeCell ref="M22:M23"/>
    <mergeCell ref="B22:C22"/>
    <mergeCell ref="B25:C25"/>
    <mergeCell ref="J22:J23"/>
    <mergeCell ref="C5:M5"/>
    <mergeCell ref="B7:G7"/>
    <mergeCell ref="I7:J7"/>
    <mergeCell ref="I8:J8"/>
    <mergeCell ref="B21:C21"/>
    <mergeCell ref="A16:F16"/>
    <mergeCell ref="B18:C18"/>
    <mergeCell ref="B19:C19"/>
    <mergeCell ref="G17:H17"/>
    <mergeCell ref="I17:K17"/>
    <mergeCell ref="A14:B14"/>
    <mergeCell ref="C14:D14"/>
    <mergeCell ref="E14:F14"/>
    <mergeCell ref="A15:B15"/>
    <mergeCell ref="C15:D15"/>
    <mergeCell ref="G14:H14"/>
    <mergeCell ref="B20:C20"/>
    <mergeCell ref="G10:H10"/>
    <mergeCell ref="C11:F11"/>
    <mergeCell ref="G11:H11"/>
    <mergeCell ref="G12:H12"/>
    <mergeCell ref="G13:H13"/>
    <mergeCell ref="B12:F12"/>
    <mergeCell ref="I9:J9"/>
    <mergeCell ref="B26:C26"/>
    <mergeCell ref="I30:K30"/>
    <mergeCell ref="J24:J25"/>
    <mergeCell ref="K24:K25"/>
    <mergeCell ref="I82:K82"/>
    <mergeCell ref="G82:H82"/>
    <mergeCell ref="G79:H79"/>
    <mergeCell ref="I29:K29"/>
    <mergeCell ref="G30:H30"/>
    <mergeCell ref="B27:C27"/>
    <mergeCell ref="B77:F78"/>
    <mergeCell ref="G77:H77"/>
    <mergeCell ref="G78:H78"/>
    <mergeCell ref="B28:C28"/>
    <mergeCell ref="C38:M38"/>
    <mergeCell ref="B40:G40"/>
    <mergeCell ref="I40:J40"/>
    <mergeCell ref="I41:J41"/>
    <mergeCell ref="G42:H42"/>
    <mergeCell ref="C43:F43"/>
    <mergeCell ref="G43:H43"/>
    <mergeCell ref="B44:F44"/>
    <mergeCell ref="G44:H44"/>
    <mergeCell ref="G45:H45"/>
    <mergeCell ref="B86:C86"/>
    <mergeCell ref="B87:C87"/>
    <mergeCell ref="B88:C88"/>
    <mergeCell ref="A2:N2"/>
    <mergeCell ref="H34:I34"/>
    <mergeCell ref="I74:J74"/>
    <mergeCell ref="G75:H75"/>
    <mergeCell ref="C76:F76"/>
    <mergeCell ref="G76:H76"/>
    <mergeCell ref="K36:N36"/>
    <mergeCell ref="C70:M70"/>
    <mergeCell ref="B72:G72"/>
    <mergeCell ref="I72:J72"/>
    <mergeCell ref="I73:J73"/>
    <mergeCell ref="E34:G34"/>
    <mergeCell ref="J34:K34"/>
    <mergeCell ref="B83:C83"/>
    <mergeCell ref="B84:C84"/>
    <mergeCell ref="A79:B79"/>
    <mergeCell ref="C79:D79"/>
    <mergeCell ref="E79:F79"/>
    <mergeCell ref="A81:F81"/>
    <mergeCell ref="A80:B80"/>
    <mergeCell ref="C80:D80"/>
    <mergeCell ref="J91:J92"/>
    <mergeCell ref="K91:K92"/>
    <mergeCell ref="M91:M92"/>
    <mergeCell ref="B92:C92"/>
    <mergeCell ref="A89:A90"/>
    <mergeCell ref="B89:C89"/>
    <mergeCell ref="J89:J90"/>
    <mergeCell ref="K89:K90"/>
    <mergeCell ref="M89:M90"/>
    <mergeCell ref="B90:C90"/>
    <mergeCell ref="A91:A92"/>
    <mergeCell ref="B91:C91"/>
    <mergeCell ref="C106:K106"/>
    <mergeCell ref="C108:H108"/>
    <mergeCell ref="J108:K108"/>
    <mergeCell ref="J109:K109"/>
    <mergeCell ref="J110:K110"/>
    <mergeCell ref="E101:G101"/>
    <mergeCell ref="H101:I101"/>
    <mergeCell ref="J101:K101"/>
    <mergeCell ref="B93:C93"/>
    <mergeCell ref="B94:C94"/>
    <mergeCell ref="B95:C95"/>
    <mergeCell ref="I96:K96"/>
    <mergeCell ref="G97:H97"/>
    <mergeCell ref="I97:K97"/>
    <mergeCell ref="B113:D113"/>
    <mergeCell ref="E113:F113"/>
    <mergeCell ref="H113:I113"/>
    <mergeCell ref="J113:K113"/>
    <mergeCell ref="B114:D114"/>
    <mergeCell ref="E114:F114"/>
    <mergeCell ref="H114:I114"/>
    <mergeCell ref="J114:K114"/>
    <mergeCell ref="B111:D111"/>
    <mergeCell ref="E111:F111"/>
    <mergeCell ref="H111:I111"/>
    <mergeCell ref="J111:K111"/>
    <mergeCell ref="B112:D112"/>
    <mergeCell ref="E112:F112"/>
    <mergeCell ref="H112:I112"/>
    <mergeCell ref="J112:K112"/>
    <mergeCell ref="B117:D117"/>
    <mergeCell ref="E117:F117"/>
    <mergeCell ref="H117:I117"/>
    <mergeCell ref="J117:K117"/>
    <mergeCell ref="B118:D118"/>
    <mergeCell ref="E118:F118"/>
    <mergeCell ref="H118:I118"/>
    <mergeCell ref="J118:K118"/>
    <mergeCell ref="B115:D115"/>
    <mergeCell ref="E115:F115"/>
    <mergeCell ref="H115:I115"/>
    <mergeCell ref="J115:K115"/>
    <mergeCell ref="B116:D116"/>
    <mergeCell ref="E116:F116"/>
    <mergeCell ref="H116:I116"/>
    <mergeCell ref="J116:K116"/>
    <mergeCell ref="R124:R125"/>
    <mergeCell ref="B123:D123"/>
    <mergeCell ref="E123:G123"/>
    <mergeCell ref="E124:G124"/>
    <mergeCell ref="H124:I124"/>
    <mergeCell ref="J124:K124"/>
    <mergeCell ref="B119:D119"/>
    <mergeCell ref="E119:F119"/>
    <mergeCell ref="H119:I119"/>
    <mergeCell ref="J119:K119"/>
    <mergeCell ref="B120:D120"/>
    <mergeCell ref="E120:F120"/>
    <mergeCell ref="H120:I120"/>
    <mergeCell ref="J120:K120"/>
  </mergeCells>
  <dataValidations count="2">
    <dataValidation type="list" allowBlank="1" showInputMessage="1" showErrorMessage="1" sqref="B20:C21 B58:C58 B55:C55 B52:C53 B26:C26 B23:C23" xr:uid="{00000000-0002-0000-1300-000000000000}">
      <formula1>$Q$7:$Q$17</formula1>
    </dataValidation>
    <dataValidation type="list" allowBlank="1" showInputMessage="1" showErrorMessage="1" sqref="F58 D51:D53 F55 F26 D19:D21" xr:uid="{00000000-0002-0000-1300-000001000000}">
      <formula1>$R$7:$R$17</formula1>
    </dataValidation>
  </dataValidations>
  <printOptions horizontalCentered="1"/>
  <pageMargins left="0.78740157480314965" right="0.70866141732283472" top="0.74803149606299213" bottom="0.74803149606299213" header="0.31496062992125984" footer="0.31496062992125984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38"/>
  <sheetViews>
    <sheetView showGridLines="0" workbookViewId="0">
      <selection activeCell="R12" sqref="R12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6384" width="9.140625" style="2"/>
  </cols>
  <sheetData>
    <row r="1" spans="1:21" ht="6.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1.75" customHeight="1" x14ac:dyDescent="0.2">
      <c r="A3" s="354"/>
      <c r="B3" s="355"/>
      <c r="C3" s="340" t="s">
        <v>349</v>
      </c>
      <c r="D3" s="1158" t="s">
        <v>383</v>
      </c>
      <c r="E3" s="868"/>
      <c r="F3" s="868"/>
      <c r="G3" s="868"/>
      <c r="H3" s="868"/>
      <c r="I3" s="868"/>
      <c r="J3" s="868"/>
      <c r="K3" s="868"/>
      <c r="L3" s="869"/>
      <c r="P3" s="83"/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</row>
    <row r="5" spans="1:21" ht="15" x14ac:dyDescent="0.25">
      <c r="A5" s="354"/>
      <c r="B5" s="355"/>
      <c r="C5" s="341"/>
      <c r="D5" s="942" t="s">
        <v>307</v>
      </c>
      <c r="E5" s="942"/>
      <c r="F5" s="942"/>
      <c r="G5" s="942"/>
      <c r="H5" s="942"/>
      <c r="I5" s="942"/>
      <c r="J5" s="357" t="s">
        <v>308</v>
      </c>
      <c r="K5" s="1182">
        <v>0.1</v>
      </c>
      <c r="L5" s="1183"/>
      <c r="M5" s="358"/>
      <c r="P5" s="83"/>
    </row>
    <row r="6" spans="1:21" ht="15" x14ac:dyDescent="0.25">
      <c r="A6" s="354"/>
      <c r="B6" s="355"/>
      <c r="C6" s="341"/>
      <c r="D6" s="341"/>
      <c r="E6" s="341"/>
      <c r="F6" s="341"/>
      <c r="G6" s="341"/>
      <c r="H6" s="341"/>
      <c r="I6" s="341"/>
      <c r="J6" s="357" t="s">
        <v>309</v>
      </c>
      <c r="K6" s="1184">
        <v>0.04</v>
      </c>
      <c r="L6" s="1185"/>
      <c r="P6" s="83"/>
    </row>
    <row r="7" spans="1:21" ht="14.25" customHeight="1" x14ac:dyDescent="0.2">
      <c r="A7" s="354"/>
      <c r="B7" s="355"/>
      <c r="C7" s="341"/>
      <c r="D7" s="341"/>
      <c r="E7" s="341"/>
      <c r="F7" s="341"/>
      <c r="G7" s="341"/>
      <c r="H7" s="341"/>
      <c r="I7" s="341"/>
      <c r="J7" s="357" t="s">
        <v>310</v>
      </c>
      <c r="K7" s="1182">
        <v>0.06</v>
      </c>
      <c r="L7" s="1186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</row>
    <row r="9" spans="1:21" ht="9.75" customHeight="1" x14ac:dyDescent="0.25">
      <c r="A9" s="354"/>
      <c r="B9" s="355"/>
      <c r="C9" s="341"/>
      <c r="D9" s="341"/>
      <c r="E9" s="341"/>
      <c r="F9" s="341"/>
      <c r="G9" s="1181" t="s">
        <v>112</v>
      </c>
      <c r="H9" s="1181"/>
      <c r="I9" s="1181" t="s">
        <v>113</v>
      </c>
      <c r="J9" s="1181"/>
      <c r="K9" s="341"/>
      <c r="L9" s="359"/>
      <c r="P9" s="83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1177"/>
      <c r="G10" s="1178">
        <v>0.6</v>
      </c>
      <c r="H10" s="1178"/>
      <c r="I10" s="1179">
        <v>0.4</v>
      </c>
      <c r="J10" s="1179"/>
      <c r="K10" s="341"/>
      <c r="L10" s="359"/>
      <c r="P10" s="83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1180"/>
      <c r="G11" s="1178">
        <v>0.52500000000000002</v>
      </c>
      <c r="H11" s="1178"/>
      <c r="I11" s="1179">
        <v>0.35</v>
      </c>
      <c r="J11" s="1179"/>
      <c r="K11" s="341"/>
      <c r="L11" s="359"/>
      <c r="P11" s="83"/>
    </row>
    <row r="12" spans="1:21" ht="15" x14ac:dyDescent="0.25">
      <c r="A12" s="354"/>
      <c r="B12" s="355"/>
      <c r="C12" s="891"/>
      <c r="D12" s="891"/>
      <c r="E12" s="891"/>
      <c r="F12" s="1180"/>
      <c r="G12" s="1178">
        <f>G10-G11</f>
        <v>7.4999999999999956E-2</v>
      </c>
      <c r="H12" s="1178"/>
      <c r="I12" s="1179">
        <f>I10-I11</f>
        <v>5.0000000000000044E-2</v>
      </c>
      <c r="J12" s="1179"/>
      <c r="K12" s="341"/>
      <c r="L12" s="359"/>
      <c r="P12" s="83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</row>
    <row r="14" spans="1:21" ht="14.25" customHeight="1" x14ac:dyDescent="0.2">
      <c r="A14" s="890"/>
      <c r="B14" s="891"/>
      <c r="C14" s="883"/>
      <c r="D14" s="883"/>
      <c r="E14" s="361"/>
      <c r="F14" s="362"/>
      <c r="G14" s="342" t="s">
        <v>0</v>
      </c>
      <c r="H14" s="342" t="s">
        <v>1</v>
      </c>
      <c r="I14" s="342" t="s">
        <v>2</v>
      </c>
      <c r="J14" s="342" t="s">
        <v>3</v>
      </c>
      <c r="K14" s="363"/>
      <c r="L14" s="364"/>
      <c r="M14" s="364"/>
      <c r="P14" s="83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1172"/>
      <c r="G15" s="365">
        <f>(G11*I11)/(G10*I10)</f>
        <v>0.765625</v>
      </c>
      <c r="H15" s="365">
        <f>(G11*I12)/(G10*I10)</f>
        <v>0.1093750000000001</v>
      </c>
      <c r="I15" s="365">
        <f>(G12*I11)/(G10*I10)</f>
        <v>0.10937499999999993</v>
      </c>
      <c r="J15" s="365">
        <f>(G12*I12)/(G10*I10)</f>
        <v>1.5625000000000007E-2</v>
      </c>
      <c r="K15" s="366"/>
      <c r="L15" s="364"/>
      <c r="M15" s="364"/>
      <c r="P15" s="83"/>
    </row>
    <row r="16" spans="1:21" ht="14.25" customHeight="1" x14ac:dyDescent="0.2">
      <c r="A16" s="367"/>
      <c r="B16" s="368"/>
      <c r="C16" s="368"/>
      <c r="D16" s="368"/>
      <c r="E16" s="368"/>
      <c r="F16" s="368"/>
      <c r="G16" s="1173" t="s">
        <v>313</v>
      </c>
      <c r="H16" s="1173"/>
      <c r="I16" s="1173"/>
      <c r="J16" s="1173"/>
      <c r="K16" s="1174" t="s">
        <v>314</v>
      </c>
      <c r="L16" s="1174"/>
      <c r="M16" s="1174"/>
      <c r="P16" s="83"/>
      <c r="U16" s="2">
        <v>0</v>
      </c>
    </row>
    <row r="17" spans="1:16" ht="27" customHeight="1" x14ac:dyDescent="0.2">
      <c r="A17" s="369"/>
      <c r="B17" s="1175" t="s">
        <v>6</v>
      </c>
      <c r="C17" s="1176"/>
      <c r="D17" s="370" t="s">
        <v>315</v>
      </c>
      <c r="E17" s="370" t="s">
        <v>303</v>
      </c>
      <c r="F17" s="371" t="s">
        <v>316</v>
      </c>
      <c r="G17" s="370" t="s">
        <v>317</v>
      </c>
      <c r="H17" s="370" t="s">
        <v>318</v>
      </c>
      <c r="I17" s="370" t="s">
        <v>319</v>
      </c>
      <c r="J17" s="370" t="s">
        <v>320</v>
      </c>
      <c r="K17" s="342" t="s">
        <v>4</v>
      </c>
      <c r="L17" s="370" t="s">
        <v>119</v>
      </c>
      <c r="M17" s="370" t="s">
        <v>321</v>
      </c>
      <c r="O17" s="370" t="s">
        <v>322</v>
      </c>
      <c r="P17" s="83"/>
    </row>
    <row r="18" spans="1:16" ht="12.75" hidden="1" customHeight="1" x14ac:dyDescent="0.2">
      <c r="A18" s="1163"/>
      <c r="B18" s="1164" t="s">
        <v>364</v>
      </c>
      <c r="C18" s="1165"/>
      <c r="D18" s="372">
        <v>0.83</v>
      </c>
      <c r="E18" s="345">
        <v>0</v>
      </c>
      <c r="F18" s="373">
        <f>D18+E18</f>
        <v>0.83</v>
      </c>
      <c r="G18" s="374">
        <f>$O$18/$F$18</f>
        <v>0</v>
      </c>
      <c r="H18" s="374">
        <f>$O$18/$F$18</f>
        <v>0</v>
      </c>
      <c r="I18" s="374">
        <f>$O$18/$F$18</f>
        <v>0</v>
      </c>
      <c r="J18" s="374">
        <f>$O$18/$F$18</f>
        <v>0</v>
      </c>
      <c r="K18" s="375"/>
      <c r="L18" s="375">
        <f>F18</f>
        <v>0.83</v>
      </c>
      <c r="M18" s="375">
        <f>O18/L18</f>
        <v>0</v>
      </c>
      <c r="O18" s="345">
        <v>0</v>
      </c>
      <c r="P18" s="83"/>
    </row>
    <row r="19" spans="1:16" ht="12.75" hidden="1" customHeight="1" x14ac:dyDescent="0.2">
      <c r="A19" s="1163"/>
      <c r="B19" s="1164" t="s">
        <v>243</v>
      </c>
      <c r="C19" s="1165"/>
      <c r="D19" s="372">
        <v>3.3000000000000002E-2</v>
      </c>
      <c r="E19" s="345">
        <v>1E-3</v>
      </c>
      <c r="F19" s="373">
        <f>D19+E19</f>
        <v>3.4000000000000002E-2</v>
      </c>
      <c r="G19" s="374">
        <f>$O$19/$F$19</f>
        <v>0</v>
      </c>
      <c r="H19" s="374">
        <f>$O$19/$F$19</f>
        <v>0</v>
      </c>
      <c r="I19" s="374">
        <f>$O$19/$F$19</f>
        <v>0</v>
      </c>
      <c r="J19" s="374">
        <f>$O$19/$F$19</f>
        <v>0</v>
      </c>
      <c r="K19" s="375"/>
      <c r="L19" s="374">
        <f>F19</f>
        <v>3.4000000000000002E-2</v>
      </c>
      <c r="M19" s="375">
        <f>O19/L19</f>
        <v>0</v>
      </c>
      <c r="O19" s="345">
        <v>0</v>
      </c>
      <c r="P19" s="83"/>
    </row>
    <row r="20" spans="1:16" hidden="1" x14ac:dyDescent="0.2">
      <c r="A20" s="1163"/>
      <c r="B20" s="1164" t="s">
        <v>123</v>
      </c>
      <c r="C20" s="1165"/>
      <c r="D20" s="372">
        <v>0.15</v>
      </c>
      <c r="E20" s="345">
        <v>0</v>
      </c>
      <c r="F20" s="373">
        <f t="shared" ref="F20:F31" si="0">D20+E20</f>
        <v>0.15</v>
      </c>
      <c r="G20" s="374"/>
      <c r="H20" s="374"/>
      <c r="I20" s="374">
        <f>O20/F20</f>
        <v>0</v>
      </c>
      <c r="J20" s="374">
        <f>O20/F20</f>
        <v>0</v>
      </c>
      <c r="K20" s="374">
        <f>(I12*I10*2)/(I10*I10*2)</f>
        <v>0.12500000000000008</v>
      </c>
      <c r="L20" s="1169">
        <f>ROUND((K20*F20)+(K21*F21),3)</f>
        <v>4.9000000000000002E-2</v>
      </c>
      <c r="M20" s="1169">
        <f>O20/L20</f>
        <v>0</v>
      </c>
      <c r="O20" s="1170">
        <v>0</v>
      </c>
      <c r="P20" s="83"/>
    </row>
    <row r="21" spans="1:16" hidden="1" x14ac:dyDescent="0.2">
      <c r="A21" s="1163"/>
      <c r="B21" s="1164" t="s">
        <v>382</v>
      </c>
      <c r="C21" s="1165"/>
      <c r="D21" s="372">
        <v>3.3000000000000002E-2</v>
      </c>
      <c r="E21" s="345">
        <v>2E-3</v>
      </c>
      <c r="F21" s="373">
        <f t="shared" si="0"/>
        <v>3.5000000000000003E-2</v>
      </c>
      <c r="G21" s="374">
        <f>O20/F21</f>
        <v>0</v>
      </c>
      <c r="H21" s="374">
        <f>O20/F21</f>
        <v>0</v>
      </c>
      <c r="I21" s="374"/>
      <c r="J21" s="374"/>
      <c r="K21" s="374">
        <f>(I11*I10*2)/(I10*I10*2)</f>
        <v>0.87499999999999978</v>
      </c>
      <c r="L21" s="1169"/>
      <c r="M21" s="1169"/>
      <c r="O21" s="1171"/>
      <c r="P21" s="83"/>
    </row>
    <row r="22" spans="1:16" ht="12.75" customHeight="1" x14ac:dyDescent="0.2">
      <c r="A22" s="1163"/>
      <c r="B22" s="1164" t="s">
        <v>7</v>
      </c>
      <c r="C22" s="1165"/>
      <c r="D22" s="372">
        <v>0.13</v>
      </c>
      <c r="E22" s="345">
        <v>0</v>
      </c>
      <c r="F22" s="373">
        <f t="shared" si="0"/>
        <v>0.13</v>
      </c>
      <c r="G22" s="374"/>
      <c r="H22" s="374"/>
      <c r="I22" s="374">
        <f>O22/F22</f>
        <v>1.5384615384615385</v>
      </c>
      <c r="J22" s="374">
        <f>O22/F22</f>
        <v>1.5384615384615385</v>
      </c>
      <c r="K22" s="374">
        <f>(I12*G10*2)/(I10*G10*2)</f>
        <v>0.12500000000000011</v>
      </c>
      <c r="L22" s="1169">
        <f>ROUND((K22*F22)+(K23*F23),3)</f>
        <v>0.05</v>
      </c>
      <c r="M22" s="1169">
        <f>ROUND(O22/L22,3)</f>
        <v>4</v>
      </c>
      <c r="O22" s="1170">
        <v>0.2</v>
      </c>
      <c r="P22" s="83"/>
    </row>
    <row r="23" spans="1:16" ht="12.75" customHeight="1" x14ac:dyDescent="0.2">
      <c r="A23" s="1163"/>
      <c r="B23" s="1164" t="s">
        <v>386</v>
      </c>
      <c r="C23" s="1165"/>
      <c r="D23" s="372">
        <v>3.5999999999999997E-2</v>
      </c>
      <c r="E23" s="345">
        <v>2E-3</v>
      </c>
      <c r="F23" s="373">
        <f t="shared" si="0"/>
        <v>3.7999999999999999E-2</v>
      </c>
      <c r="G23" s="374">
        <f>O22/F23</f>
        <v>5.2631578947368425</v>
      </c>
      <c r="H23" s="374">
        <f>O22/F23</f>
        <v>5.2631578947368425</v>
      </c>
      <c r="I23" s="374"/>
      <c r="J23" s="374"/>
      <c r="K23" s="374">
        <f>(I11*G10*2)/(I10*G10*2)</f>
        <v>0.875</v>
      </c>
      <c r="L23" s="1169"/>
      <c r="M23" s="1169"/>
      <c r="O23" s="1171"/>
      <c r="P23" s="83"/>
    </row>
    <row r="24" spans="1:16" x14ac:dyDescent="0.2">
      <c r="A24" s="1163"/>
      <c r="B24" s="1164" t="s">
        <v>7</v>
      </c>
      <c r="C24" s="1165"/>
      <c r="D24" s="437">
        <v>0.13</v>
      </c>
      <c r="E24" s="345">
        <v>0</v>
      </c>
      <c r="F24" s="373">
        <f t="shared" si="0"/>
        <v>0.13</v>
      </c>
      <c r="G24" s="374"/>
      <c r="H24" s="374">
        <f>O24/F24</f>
        <v>0.38461538461538464</v>
      </c>
      <c r="I24" s="374"/>
      <c r="J24" s="374">
        <f>$O$24/$F$24</f>
        <v>0.38461538461538464</v>
      </c>
      <c r="K24" s="374">
        <f>(G12*G10*2)/(G10*G10*2)</f>
        <v>0.12499999999999992</v>
      </c>
      <c r="L24" s="1169">
        <f>ROUND((K24*F24)+(K25*F25),3)</f>
        <v>0.05</v>
      </c>
      <c r="M24" s="1169">
        <f>ROUND(O24/L24,3)</f>
        <v>1</v>
      </c>
      <c r="O24" s="1170">
        <v>0.05</v>
      </c>
      <c r="P24" s="83"/>
    </row>
    <row r="25" spans="1:16" x14ac:dyDescent="0.2">
      <c r="A25" s="1163"/>
      <c r="B25" s="1164" t="s">
        <v>386</v>
      </c>
      <c r="C25" s="1165"/>
      <c r="D25" s="372">
        <v>3.5999999999999997E-2</v>
      </c>
      <c r="E25" s="345">
        <v>2E-3</v>
      </c>
      <c r="F25" s="373">
        <f t="shared" si="0"/>
        <v>3.7999999999999999E-2</v>
      </c>
      <c r="G25" s="374">
        <f>O24/F25</f>
        <v>1.3157894736842106</v>
      </c>
      <c r="H25" s="374"/>
      <c r="I25" s="374">
        <f>O24/F25</f>
        <v>1.3157894736842106</v>
      </c>
      <c r="J25" s="374"/>
      <c r="K25" s="374">
        <f>(G11*G10*2)/(G10*G10*2)</f>
        <v>0.875</v>
      </c>
      <c r="L25" s="1169"/>
      <c r="M25" s="1169"/>
      <c r="O25" s="1171"/>
      <c r="P25" s="83"/>
    </row>
    <row r="26" spans="1:16" x14ac:dyDescent="0.2">
      <c r="A26" s="1163"/>
      <c r="B26" s="1164" t="s">
        <v>365</v>
      </c>
      <c r="C26" s="1165"/>
      <c r="D26" s="437">
        <v>0.13</v>
      </c>
      <c r="E26" s="345">
        <v>0</v>
      </c>
      <c r="F26" s="373">
        <f t="shared" si="0"/>
        <v>0.13</v>
      </c>
      <c r="G26" s="374">
        <f>$O$26/$F$26</f>
        <v>9.9999999999999992E-2</v>
      </c>
      <c r="H26" s="374">
        <f>$O$26/$F$26</f>
        <v>9.9999999999999992E-2</v>
      </c>
      <c r="I26" s="374">
        <f>$O$26/$F$26</f>
        <v>9.9999999999999992E-2</v>
      </c>
      <c r="J26" s="374">
        <f>$O$26/$F$26</f>
        <v>9.9999999999999992E-2</v>
      </c>
      <c r="K26" s="374"/>
      <c r="L26" s="1169">
        <f>F26</f>
        <v>0.13</v>
      </c>
      <c r="M26" s="1187">
        <f>ROUND((O26/L26),3)</f>
        <v>0.1</v>
      </c>
      <c r="O26" s="345">
        <v>1.2999999999999999E-2</v>
      </c>
      <c r="P26" s="83"/>
    </row>
    <row r="27" spans="1:16" hidden="1" x14ac:dyDescent="0.2">
      <c r="A27" s="1163"/>
      <c r="B27" s="1164"/>
      <c r="C27" s="1165"/>
      <c r="D27" s="372">
        <v>1</v>
      </c>
      <c r="E27" s="345">
        <v>0</v>
      </c>
      <c r="F27" s="373">
        <f t="shared" si="0"/>
        <v>1</v>
      </c>
      <c r="G27" s="374">
        <f>$O$27/$F$27</f>
        <v>0</v>
      </c>
      <c r="H27" s="374">
        <f>$O$27/$F$27</f>
        <v>0</v>
      </c>
      <c r="I27" s="374">
        <f>$O$27/$F$27</f>
        <v>0</v>
      </c>
      <c r="J27" s="374">
        <f>$O$27/$F$27</f>
        <v>0</v>
      </c>
      <c r="K27" s="375"/>
      <c r="L27" s="1169"/>
      <c r="M27" s="1188"/>
      <c r="O27" s="372">
        <v>0</v>
      </c>
      <c r="P27" s="83"/>
    </row>
    <row r="28" spans="1:16" ht="12.75" hidden="1" customHeight="1" x14ac:dyDescent="0.2">
      <c r="A28" s="1163">
        <v>5</v>
      </c>
      <c r="B28" s="1164"/>
      <c r="C28" s="1165"/>
      <c r="D28" s="372">
        <v>1</v>
      </c>
      <c r="E28" s="345">
        <v>0</v>
      </c>
      <c r="F28" s="373">
        <f t="shared" si="0"/>
        <v>1</v>
      </c>
      <c r="G28" s="374">
        <f>$O$28/$F$28</f>
        <v>0</v>
      </c>
      <c r="H28" s="374">
        <f>$O$28/$F$28</f>
        <v>0</v>
      </c>
      <c r="I28" s="374">
        <f>$O$28/$F$28</f>
        <v>0</v>
      </c>
      <c r="J28" s="374">
        <f>$O$28/$F$28</f>
        <v>0</v>
      </c>
      <c r="K28" s="375"/>
      <c r="L28" s="375">
        <f>F28</f>
        <v>1</v>
      </c>
      <c r="M28" s="1189">
        <f>ROUND(O28/L28,3)</f>
        <v>0</v>
      </c>
      <c r="O28" s="372">
        <v>0</v>
      </c>
      <c r="P28" s="83"/>
    </row>
    <row r="29" spans="1:16" ht="12.75" hidden="1" customHeight="1" x14ac:dyDescent="0.2">
      <c r="A29" s="1163"/>
      <c r="B29" s="1164"/>
      <c r="C29" s="1165"/>
      <c r="D29" s="372">
        <v>1</v>
      </c>
      <c r="E29" s="345">
        <v>0</v>
      </c>
      <c r="F29" s="373">
        <f t="shared" si="0"/>
        <v>1</v>
      </c>
      <c r="G29" s="374">
        <f>$O$29/$F$29</f>
        <v>0</v>
      </c>
      <c r="H29" s="374">
        <f>$O$29/$F$29</f>
        <v>0</v>
      </c>
      <c r="I29" s="374">
        <f>$O$29/$F$29</f>
        <v>0</v>
      </c>
      <c r="J29" s="374">
        <f>$O$29/$F$29</f>
        <v>0</v>
      </c>
      <c r="K29" s="375"/>
      <c r="L29" s="375">
        <v>1</v>
      </c>
      <c r="M29" s="1190"/>
      <c r="O29" s="372">
        <v>0</v>
      </c>
      <c r="P29" s="83"/>
    </row>
    <row r="30" spans="1:16" ht="12.75" hidden="1" customHeight="1" x14ac:dyDescent="0.2">
      <c r="A30" s="1163">
        <v>7</v>
      </c>
      <c r="B30" s="1164"/>
      <c r="C30" s="1165"/>
      <c r="D30" s="372">
        <v>1</v>
      </c>
      <c r="E30" s="345">
        <v>0</v>
      </c>
      <c r="F30" s="373">
        <f t="shared" si="0"/>
        <v>1</v>
      </c>
      <c r="G30" s="374">
        <f>$O$30/$F$30</f>
        <v>0</v>
      </c>
      <c r="H30" s="374">
        <f>$O$30/$F$30</f>
        <v>0</v>
      </c>
      <c r="I30" s="374">
        <f>$O$30/$F$30</f>
        <v>0</v>
      </c>
      <c r="J30" s="374">
        <f>$O$30/$F$30</f>
        <v>0</v>
      </c>
      <c r="K30" s="375"/>
      <c r="L30" s="375">
        <v>1</v>
      </c>
      <c r="M30" s="1189">
        <f>O30/L30</f>
        <v>0</v>
      </c>
      <c r="O30" s="372">
        <v>0</v>
      </c>
      <c r="P30" s="83"/>
    </row>
    <row r="31" spans="1:16" hidden="1" x14ac:dyDescent="0.2">
      <c r="A31" s="1163"/>
      <c r="B31" s="1164"/>
      <c r="C31" s="1165"/>
      <c r="D31" s="372">
        <v>1</v>
      </c>
      <c r="E31" s="345">
        <v>0</v>
      </c>
      <c r="F31" s="373">
        <f t="shared" si="0"/>
        <v>1</v>
      </c>
      <c r="G31" s="374">
        <f>$O$31/$F$31</f>
        <v>0</v>
      </c>
      <c r="H31" s="374">
        <f>$O$31/$F$31</f>
        <v>0</v>
      </c>
      <c r="I31" s="374">
        <f>$O$31/$F$31</f>
        <v>0</v>
      </c>
      <c r="J31" s="374">
        <f>$O$31/$F$31</f>
        <v>0</v>
      </c>
      <c r="K31" s="375"/>
      <c r="L31" s="375">
        <v>1</v>
      </c>
      <c r="M31" s="1190"/>
      <c r="O31" s="372">
        <v>0</v>
      </c>
      <c r="P31" s="83"/>
    </row>
    <row r="32" spans="1:16" x14ac:dyDescent="0.2">
      <c r="A32" s="86"/>
      <c r="F32" s="349"/>
      <c r="G32" s="374">
        <f>SUM(G18:G31)+$K$5+$K$6+$K$7</f>
        <v>6.878947368421052</v>
      </c>
      <c r="H32" s="374">
        <f>SUM(H18:H31)+$K$5+$K$6+$K$7</f>
        <v>5.9477732793522264</v>
      </c>
      <c r="I32" s="374">
        <f>SUM(I18:I31)+$K$5+$K$6+$K$7</f>
        <v>3.1542510121457492</v>
      </c>
      <c r="J32" s="374">
        <f>SUM(J18:J31)+$K$5+$K$6+$K$7</f>
        <v>2.2230769230769232</v>
      </c>
      <c r="K32" s="1166"/>
      <c r="L32" s="1167"/>
      <c r="M32" s="1168"/>
      <c r="P32" s="83"/>
    </row>
    <row r="33" spans="1:16" ht="12.75" customHeight="1" x14ac:dyDescent="0.2">
      <c r="A33" s="86"/>
      <c r="C33" s="343"/>
      <c r="D33" s="377"/>
      <c r="E33" s="377"/>
      <c r="F33" s="377"/>
      <c r="G33" s="1191">
        <f>ROUND(1/((G15/G32)+(H15/H32)+(I15/I32)+(J15/J32)),3)</f>
        <v>5.835</v>
      </c>
      <c r="H33" s="1192"/>
      <c r="I33" s="1192"/>
      <c r="J33" s="1193"/>
      <c r="K33" s="1194">
        <f>SUM(M18:M31)+K5+K6+K7</f>
        <v>5.2999999999999989</v>
      </c>
      <c r="L33" s="1195"/>
      <c r="M33" s="1196"/>
      <c r="P33" s="83"/>
    </row>
    <row r="34" spans="1:16" ht="15.75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</row>
    <row r="35" spans="1:16" ht="15" customHeight="1" x14ac:dyDescent="0.2">
      <c r="A35" s="86"/>
      <c r="O35" s="381">
        <f>SUM(O18:O31)*1000</f>
        <v>263</v>
      </c>
      <c r="P35" s="382" t="s">
        <v>120</v>
      </c>
    </row>
    <row r="36" spans="1:16" x14ac:dyDescent="0.2">
      <c r="A36" s="86"/>
      <c r="P36" s="83"/>
    </row>
    <row r="37" spans="1:16" ht="15.75" x14ac:dyDescent="0.2">
      <c r="A37" s="86"/>
      <c r="F37" s="902" t="s">
        <v>93</v>
      </c>
      <c r="G37" s="902"/>
      <c r="H37" s="902"/>
      <c r="I37" s="1094">
        <f>ROUND(1/((G33+K33)/2),3)</f>
        <v>0.18</v>
      </c>
      <c r="J37" s="1095"/>
      <c r="K37" s="905" t="s">
        <v>306</v>
      </c>
      <c r="L37" s="906"/>
      <c r="P37" s="83"/>
    </row>
    <row r="38" spans="1:16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</row>
  </sheetData>
  <mergeCells count="66">
    <mergeCell ref="F37:H37"/>
    <mergeCell ref="I37:J37"/>
    <mergeCell ref="K37:L37"/>
    <mergeCell ref="A30:A31"/>
    <mergeCell ref="M30:M31"/>
    <mergeCell ref="B31:C31"/>
    <mergeCell ref="G33:J33"/>
    <mergeCell ref="K33:M33"/>
    <mergeCell ref="A26:A27"/>
    <mergeCell ref="L26:L27"/>
    <mergeCell ref="M26:M27"/>
    <mergeCell ref="A28:A29"/>
    <mergeCell ref="M28:M29"/>
    <mergeCell ref="G9:H9"/>
    <mergeCell ref="I9:J9"/>
    <mergeCell ref="D3:L3"/>
    <mergeCell ref="D5:I5"/>
    <mergeCell ref="K5:L5"/>
    <mergeCell ref="K6:L6"/>
    <mergeCell ref="K7:L7"/>
    <mergeCell ref="C10:F10"/>
    <mergeCell ref="G10:H10"/>
    <mergeCell ref="I10:J10"/>
    <mergeCell ref="C11:F12"/>
    <mergeCell ref="G11:H11"/>
    <mergeCell ref="I11:J11"/>
    <mergeCell ref="G12:H12"/>
    <mergeCell ref="I12:J12"/>
    <mergeCell ref="A13:B13"/>
    <mergeCell ref="C13:D13"/>
    <mergeCell ref="E13:F13"/>
    <mergeCell ref="G13:J13"/>
    <mergeCell ref="A14:B14"/>
    <mergeCell ref="C14:D14"/>
    <mergeCell ref="A15:F15"/>
    <mergeCell ref="G16:J16"/>
    <mergeCell ref="K16:M16"/>
    <mergeCell ref="B17:C17"/>
    <mergeCell ref="A18:A19"/>
    <mergeCell ref="B18:C18"/>
    <mergeCell ref="B19:C19"/>
    <mergeCell ref="M22:M23"/>
    <mergeCell ref="O22:O23"/>
    <mergeCell ref="B23:C23"/>
    <mergeCell ref="A20:A21"/>
    <mergeCell ref="B20:C20"/>
    <mergeCell ref="L20:L21"/>
    <mergeCell ref="M20:M21"/>
    <mergeCell ref="O20:O21"/>
    <mergeCell ref="B21:C21"/>
    <mergeCell ref="A24:A25"/>
    <mergeCell ref="M1:P1"/>
    <mergeCell ref="B29:C29"/>
    <mergeCell ref="B30:C30"/>
    <mergeCell ref="K32:M32"/>
    <mergeCell ref="B26:C26"/>
    <mergeCell ref="B27:C27"/>
    <mergeCell ref="B28:C28"/>
    <mergeCell ref="B24:C24"/>
    <mergeCell ref="L24:L25"/>
    <mergeCell ref="M24:M25"/>
    <mergeCell ref="O24:O25"/>
    <mergeCell ref="B25:C25"/>
    <mergeCell ref="A22:A23"/>
    <mergeCell ref="B22:C22"/>
    <mergeCell ref="L22:L2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8"/>
  <sheetViews>
    <sheetView showGridLines="0" topLeftCell="A2" workbookViewId="0">
      <selection activeCell="D32" sqref="D32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6384" width="9.140625" style="2"/>
  </cols>
  <sheetData>
    <row r="1" spans="1:21" ht="6.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1.75" customHeight="1" x14ac:dyDescent="0.2">
      <c r="A3" s="354"/>
      <c r="B3" s="355"/>
      <c r="C3" s="340" t="s">
        <v>352</v>
      </c>
      <c r="D3" s="1158" t="s">
        <v>390</v>
      </c>
      <c r="E3" s="868"/>
      <c r="F3" s="868"/>
      <c r="G3" s="868"/>
      <c r="H3" s="868"/>
      <c r="I3" s="868"/>
      <c r="J3" s="868"/>
      <c r="K3" s="868"/>
      <c r="L3" s="869"/>
      <c r="P3" s="83"/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</row>
    <row r="5" spans="1:21" ht="15" x14ac:dyDescent="0.25">
      <c r="A5" s="354"/>
      <c r="B5" s="355"/>
      <c r="C5" s="341"/>
      <c r="D5" s="942" t="s">
        <v>307</v>
      </c>
      <c r="E5" s="942"/>
      <c r="F5" s="942"/>
      <c r="G5" s="942"/>
      <c r="H5" s="942"/>
      <c r="I5" s="942"/>
      <c r="J5" s="357" t="s">
        <v>308</v>
      </c>
      <c r="K5" s="1182">
        <v>0.1</v>
      </c>
      <c r="L5" s="1183"/>
      <c r="M5" s="358"/>
      <c r="P5" s="83"/>
    </row>
    <row r="6" spans="1:21" ht="15" x14ac:dyDescent="0.25">
      <c r="A6" s="354"/>
      <c r="B6" s="355"/>
      <c r="C6" s="341"/>
      <c r="D6" s="341"/>
      <c r="E6" s="341"/>
      <c r="F6" s="341"/>
      <c r="G6" s="341"/>
      <c r="H6" s="341"/>
      <c r="I6" s="341"/>
      <c r="J6" s="357" t="s">
        <v>309</v>
      </c>
      <c r="K6" s="1184">
        <v>0.04</v>
      </c>
      <c r="L6" s="1185"/>
      <c r="P6" s="83"/>
    </row>
    <row r="7" spans="1:21" ht="14.25" customHeight="1" x14ac:dyDescent="0.2">
      <c r="A7" s="354"/>
      <c r="B7" s="355"/>
      <c r="C7" s="341"/>
      <c r="D7" s="341"/>
      <c r="E7" s="341"/>
      <c r="F7" s="341"/>
      <c r="G7" s="341"/>
      <c r="H7" s="341"/>
      <c r="I7" s="341"/>
      <c r="J7" s="357" t="s">
        <v>310</v>
      </c>
      <c r="K7" s="1182">
        <v>0</v>
      </c>
      <c r="L7" s="1186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</row>
    <row r="9" spans="1:21" ht="9.75" customHeight="1" x14ac:dyDescent="0.25">
      <c r="A9" s="354"/>
      <c r="B9" s="355"/>
      <c r="C9" s="341"/>
      <c r="D9" s="341"/>
      <c r="E9" s="341"/>
      <c r="F9" s="341"/>
      <c r="G9" s="1181" t="s">
        <v>112</v>
      </c>
      <c r="H9" s="1181"/>
      <c r="I9" s="1181" t="s">
        <v>113</v>
      </c>
      <c r="J9" s="1181"/>
      <c r="K9" s="341"/>
      <c r="L9" s="359"/>
      <c r="P9" s="83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1177"/>
      <c r="G10" s="1179">
        <v>0.66</v>
      </c>
      <c r="H10" s="1179"/>
      <c r="I10" s="1179">
        <v>0.66</v>
      </c>
      <c r="J10" s="1179"/>
      <c r="K10" s="341"/>
      <c r="L10" s="359"/>
      <c r="P10" s="83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1180"/>
      <c r="G11" s="1179">
        <v>0.61</v>
      </c>
      <c r="H11" s="1179"/>
      <c r="I11" s="1179">
        <v>0.61</v>
      </c>
      <c r="J11" s="1179"/>
      <c r="K11" s="341"/>
      <c r="L11" s="359"/>
      <c r="P11" s="83"/>
    </row>
    <row r="12" spans="1:21" ht="15" x14ac:dyDescent="0.25">
      <c r="A12" s="354"/>
      <c r="B12" s="355"/>
      <c r="C12" s="891"/>
      <c r="D12" s="891"/>
      <c r="E12" s="891"/>
      <c r="F12" s="1180"/>
      <c r="G12" s="1179">
        <v>0.05</v>
      </c>
      <c r="H12" s="1179"/>
      <c r="I12" s="1179">
        <f>I10-I11</f>
        <v>5.0000000000000044E-2</v>
      </c>
      <c r="J12" s="1179"/>
      <c r="K12" s="341"/>
      <c r="L12" s="359"/>
      <c r="P12" s="83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</row>
    <row r="14" spans="1:21" ht="14.25" customHeight="1" x14ac:dyDescent="0.2">
      <c r="A14" s="890"/>
      <c r="B14" s="891"/>
      <c r="C14" s="883"/>
      <c r="D14" s="883"/>
      <c r="E14" s="361"/>
      <c r="F14" s="362"/>
      <c r="G14" s="342" t="s">
        <v>0</v>
      </c>
      <c r="H14" s="342" t="s">
        <v>1</v>
      </c>
      <c r="I14" s="342" t="s">
        <v>2</v>
      </c>
      <c r="J14" s="342" t="s">
        <v>3</v>
      </c>
      <c r="K14" s="363"/>
      <c r="L14" s="364"/>
      <c r="M14" s="364"/>
      <c r="P14" s="83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1172"/>
      <c r="G15" s="365">
        <f>(G11*I11)/(G10*I10)</f>
        <v>0.85422405876951324</v>
      </c>
      <c r="H15" s="365">
        <f>(G11*I12)/(G10*I10)</f>
        <v>7.0018365472910987E-2</v>
      </c>
      <c r="I15" s="365">
        <f>(G12*I11)/(G10*I10)</f>
        <v>7.0018365472910918E-2</v>
      </c>
      <c r="J15" s="365">
        <f>(G12*I12)/(G10*I10)</f>
        <v>5.7392102846648349E-3</v>
      </c>
      <c r="K15" s="366"/>
      <c r="L15" s="364"/>
      <c r="M15" s="364"/>
      <c r="P15" s="83"/>
    </row>
    <row r="16" spans="1:21" ht="14.25" customHeight="1" x14ac:dyDescent="0.2">
      <c r="A16" s="367"/>
      <c r="B16" s="368"/>
      <c r="C16" s="368"/>
      <c r="D16" s="368"/>
      <c r="E16" s="368"/>
      <c r="F16" s="368"/>
      <c r="G16" s="1173" t="s">
        <v>313</v>
      </c>
      <c r="H16" s="1173"/>
      <c r="I16" s="1173"/>
      <c r="J16" s="1173"/>
      <c r="K16" s="1174" t="s">
        <v>314</v>
      </c>
      <c r="L16" s="1174"/>
      <c r="M16" s="1174"/>
      <c r="P16" s="83"/>
      <c r="U16" s="2">
        <v>0</v>
      </c>
    </row>
    <row r="17" spans="1:16" ht="27" customHeight="1" x14ac:dyDescent="0.2">
      <c r="A17" s="369"/>
      <c r="B17" s="1175" t="s">
        <v>6</v>
      </c>
      <c r="C17" s="1176"/>
      <c r="D17" s="370" t="s">
        <v>315</v>
      </c>
      <c r="E17" s="370" t="s">
        <v>303</v>
      </c>
      <c r="F17" s="371" t="s">
        <v>316</v>
      </c>
      <c r="G17" s="370" t="s">
        <v>317</v>
      </c>
      <c r="H17" s="370" t="s">
        <v>318</v>
      </c>
      <c r="I17" s="370" t="s">
        <v>319</v>
      </c>
      <c r="J17" s="370" t="s">
        <v>320</v>
      </c>
      <c r="K17" s="342" t="s">
        <v>4</v>
      </c>
      <c r="L17" s="370" t="s">
        <v>119</v>
      </c>
      <c r="M17" s="370" t="s">
        <v>321</v>
      </c>
      <c r="O17" s="370" t="s">
        <v>322</v>
      </c>
      <c r="P17" s="83"/>
    </row>
    <row r="18" spans="1:16" ht="12.75" hidden="1" customHeight="1" x14ac:dyDescent="0.2">
      <c r="A18" s="1163"/>
      <c r="B18" s="1164" t="s">
        <v>364</v>
      </c>
      <c r="C18" s="1165"/>
      <c r="D18" s="372">
        <v>0.83</v>
      </c>
      <c r="E18" s="345">
        <v>0</v>
      </c>
      <c r="F18" s="373">
        <f>D18+E18</f>
        <v>0.83</v>
      </c>
      <c r="G18" s="374">
        <f>$O$18/$F$18</f>
        <v>0</v>
      </c>
      <c r="H18" s="374">
        <f>$O$18/$F$18</f>
        <v>0</v>
      </c>
      <c r="I18" s="374">
        <f>$O$18/$F$18</f>
        <v>0</v>
      </c>
      <c r="J18" s="374">
        <f>$O$18/$F$18</f>
        <v>0</v>
      </c>
      <c r="K18" s="375"/>
      <c r="L18" s="375">
        <f>F18</f>
        <v>0.83</v>
      </c>
      <c r="M18" s="375">
        <f>O18/L18</f>
        <v>0</v>
      </c>
      <c r="O18" s="345">
        <v>0</v>
      </c>
      <c r="P18" s="83"/>
    </row>
    <row r="19" spans="1:16" ht="12.75" hidden="1" customHeight="1" x14ac:dyDescent="0.2">
      <c r="A19" s="1163"/>
      <c r="B19" s="1164" t="s">
        <v>243</v>
      </c>
      <c r="C19" s="1165"/>
      <c r="D19" s="372">
        <v>3.3000000000000002E-2</v>
      </c>
      <c r="E19" s="345">
        <v>1E-3</v>
      </c>
      <c r="F19" s="373">
        <f>D19+E19</f>
        <v>3.4000000000000002E-2</v>
      </c>
      <c r="G19" s="374">
        <f>$O$19/$F$19</f>
        <v>0</v>
      </c>
      <c r="H19" s="374">
        <f>$O$19/$F$19</f>
        <v>0</v>
      </c>
      <c r="I19" s="374">
        <f>$O$19/$F$19</f>
        <v>0</v>
      </c>
      <c r="J19" s="374">
        <f>$O$19/$F$19</f>
        <v>0</v>
      </c>
      <c r="K19" s="375"/>
      <c r="L19" s="374">
        <f>F19</f>
        <v>3.4000000000000002E-2</v>
      </c>
      <c r="M19" s="375">
        <f>O19/L19</f>
        <v>0</v>
      </c>
      <c r="O19" s="345">
        <v>0</v>
      </c>
      <c r="P19" s="83"/>
    </row>
    <row r="20" spans="1:16" hidden="1" x14ac:dyDescent="0.2">
      <c r="A20" s="1163"/>
      <c r="B20" s="1164" t="s">
        <v>123</v>
      </c>
      <c r="C20" s="1165"/>
      <c r="D20" s="372">
        <v>0.15</v>
      </c>
      <c r="E20" s="345">
        <v>0</v>
      </c>
      <c r="F20" s="373">
        <f t="shared" ref="F20:F31" si="0">D20+E20</f>
        <v>0.15</v>
      </c>
      <c r="G20" s="374"/>
      <c r="H20" s="374"/>
      <c r="I20" s="374">
        <f>O20/F20</f>
        <v>0</v>
      </c>
      <c r="J20" s="374">
        <f>O20/F20</f>
        <v>0</v>
      </c>
      <c r="K20" s="374">
        <f>(I12*I10*2)/(I10*I10*2)</f>
        <v>7.5757575757575815E-2</v>
      </c>
      <c r="L20" s="1169">
        <f>ROUND((K20*F20)+(K21*F21),3)</f>
        <v>4.3999999999999997E-2</v>
      </c>
      <c r="M20" s="1169">
        <f>O20/L20</f>
        <v>0</v>
      </c>
      <c r="O20" s="1170">
        <v>0</v>
      </c>
      <c r="P20" s="83"/>
    </row>
    <row r="21" spans="1:16" hidden="1" x14ac:dyDescent="0.2">
      <c r="A21" s="1163"/>
      <c r="B21" s="1164" t="s">
        <v>382</v>
      </c>
      <c r="C21" s="1165"/>
      <c r="D21" s="372">
        <v>3.3000000000000002E-2</v>
      </c>
      <c r="E21" s="345">
        <v>2E-3</v>
      </c>
      <c r="F21" s="373">
        <f t="shared" si="0"/>
        <v>3.5000000000000003E-2</v>
      </c>
      <c r="G21" s="374">
        <f>O20/F21</f>
        <v>0</v>
      </c>
      <c r="H21" s="374">
        <f>O20/F21</f>
        <v>0</v>
      </c>
      <c r="I21" s="374"/>
      <c r="J21" s="374"/>
      <c r="K21" s="374">
        <f>(I11*I10*2)/(I10*I10*2)</f>
        <v>0.9242424242424242</v>
      </c>
      <c r="L21" s="1169"/>
      <c r="M21" s="1169"/>
      <c r="O21" s="1171"/>
      <c r="P21" s="83"/>
    </row>
    <row r="22" spans="1:16" ht="12.75" customHeight="1" x14ac:dyDescent="0.2">
      <c r="A22" s="1163"/>
      <c r="B22" s="1164" t="s">
        <v>7</v>
      </c>
      <c r="C22" s="1165"/>
      <c r="D22" s="372">
        <v>0.13</v>
      </c>
      <c r="E22" s="345">
        <v>0</v>
      </c>
      <c r="F22" s="373">
        <f t="shared" si="0"/>
        <v>0.13</v>
      </c>
      <c r="G22" s="374"/>
      <c r="H22" s="374"/>
      <c r="I22" s="374">
        <f>O22/F22</f>
        <v>1.5384615384615385</v>
      </c>
      <c r="J22" s="374">
        <f>O22/F22</f>
        <v>1.5384615384615385</v>
      </c>
      <c r="K22" s="374">
        <f>(I12*G10*2)/(I10*G10*2)</f>
        <v>7.5757575757575815E-2</v>
      </c>
      <c r="L22" s="1169">
        <f>ROUND((K22*F22)+(K23*F23),3)</f>
        <v>4.3999999999999997E-2</v>
      </c>
      <c r="M22" s="1169">
        <f>ROUND(O22/L22,3)</f>
        <v>4.5449999999999999</v>
      </c>
      <c r="O22" s="1170">
        <v>0.2</v>
      </c>
      <c r="P22" s="83"/>
    </row>
    <row r="23" spans="1:16" ht="12.75" customHeight="1" x14ac:dyDescent="0.2">
      <c r="A23" s="1163"/>
      <c r="B23" s="1164" t="s">
        <v>386</v>
      </c>
      <c r="C23" s="1165"/>
      <c r="D23" s="372">
        <v>3.5000000000000003E-2</v>
      </c>
      <c r="E23" s="345">
        <v>2E-3</v>
      </c>
      <c r="F23" s="373">
        <f t="shared" si="0"/>
        <v>3.7000000000000005E-2</v>
      </c>
      <c r="G23" s="374">
        <f>O22/F23</f>
        <v>5.4054054054054053</v>
      </c>
      <c r="H23" s="374">
        <f>O22/F23</f>
        <v>5.4054054054054053</v>
      </c>
      <c r="I23" s="374"/>
      <c r="J23" s="374"/>
      <c r="K23" s="374">
        <f>(I11*G10*2)/(I10*G10*2)</f>
        <v>0.9242424242424242</v>
      </c>
      <c r="L23" s="1169"/>
      <c r="M23" s="1169"/>
      <c r="O23" s="1171"/>
      <c r="P23" s="83"/>
    </row>
    <row r="24" spans="1:16" x14ac:dyDescent="0.2">
      <c r="A24" s="1163"/>
      <c r="B24" s="1164" t="s">
        <v>7</v>
      </c>
      <c r="C24" s="1165"/>
      <c r="D24" s="437">
        <v>0.13</v>
      </c>
      <c r="E24" s="345">
        <v>0</v>
      </c>
      <c r="F24" s="373">
        <f t="shared" si="0"/>
        <v>0.13</v>
      </c>
      <c r="G24" s="374"/>
      <c r="H24" s="374">
        <f>O24/F24</f>
        <v>0.38461538461538464</v>
      </c>
      <c r="I24" s="374"/>
      <c r="J24" s="374">
        <f>$O$24/$F$24</f>
        <v>0.38461538461538464</v>
      </c>
      <c r="K24" s="374">
        <f>(G12*G10*2)/(G10*G10*2)</f>
        <v>7.575757575757576E-2</v>
      </c>
      <c r="L24" s="1169">
        <f>ROUND((K24*F24)+(K25*F25),3)</f>
        <v>4.3999999999999997E-2</v>
      </c>
      <c r="M24" s="1169">
        <f>ROUND(O24/L24,3)</f>
        <v>1.1359999999999999</v>
      </c>
      <c r="O24" s="1170">
        <v>0.05</v>
      </c>
      <c r="P24" s="83"/>
    </row>
    <row r="25" spans="1:16" x14ac:dyDescent="0.2">
      <c r="A25" s="1163"/>
      <c r="B25" s="1164" t="s">
        <v>386</v>
      </c>
      <c r="C25" s="1165"/>
      <c r="D25" s="372">
        <v>3.5000000000000003E-2</v>
      </c>
      <c r="E25" s="345">
        <v>2E-3</v>
      </c>
      <c r="F25" s="373">
        <f t="shared" si="0"/>
        <v>3.7000000000000005E-2</v>
      </c>
      <c r="G25" s="374">
        <f>O24/F25</f>
        <v>1.3513513513513513</v>
      </c>
      <c r="H25" s="374"/>
      <c r="I25" s="374">
        <f>O24/F25</f>
        <v>1.3513513513513513</v>
      </c>
      <c r="J25" s="374"/>
      <c r="K25" s="374">
        <f>(G11*G10*2)/(G10*G10*2)</f>
        <v>0.9242424242424242</v>
      </c>
      <c r="L25" s="1169"/>
      <c r="M25" s="1169"/>
      <c r="O25" s="1171"/>
      <c r="P25" s="83"/>
    </row>
    <row r="26" spans="1:16" x14ac:dyDescent="0.2">
      <c r="A26" s="1163"/>
      <c r="B26" s="1164" t="s">
        <v>388</v>
      </c>
      <c r="C26" s="1165"/>
      <c r="D26" s="437">
        <v>0.25</v>
      </c>
      <c r="E26" s="345">
        <v>0</v>
      </c>
      <c r="F26" s="373">
        <f t="shared" si="0"/>
        <v>0.25</v>
      </c>
      <c r="G26" s="374">
        <f>$O$26/$F$26</f>
        <v>5.1999999999999998E-2</v>
      </c>
      <c r="H26" s="374">
        <f>$O$26/$F$26</f>
        <v>5.1999999999999998E-2</v>
      </c>
      <c r="I26" s="374">
        <f>$O$26/$F$26</f>
        <v>5.1999999999999998E-2</v>
      </c>
      <c r="J26" s="374">
        <f>$O$26/$F$26</f>
        <v>5.1999999999999998E-2</v>
      </c>
      <c r="K26" s="374"/>
      <c r="L26" s="1169">
        <f>F26</f>
        <v>0.25</v>
      </c>
      <c r="M26" s="1187">
        <f>ROUND((O26/L26),3)</f>
        <v>5.1999999999999998E-2</v>
      </c>
      <c r="O26" s="345">
        <v>1.2999999999999999E-2</v>
      </c>
      <c r="P26" s="83"/>
    </row>
    <row r="27" spans="1:16" hidden="1" x14ac:dyDescent="0.2">
      <c r="A27" s="1163"/>
      <c r="B27" s="1164"/>
      <c r="C27" s="1165"/>
      <c r="D27" s="372">
        <v>1</v>
      </c>
      <c r="E27" s="345">
        <v>0</v>
      </c>
      <c r="F27" s="373">
        <f t="shared" si="0"/>
        <v>1</v>
      </c>
      <c r="G27" s="374">
        <f>$O$27/$F$27</f>
        <v>0</v>
      </c>
      <c r="H27" s="374">
        <f>$O$27/$F$27</f>
        <v>0</v>
      </c>
      <c r="I27" s="374">
        <f>$O$27/$F$27</f>
        <v>0</v>
      </c>
      <c r="J27" s="374">
        <f>$O$27/$F$27</f>
        <v>0</v>
      </c>
      <c r="K27" s="375"/>
      <c r="L27" s="1169"/>
      <c r="M27" s="1188"/>
      <c r="O27" s="372">
        <v>0</v>
      </c>
      <c r="P27" s="83"/>
    </row>
    <row r="28" spans="1:16" ht="12.75" hidden="1" customHeight="1" x14ac:dyDescent="0.2">
      <c r="A28" s="1163">
        <v>5</v>
      </c>
      <c r="B28" s="1164"/>
      <c r="C28" s="1165"/>
      <c r="D28" s="372">
        <v>1</v>
      </c>
      <c r="E28" s="345">
        <v>0</v>
      </c>
      <c r="F28" s="373">
        <f t="shared" si="0"/>
        <v>1</v>
      </c>
      <c r="G28" s="374">
        <f>$O$28/$F$28</f>
        <v>0</v>
      </c>
      <c r="H28" s="374">
        <f>$O$28/$F$28</f>
        <v>0</v>
      </c>
      <c r="I28" s="374">
        <f>$O$28/$F$28</f>
        <v>0</v>
      </c>
      <c r="J28" s="374">
        <f>$O$28/$F$28</f>
        <v>0</v>
      </c>
      <c r="K28" s="375"/>
      <c r="L28" s="375">
        <f>F28</f>
        <v>1</v>
      </c>
      <c r="M28" s="1189">
        <f>ROUND(O28/L28,3)</f>
        <v>0</v>
      </c>
      <c r="O28" s="372">
        <v>0</v>
      </c>
      <c r="P28" s="83"/>
    </row>
    <row r="29" spans="1:16" ht="12.75" hidden="1" customHeight="1" x14ac:dyDescent="0.2">
      <c r="A29" s="1163"/>
      <c r="B29" s="1164"/>
      <c r="C29" s="1165"/>
      <c r="D29" s="372">
        <v>1</v>
      </c>
      <c r="E29" s="345">
        <v>0</v>
      </c>
      <c r="F29" s="373">
        <f t="shared" si="0"/>
        <v>1</v>
      </c>
      <c r="G29" s="374">
        <f>$O$29/$F$29</f>
        <v>0</v>
      </c>
      <c r="H29" s="374">
        <f>$O$29/$F$29</f>
        <v>0</v>
      </c>
      <c r="I29" s="374">
        <f>$O$29/$F$29</f>
        <v>0</v>
      </c>
      <c r="J29" s="374">
        <f>$O$29/$F$29</f>
        <v>0</v>
      </c>
      <c r="K29" s="375"/>
      <c r="L29" s="375">
        <v>1</v>
      </c>
      <c r="M29" s="1190"/>
      <c r="O29" s="372">
        <v>0</v>
      </c>
      <c r="P29" s="83"/>
    </row>
    <row r="30" spans="1:16" ht="12.75" hidden="1" customHeight="1" x14ac:dyDescent="0.2">
      <c r="A30" s="1163">
        <v>7</v>
      </c>
      <c r="B30" s="1164"/>
      <c r="C30" s="1165"/>
      <c r="D30" s="372">
        <v>1</v>
      </c>
      <c r="E30" s="345">
        <v>0</v>
      </c>
      <c r="F30" s="373">
        <f t="shared" si="0"/>
        <v>1</v>
      </c>
      <c r="G30" s="374">
        <f>$O$30/$F$30</f>
        <v>0</v>
      </c>
      <c r="H30" s="374">
        <f>$O$30/$F$30</f>
        <v>0</v>
      </c>
      <c r="I30" s="374">
        <f>$O$30/$F$30</f>
        <v>0</v>
      </c>
      <c r="J30" s="374">
        <f>$O$30/$F$30</f>
        <v>0</v>
      </c>
      <c r="K30" s="375"/>
      <c r="L30" s="375">
        <v>1</v>
      </c>
      <c r="M30" s="1189">
        <f>O30/L30</f>
        <v>0</v>
      </c>
      <c r="O30" s="372">
        <v>0</v>
      </c>
      <c r="P30" s="83"/>
    </row>
    <row r="31" spans="1:16" hidden="1" x14ac:dyDescent="0.2">
      <c r="A31" s="1163"/>
      <c r="B31" s="1164"/>
      <c r="C31" s="1165"/>
      <c r="D31" s="372">
        <v>1</v>
      </c>
      <c r="E31" s="345">
        <v>0</v>
      </c>
      <c r="F31" s="373">
        <f t="shared" si="0"/>
        <v>1</v>
      </c>
      <c r="G31" s="374">
        <f>$O$31/$F$31</f>
        <v>0</v>
      </c>
      <c r="H31" s="374">
        <f>$O$31/$F$31</f>
        <v>0</v>
      </c>
      <c r="I31" s="374">
        <f>$O$31/$F$31</f>
        <v>0</v>
      </c>
      <c r="J31" s="374">
        <f>$O$31/$F$31</f>
        <v>0</v>
      </c>
      <c r="K31" s="375"/>
      <c r="L31" s="375">
        <v>1</v>
      </c>
      <c r="M31" s="1190"/>
      <c r="O31" s="372">
        <v>0</v>
      </c>
      <c r="P31" s="83"/>
    </row>
    <row r="32" spans="1:16" x14ac:dyDescent="0.2">
      <c r="A32" s="86"/>
      <c r="F32" s="349"/>
      <c r="G32" s="374">
        <f>SUM(G18:G31)+$K$5+$K$6+$K$7</f>
        <v>6.9487567567567554</v>
      </c>
      <c r="H32" s="374">
        <f>SUM(H18:H31)+$K$5+$K$6+$K$7</f>
        <v>5.9820207900207896</v>
      </c>
      <c r="I32" s="374">
        <f>SUM(I18:I31)+$K$5+$K$6+$K$7</f>
        <v>3.0818128898128903</v>
      </c>
      <c r="J32" s="374">
        <f>SUM(J18:J31)+$K$5+$K$6+$K$7</f>
        <v>2.1150769230769231</v>
      </c>
      <c r="K32" s="1166"/>
      <c r="L32" s="1167"/>
      <c r="M32" s="1168"/>
      <c r="P32" s="83"/>
    </row>
    <row r="33" spans="1:16" ht="12.75" customHeight="1" x14ac:dyDescent="0.2">
      <c r="A33" s="86"/>
      <c r="C33" s="343"/>
      <c r="D33" s="377"/>
      <c r="E33" s="377"/>
      <c r="F33" s="377"/>
      <c r="G33" s="1191">
        <f>ROUND(1/((G15/G32)+(H15/H32)+(I15/I32)+(J15/J32)),3)</f>
        <v>6.2469999999999999</v>
      </c>
      <c r="H33" s="1192"/>
      <c r="I33" s="1192"/>
      <c r="J33" s="1193"/>
      <c r="K33" s="1194">
        <f>SUM(M18:M31)+K5+K6+K7</f>
        <v>5.8729999999999993</v>
      </c>
      <c r="L33" s="1195"/>
      <c r="M33" s="1196"/>
      <c r="P33" s="83"/>
    </row>
    <row r="34" spans="1:16" ht="15.75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</row>
    <row r="35" spans="1:16" ht="15" customHeight="1" x14ac:dyDescent="0.2">
      <c r="A35" s="86"/>
      <c r="O35" s="381">
        <f>SUM(O18:O31)*1000</f>
        <v>263</v>
      </c>
      <c r="P35" s="382" t="s">
        <v>120</v>
      </c>
    </row>
    <row r="36" spans="1:16" x14ac:dyDescent="0.2">
      <c r="A36" s="86"/>
      <c r="P36" s="83"/>
    </row>
    <row r="37" spans="1:16" ht="15.75" x14ac:dyDescent="0.2">
      <c r="A37" s="86"/>
      <c r="F37" s="902" t="s">
        <v>93</v>
      </c>
      <c r="G37" s="902"/>
      <c r="H37" s="902"/>
      <c r="I37" s="1094">
        <f>ROUND(1/((G33+K33)/2),3)</f>
        <v>0.16500000000000001</v>
      </c>
      <c r="J37" s="1095"/>
      <c r="K37" s="905" t="s">
        <v>306</v>
      </c>
      <c r="L37" s="906"/>
      <c r="P37" s="83"/>
    </row>
    <row r="38" spans="1:16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</row>
  </sheetData>
  <mergeCells count="66">
    <mergeCell ref="F37:H37"/>
    <mergeCell ref="I37:J37"/>
    <mergeCell ref="K37:L37"/>
    <mergeCell ref="A30:A31"/>
    <mergeCell ref="B30:C30"/>
    <mergeCell ref="M30:M31"/>
    <mergeCell ref="B31:C31"/>
    <mergeCell ref="K32:M32"/>
    <mergeCell ref="G33:J33"/>
    <mergeCell ref="K33:M33"/>
    <mergeCell ref="A28:A29"/>
    <mergeCell ref="B28:C28"/>
    <mergeCell ref="M28:M29"/>
    <mergeCell ref="B29:C29"/>
    <mergeCell ref="A24:A25"/>
    <mergeCell ref="B24:C24"/>
    <mergeCell ref="L24:L25"/>
    <mergeCell ref="M24:M25"/>
    <mergeCell ref="A26:A27"/>
    <mergeCell ref="B26:C26"/>
    <mergeCell ref="L26:L27"/>
    <mergeCell ref="M26:M27"/>
    <mergeCell ref="B27:C27"/>
    <mergeCell ref="O24:O25"/>
    <mergeCell ref="B25:C25"/>
    <mergeCell ref="A22:A23"/>
    <mergeCell ref="B22:C22"/>
    <mergeCell ref="L22:L23"/>
    <mergeCell ref="M22:M23"/>
    <mergeCell ref="O22:O23"/>
    <mergeCell ref="B23:C23"/>
    <mergeCell ref="A20:A21"/>
    <mergeCell ref="B20:C20"/>
    <mergeCell ref="L20:L21"/>
    <mergeCell ref="M20:M21"/>
    <mergeCell ref="O20:O21"/>
    <mergeCell ref="B21:C21"/>
    <mergeCell ref="A15:F15"/>
    <mergeCell ref="G16:J16"/>
    <mergeCell ref="K16:M16"/>
    <mergeCell ref="B17:C17"/>
    <mergeCell ref="A18:A19"/>
    <mergeCell ref="B18:C18"/>
    <mergeCell ref="B19:C19"/>
    <mergeCell ref="A13:B13"/>
    <mergeCell ref="C13:D13"/>
    <mergeCell ref="E13:F13"/>
    <mergeCell ref="G13:J13"/>
    <mergeCell ref="A14:B14"/>
    <mergeCell ref="C14:D14"/>
    <mergeCell ref="G9:H9"/>
    <mergeCell ref="I9:J9"/>
    <mergeCell ref="C10:F10"/>
    <mergeCell ref="G10:H10"/>
    <mergeCell ref="I10:J10"/>
    <mergeCell ref="C11:F12"/>
    <mergeCell ref="G11:H11"/>
    <mergeCell ref="I11:J11"/>
    <mergeCell ref="G12:H12"/>
    <mergeCell ref="I12:J12"/>
    <mergeCell ref="K7:L7"/>
    <mergeCell ref="M1:P1"/>
    <mergeCell ref="D3:L3"/>
    <mergeCell ref="D5:I5"/>
    <mergeCell ref="K5:L5"/>
    <mergeCell ref="K6:L6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4"/>
  <sheetViews>
    <sheetView showGridLines="0" view="pageBreakPreview" zoomScaleNormal="100" zoomScaleSheetLayoutView="100" workbookViewId="0">
      <selection activeCell="H21" sqref="H21:I21"/>
    </sheetView>
  </sheetViews>
  <sheetFormatPr defaultColWidth="9.140625" defaultRowHeight="12.75" x14ac:dyDescent="0.2"/>
  <cols>
    <col min="1" max="1" width="3.28515625" style="335" customWidth="1"/>
    <col min="2" max="2" width="8.7109375" style="2" customWidth="1"/>
    <col min="3" max="3" width="9" style="2" customWidth="1"/>
    <col min="4" max="4" width="7.7109375" style="2" customWidth="1"/>
    <col min="5" max="5" width="5.85546875" style="2" customWidth="1"/>
    <col min="6" max="6" width="5.7109375" style="2" customWidth="1"/>
    <col min="7" max="7" width="9.7109375" style="2" customWidth="1"/>
    <col min="8" max="8" width="6.85546875" style="2" customWidth="1"/>
    <col min="9" max="9" width="6.140625" style="2" customWidth="1"/>
    <col min="10" max="10" width="6.42578125" style="2" customWidth="1"/>
    <col min="11" max="11" width="6.85546875" style="2" customWidth="1"/>
    <col min="12" max="12" width="0.85546875" style="2" customWidth="1"/>
    <col min="13" max="13" width="7.7109375" style="2" customWidth="1"/>
    <col min="14" max="14" width="4.85546875" style="2" customWidth="1"/>
    <col min="15" max="16" width="9.140625" style="2"/>
    <col min="17" max="17" width="20.28515625" style="2" bestFit="1" customWidth="1"/>
    <col min="18" max="20" width="9.140625" style="2"/>
    <col min="21" max="21" width="13.7109375" style="2" bestFit="1" customWidth="1"/>
    <col min="22" max="16384" width="9.140625" style="2"/>
  </cols>
  <sheetData>
    <row r="1" spans="1:23" ht="15" customHeight="1" x14ac:dyDescent="0.2"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1:23" ht="18.75" customHeight="1" x14ac:dyDescent="0.2">
      <c r="A2" s="337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99"/>
      <c r="M2" s="99"/>
      <c r="N2" s="81"/>
      <c r="Q2" s="385" t="s">
        <v>823</v>
      </c>
      <c r="R2" s="495">
        <v>2</v>
      </c>
      <c r="U2" s="495" t="s">
        <v>422</v>
      </c>
      <c r="V2" s="99">
        <v>0.72</v>
      </c>
      <c r="W2" s="495">
        <v>0.72</v>
      </c>
    </row>
    <row r="3" spans="1:23" ht="15.75" x14ac:dyDescent="0.2">
      <c r="A3" s="339"/>
      <c r="B3" s="387"/>
      <c r="C3" s="868" t="s">
        <v>520</v>
      </c>
      <c r="D3" s="868"/>
      <c r="E3" s="868"/>
      <c r="F3" s="868"/>
      <c r="G3" s="868"/>
      <c r="H3" s="868"/>
      <c r="I3" s="868"/>
      <c r="J3" s="868"/>
      <c r="K3" s="868"/>
      <c r="L3" s="868"/>
      <c r="M3" s="869"/>
      <c r="N3" s="83"/>
      <c r="Q3" s="86" t="s">
        <v>496</v>
      </c>
      <c r="R3" s="496">
        <v>0.2</v>
      </c>
      <c r="U3" s="496" t="s">
        <v>486</v>
      </c>
      <c r="W3" s="496">
        <v>0.68</v>
      </c>
    </row>
    <row r="4" spans="1:23" ht="9" customHeight="1" x14ac:dyDescent="0.2">
      <c r="A4" s="339"/>
      <c r="B4" s="341"/>
      <c r="C4" s="341"/>
      <c r="D4" s="341"/>
      <c r="E4" s="341"/>
      <c r="F4" s="341"/>
      <c r="G4" s="341"/>
      <c r="H4" s="341"/>
      <c r="I4" s="341"/>
      <c r="J4" s="341"/>
      <c r="K4" s="341"/>
      <c r="N4" s="83"/>
      <c r="Q4" s="86" t="s">
        <v>497</v>
      </c>
      <c r="R4" s="496">
        <v>0.3</v>
      </c>
      <c r="U4" s="496" t="s">
        <v>498</v>
      </c>
      <c r="W4" s="496">
        <v>3.6999999999999998E-2</v>
      </c>
    </row>
    <row r="5" spans="1:23" ht="15" x14ac:dyDescent="0.25">
      <c r="A5" s="339"/>
      <c r="B5" s="341"/>
      <c r="C5" s="870" t="s">
        <v>299</v>
      </c>
      <c r="D5" s="870"/>
      <c r="E5" s="870"/>
      <c r="F5" s="870"/>
      <c r="G5" s="870"/>
      <c r="H5" s="870"/>
      <c r="I5" s="341" t="s">
        <v>300</v>
      </c>
      <c r="J5" s="843">
        <v>0.13</v>
      </c>
      <c r="K5" s="928"/>
      <c r="N5" s="83"/>
      <c r="Q5" s="86" t="s">
        <v>443</v>
      </c>
      <c r="R5" s="496">
        <v>0.2</v>
      </c>
      <c r="U5" s="496" t="s">
        <v>497</v>
      </c>
      <c r="W5" s="496">
        <v>3.7999999999999999E-2</v>
      </c>
    </row>
    <row r="6" spans="1:23" ht="15" x14ac:dyDescent="0.25">
      <c r="A6" s="339"/>
      <c r="B6" s="341"/>
      <c r="C6" s="870"/>
      <c r="D6" s="870"/>
      <c r="E6" s="870"/>
      <c r="F6" s="870"/>
      <c r="G6" s="870"/>
      <c r="H6" s="870"/>
      <c r="I6" s="341" t="s">
        <v>301</v>
      </c>
      <c r="J6" s="843">
        <v>0.04</v>
      </c>
      <c r="K6" s="928"/>
      <c r="N6" s="83"/>
      <c r="Q6" s="86" t="s">
        <v>828</v>
      </c>
      <c r="R6" s="496">
        <v>0.26</v>
      </c>
      <c r="U6" s="496" t="s">
        <v>404</v>
      </c>
      <c r="V6" s="2">
        <v>0.64</v>
      </c>
      <c r="W6" s="496">
        <v>0.09</v>
      </c>
    </row>
    <row r="7" spans="1:23" ht="9" customHeight="1" x14ac:dyDescent="0.2">
      <c r="A7" s="339"/>
      <c r="J7" s="762"/>
      <c r="K7" s="762"/>
      <c r="N7" s="83"/>
      <c r="Q7" s="86" t="s">
        <v>404</v>
      </c>
      <c r="R7" s="496">
        <v>0.64</v>
      </c>
      <c r="U7" s="496" t="s">
        <v>427</v>
      </c>
      <c r="V7" s="2">
        <v>3.5999999999999997E-2</v>
      </c>
      <c r="W7" s="496">
        <v>3.7999999999999999E-2</v>
      </c>
    </row>
    <row r="8" spans="1:23" ht="13.5" x14ac:dyDescent="0.25">
      <c r="A8" s="339"/>
      <c r="B8" s="907" t="s">
        <v>6</v>
      </c>
      <c r="C8" s="907"/>
      <c r="D8" s="907"/>
      <c r="E8" s="929" t="s">
        <v>515</v>
      </c>
      <c r="F8" s="929"/>
      <c r="G8" s="467" t="s">
        <v>303</v>
      </c>
      <c r="H8" s="929" t="s">
        <v>504</v>
      </c>
      <c r="I8" s="929"/>
      <c r="J8" s="929" t="s">
        <v>304</v>
      </c>
      <c r="K8" s="929"/>
      <c r="L8" s="343"/>
      <c r="M8" s="466" t="s">
        <v>305</v>
      </c>
      <c r="N8" s="83"/>
      <c r="Q8" s="86" t="s">
        <v>417</v>
      </c>
      <c r="R8" s="496">
        <v>0.19</v>
      </c>
      <c r="T8" s="2" t="s">
        <v>266</v>
      </c>
      <c r="U8" s="496" t="s">
        <v>386</v>
      </c>
      <c r="W8" s="496">
        <v>3.6999999999999998E-2</v>
      </c>
    </row>
    <row r="9" spans="1:23" hidden="1" x14ac:dyDescent="0.2">
      <c r="A9" s="344"/>
      <c r="B9" s="874" t="s">
        <v>402</v>
      </c>
      <c r="C9" s="874"/>
      <c r="D9" s="874"/>
      <c r="E9" s="908">
        <v>0.6</v>
      </c>
      <c r="F9" s="908"/>
      <c r="G9" s="474">
        <v>0</v>
      </c>
      <c r="H9" s="909">
        <f t="shared" ref="H9" si="0">E9+G9</f>
        <v>0.6</v>
      </c>
      <c r="I9" s="909"/>
      <c r="J9" s="822">
        <f>ROUND(M9/H9,3)</f>
        <v>0</v>
      </c>
      <c r="K9" s="822"/>
      <c r="M9" s="459">
        <v>0</v>
      </c>
      <c r="N9" s="83"/>
      <c r="Q9" s="86" t="s">
        <v>534</v>
      </c>
      <c r="R9" s="496">
        <v>8.5000000000000006E-2</v>
      </c>
      <c r="U9" s="496" t="s">
        <v>423</v>
      </c>
      <c r="V9" s="2">
        <v>3.6999999999999998E-2</v>
      </c>
      <c r="W9" s="496">
        <v>0.2</v>
      </c>
    </row>
    <row r="10" spans="1:23" x14ac:dyDescent="0.2">
      <c r="A10" s="344"/>
      <c r="B10" s="874" t="s">
        <v>544</v>
      </c>
      <c r="C10" s="874"/>
      <c r="D10" s="874"/>
      <c r="E10" s="908">
        <f>VLOOKUP(B10,Q2:R109,2,FALSE)</f>
        <v>0.1</v>
      </c>
      <c r="F10" s="908"/>
      <c r="G10" s="474">
        <v>0.02</v>
      </c>
      <c r="H10" s="909">
        <f>E10+G10</f>
        <v>0.12000000000000001</v>
      </c>
      <c r="I10" s="909"/>
      <c r="J10" s="909">
        <f>ROUND(M10/H10,3)</f>
        <v>2.5</v>
      </c>
      <c r="K10" s="909"/>
      <c r="M10" s="459">
        <v>0.3</v>
      </c>
      <c r="N10" s="83"/>
      <c r="Q10" s="86" t="s">
        <v>485</v>
      </c>
      <c r="R10" s="496">
        <v>5.2999999999999999E-2</v>
      </c>
      <c r="U10" s="497" t="s">
        <v>472</v>
      </c>
      <c r="V10" s="88">
        <v>3.7999999999999999E-2</v>
      </c>
      <c r="W10" s="497">
        <v>3.5000000000000003E-2</v>
      </c>
    </row>
    <row r="11" spans="1:23" ht="12.75" customHeight="1" x14ac:dyDescent="0.2">
      <c r="A11" s="344"/>
      <c r="B11" s="874" t="s">
        <v>386</v>
      </c>
      <c r="C11" s="874"/>
      <c r="D11" s="874"/>
      <c r="E11" s="908">
        <f>VLOOKUP(B11,Q3:R110,2,FALSE)</f>
        <v>3.5999999999999997E-2</v>
      </c>
      <c r="F11" s="908"/>
      <c r="G11" s="474">
        <v>1E-3</v>
      </c>
      <c r="H11" s="909">
        <f t="shared" ref="H11:H17" si="1">E11+G11</f>
        <v>3.6999999999999998E-2</v>
      </c>
      <c r="I11" s="909"/>
      <c r="J11" s="909">
        <f t="shared" ref="J11:J17" si="2">ROUND(M11/H11,3)</f>
        <v>5.4050000000000002</v>
      </c>
      <c r="K11" s="909"/>
      <c r="M11" s="459">
        <v>0.2</v>
      </c>
      <c r="N11" s="83"/>
      <c r="O11" s="2">
        <f>M19/J19</f>
        <v>6.3251106894370648E-2</v>
      </c>
      <c r="Q11" s="86" t="s">
        <v>583</v>
      </c>
      <c r="R11" s="496">
        <v>0.129</v>
      </c>
      <c r="S11" s="411" t="s">
        <v>454</v>
      </c>
      <c r="U11" s="496" t="s">
        <v>488</v>
      </c>
      <c r="W11" s="496">
        <v>3.5999999999999997E-2</v>
      </c>
    </row>
    <row r="12" spans="1:23" hidden="1" x14ac:dyDescent="0.2">
      <c r="A12" s="344"/>
      <c r="B12" s="874" t="s">
        <v>831</v>
      </c>
      <c r="C12" s="874"/>
      <c r="D12" s="874"/>
      <c r="E12" s="908">
        <v>0.21</v>
      </c>
      <c r="F12" s="908"/>
      <c r="G12" s="474">
        <v>0</v>
      </c>
      <c r="H12" s="909">
        <f t="shared" si="1"/>
        <v>0.21</v>
      </c>
      <c r="I12" s="909"/>
      <c r="J12" s="822">
        <f t="shared" si="2"/>
        <v>0</v>
      </c>
      <c r="K12" s="822"/>
      <c r="M12" s="459">
        <v>0</v>
      </c>
      <c r="N12" s="83"/>
      <c r="Q12" s="86" t="s">
        <v>242</v>
      </c>
      <c r="R12" s="496">
        <v>3.6999999999999998E-2</v>
      </c>
      <c r="S12" s="411"/>
      <c r="U12" s="496"/>
      <c r="W12" s="496"/>
    </row>
    <row r="13" spans="1:23" ht="12.75" hidden="1" customHeight="1" x14ac:dyDescent="0.2">
      <c r="A13" s="344"/>
      <c r="B13" s="874" t="s">
        <v>709</v>
      </c>
      <c r="C13" s="874"/>
      <c r="D13" s="874"/>
      <c r="E13" s="908">
        <f>VLOOKUP(B13,Q5:R112,2,FALSE)</f>
        <v>3.3000000000000002E-2</v>
      </c>
      <c r="F13" s="908"/>
      <c r="G13" s="474">
        <v>1E-3</v>
      </c>
      <c r="H13" s="909">
        <f t="shared" si="1"/>
        <v>3.4000000000000002E-2</v>
      </c>
      <c r="I13" s="909"/>
      <c r="J13" s="909">
        <f>ROUND(M13/H13,3)</f>
        <v>0</v>
      </c>
      <c r="K13" s="909"/>
      <c r="M13" s="459">
        <v>0</v>
      </c>
      <c r="N13" s="83"/>
      <c r="Q13" s="86" t="s">
        <v>471</v>
      </c>
      <c r="R13" s="496">
        <v>0.09</v>
      </c>
      <c r="S13" s="411"/>
      <c r="U13" s="496" t="s">
        <v>468</v>
      </c>
      <c r="W13" s="496">
        <v>0.2</v>
      </c>
    </row>
    <row r="14" spans="1:23" hidden="1" x14ac:dyDescent="0.2">
      <c r="A14" s="344"/>
      <c r="B14" s="874" t="s">
        <v>124</v>
      </c>
      <c r="C14" s="874"/>
      <c r="D14" s="874"/>
      <c r="E14" s="908"/>
      <c r="F14" s="908"/>
      <c r="G14" s="474"/>
      <c r="H14" s="909"/>
      <c r="I14" s="909"/>
      <c r="J14" s="822">
        <v>0</v>
      </c>
      <c r="K14" s="822"/>
      <c r="M14" s="459">
        <v>0</v>
      </c>
      <c r="N14" s="83"/>
      <c r="Q14" s="86" t="s">
        <v>473</v>
      </c>
      <c r="R14" s="496">
        <v>3.7999999999999999E-2</v>
      </c>
      <c r="S14" s="411"/>
      <c r="U14" s="496" t="s">
        <v>422</v>
      </c>
      <c r="W14" s="496">
        <v>0.11</v>
      </c>
    </row>
    <row r="15" spans="1:23" hidden="1" x14ac:dyDescent="0.2">
      <c r="A15" s="344"/>
      <c r="B15" s="874" t="s">
        <v>404</v>
      </c>
      <c r="C15" s="874"/>
      <c r="D15" s="874"/>
      <c r="E15" s="908">
        <f>VLOOKUP(B15,Q7:R114,2,FALSE)</f>
        <v>0.64</v>
      </c>
      <c r="F15" s="908"/>
      <c r="G15" s="474">
        <v>0</v>
      </c>
      <c r="H15" s="909">
        <f t="shared" si="1"/>
        <v>0.64</v>
      </c>
      <c r="I15" s="909"/>
      <c r="J15" s="822">
        <f t="shared" si="2"/>
        <v>0</v>
      </c>
      <c r="K15" s="822"/>
      <c r="M15" s="459">
        <v>0</v>
      </c>
      <c r="N15" s="83"/>
      <c r="O15" s="433"/>
      <c r="Q15" s="86" t="s">
        <v>472</v>
      </c>
      <c r="R15" s="496">
        <v>0.13</v>
      </c>
      <c r="S15" s="411"/>
      <c r="U15" s="496"/>
      <c r="W15" s="496"/>
    </row>
    <row r="16" spans="1:23" ht="12.75" hidden="1" customHeight="1" x14ac:dyDescent="0.2">
      <c r="A16" s="344"/>
      <c r="B16" s="874" t="s">
        <v>611</v>
      </c>
      <c r="C16" s="874"/>
      <c r="D16" s="874"/>
      <c r="E16" s="908">
        <v>5.2999999999999999E-2</v>
      </c>
      <c r="F16" s="908"/>
      <c r="G16" s="474">
        <v>1.4999999999999999E-2</v>
      </c>
      <c r="H16" s="909">
        <f t="shared" si="1"/>
        <v>6.8000000000000005E-2</v>
      </c>
      <c r="I16" s="909"/>
      <c r="J16" s="822">
        <f t="shared" si="2"/>
        <v>0</v>
      </c>
      <c r="K16" s="822"/>
      <c r="M16" s="459">
        <v>0</v>
      </c>
      <c r="N16" s="83"/>
      <c r="Q16" s="86" t="s">
        <v>422</v>
      </c>
      <c r="R16" s="496">
        <v>0.11</v>
      </c>
      <c r="S16" s="411"/>
      <c r="U16" s="496"/>
      <c r="W16" s="496"/>
    </row>
    <row r="17" spans="1:23" hidden="1" x14ac:dyDescent="0.2">
      <c r="A17" s="344"/>
      <c r="B17" s="874" t="s">
        <v>402</v>
      </c>
      <c r="C17" s="874"/>
      <c r="D17" s="874"/>
      <c r="E17" s="908">
        <v>0.6</v>
      </c>
      <c r="F17" s="908"/>
      <c r="G17" s="474">
        <v>0</v>
      </c>
      <c r="H17" s="909">
        <f t="shared" si="1"/>
        <v>0.6</v>
      </c>
      <c r="I17" s="909"/>
      <c r="J17" s="822">
        <f t="shared" si="2"/>
        <v>0</v>
      </c>
      <c r="K17" s="822"/>
      <c r="M17" s="459">
        <v>0</v>
      </c>
      <c r="N17" s="83"/>
      <c r="P17" s="443"/>
      <c r="Q17" s="86" t="s">
        <v>832</v>
      </c>
      <c r="R17" s="496">
        <v>0.13</v>
      </c>
      <c r="S17" s="411" t="s">
        <v>455</v>
      </c>
      <c r="U17" s="496" t="s">
        <v>456</v>
      </c>
      <c r="V17" s="2">
        <v>0.161</v>
      </c>
      <c r="W17" s="496">
        <v>0.22</v>
      </c>
    </row>
    <row r="18" spans="1:23" ht="6" customHeight="1" x14ac:dyDescent="0.2">
      <c r="A18" s="339"/>
      <c r="B18" s="418"/>
      <c r="C18" s="418"/>
      <c r="D18" s="418"/>
      <c r="E18" s="418"/>
      <c r="F18" s="418"/>
      <c r="G18" s="418"/>
      <c r="H18" s="418"/>
      <c r="I18" s="418"/>
      <c r="J18" s="348"/>
      <c r="K18" s="348"/>
      <c r="M18" s="343"/>
      <c r="N18" s="83"/>
      <c r="Q18" s="86" t="s">
        <v>465</v>
      </c>
      <c r="R18" s="496">
        <v>0.26</v>
      </c>
      <c r="U18" s="496" t="s">
        <v>471</v>
      </c>
      <c r="W18" s="497">
        <v>3.7999999999999999E-2</v>
      </c>
    </row>
    <row r="19" spans="1:23" ht="18.75" x14ac:dyDescent="0.35">
      <c r="A19" s="339"/>
      <c r="B19" s="349"/>
      <c r="C19" s="349"/>
      <c r="D19" s="349"/>
      <c r="E19" s="8"/>
      <c r="H19" s="862" t="s">
        <v>818</v>
      </c>
      <c r="I19" s="867"/>
      <c r="J19" s="933">
        <f>SUM(J9:K17)</f>
        <v>7.9050000000000002</v>
      </c>
      <c r="K19" s="934"/>
      <c r="M19" s="670">
        <f>SUM(M9:M18)</f>
        <v>0.5</v>
      </c>
      <c r="N19" s="83" t="s">
        <v>14</v>
      </c>
      <c r="Q19" s="86" t="s">
        <v>456</v>
      </c>
      <c r="R19" s="496">
        <v>0.161</v>
      </c>
      <c r="U19" s="496" t="s">
        <v>476</v>
      </c>
      <c r="W19" s="2">
        <v>2</v>
      </c>
    </row>
    <row r="20" spans="1:23" ht="6" customHeight="1" x14ac:dyDescent="0.25">
      <c r="A20" s="339"/>
      <c r="B20" s="862"/>
      <c r="C20" s="862"/>
      <c r="D20" s="862"/>
      <c r="E20" s="924"/>
      <c r="F20" s="924"/>
      <c r="G20" s="924"/>
      <c r="H20" s="8"/>
      <c r="I20" s="8"/>
      <c r="J20" s="351"/>
      <c r="N20" s="83"/>
      <c r="Q20" s="86" t="s">
        <v>475</v>
      </c>
      <c r="R20" s="496">
        <v>9.5000000000000001E-2</v>
      </c>
      <c r="U20" s="496" t="s">
        <v>477</v>
      </c>
    </row>
    <row r="21" spans="1:23" ht="21" x14ac:dyDescent="0.2">
      <c r="A21" s="339"/>
      <c r="B21" s="349"/>
      <c r="C21" s="349"/>
      <c r="D21" s="349"/>
      <c r="E21" s="901" t="s">
        <v>93</v>
      </c>
      <c r="F21" s="901"/>
      <c r="G21" s="901"/>
      <c r="H21" s="875">
        <f>ROUND(1/((SUM(J9:K17)+J5+J6)),2)</f>
        <v>0.12</v>
      </c>
      <c r="I21" s="876"/>
      <c r="J21" s="877" t="s">
        <v>555</v>
      </c>
      <c r="K21" s="878"/>
      <c r="N21" s="83"/>
      <c r="O21" s="2">
        <f>1/H21</f>
        <v>8.3333333333333339</v>
      </c>
      <c r="Q21" s="86" t="s">
        <v>546</v>
      </c>
      <c r="R21" s="540">
        <v>3.6999999999999998E-2</v>
      </c>
      <c r="U21" s="496"/>
    </row>
    <row r="22" spans="1:23" ht="15" customHeight="1" x14ac:dyDescent="0.2">
      <c r="A22" s="352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Q22" s="86" t="s">
        <v>535</v>
      </c>
      <c r="R22" s="581">
        <v>2</v>
      </c>
      <c r="U22" s="497"/>
    </row>
    <row r="23" spans="1:23" ht="15" customHeight="1" x14ac:dyDescent="0.2"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P23" s="2">
        <f>M19/O11</f>
        <v>7.9050000000000002</v>
      </c>
      <c r="Q23" s="86" t="s">
        <v>229</v>
      </c>
      <c r="R23" s="496">
        <v>3.3000000000000002E-2</v>
      </c>
    </row>
    <row r="24" spans="1:23" ht="18.75" customHeight="1" x14ac:dyDescent="0.2">
      <c r="A24" s="337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99"/>
      <c r="M24" s="99"/>
      <c r="N24" s="81"/>
      <c r="Q24" s="86" t="s">
        <v>536</v>
      </c>
      <c r="R24" s="496">
        <v>3.5999999999999997E-2</v>
      </c>
      <c r="U24" s="495" t="s">
        <v>422</v>
      </c>
      <c r="V24" s="385">
        <v>0.72</v>
      </c>
      <c r="W24" s="495">
        <v>0.72</v>
      </c>
    </row>
    <row r="25" spans="1:23" ht="15.75" x14ac:dyDescent="0.2">
      <c r="A25" s="339"/>
      <c r="B25" s="387"/>
      <c r="C25" s="868" t="s">
        <v>356</v>
      </c>
      <c r="D25" s="868"/>
      <c r="E25" s="868"/>
      <c r="F25" s="868"/>
      <c r="G25" s="868"/>
      <c r="H25" s="868"/>
      <c r="I25" s="868"/>
      <c r="J25" s="868"/>
      <c r="K25" s="868"/>
      <c r="L25" s="868"/>
      <c r="M25" s="869"/>
      <c r="N25" s="83"/>
      <c r="P25" s="2">
        <f>1/H21</f>
        <v>8.3333333333333339</v>
      </c>
      <c r="Q25" s="86" t="s">
        <v>386</v>
      </c>
      <c r="R25" s="496">
        <v>3.5999999999999997E-2</v>
      </c>
      <c r="U25" s="496" t="s">
        <v>443</v>
      </c>
      <c r="V25" s="86"/>
      <c r="W25" s="496">
        <v>3.5999999999999997E-2</v>
      </c>
    </row>
    <row r="26" spans="1:23" ht="9" customHeight="1" x14ac:dyDescent="0.2">
      <c r="A26" s="339"/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N26" s="83"/>
      <c r="Q26" s="86" t="s">
        <v>537</v>
      </c>
      <c r="R26" s="496">
        <v>4.1000000000000002E-2</v>
      </c>
      <c r="U26" s="496"/>
      <c r="V26" s="86"/>
      <c r="W26" s="496"/>
    </row>
    <row r="27" spans="1:23" ht="15" customHeight="1" x14ac:dyDescent="0.25">
      <c r="A27" s="339"/>
      <c r="B27" s="341"/>
      <c r="C27" s="932" t="s">
        <v>299</v>
      </c>
      <c r="D27" s="932"/>
      <c r="E27" s="932"/>
      <c r="F27" s="932"/>
      <c r="G27" s="932"/>
      <c r="H27" s="932"/>
      <c r="I27" s="341" t="s">
        <v>300</v>
      </c>
      <c r="J27" s="930">
        <v>0.13</v>
      </c>
      <c r="K27" s="873"/>
      <c r="N27" s="83"/>
      <c r="Q27" s="86" t="s">
        <v>540</v>
      </c>
      <c r="R27" s="496">
        <v>3.3000000000000002E-2</v>
      </c>
      <c r="U27" s="496"/>
      <c r="V27" s="86"/>
      <c r="W27" s="496">
        <v>3.9E-2</v>
      </c>
    </row>
    <row r="28" spans="1:23" ht="15" x14ac:dyDescent="0.25">
      <c r="A28" s="339"/>
      <c r="B28" s="341"/>
      <c r="C28" s="932"/>
      <c r="D28" s="932"/>
      <c r="E28" s="932"/>
      <c r="F28" s="932"/>
      <c r="G28" s="932"/>
      <c r="H28" s="932"/>
      <c r="I28" s="341" t="s">
        <v>301</v>
      </c>
      <c r="J28" s="843">
        <v>0.04</v>
      </c>
      <c r="K28" s="928"/>
      <c r="N28" s="83"/>
      <c r="Q28" s="86" t="s">
        <v>539</v>
      </c>
      <c r="R28" s="496">
        <v>3.6999999999999998E-2</v>
      </c>
      <c r="U28" s="496" t="s">
        <v>426</v>
      </c>
      <c r="V28" s="86"/>
      <c r="W28" s="496">
        <v>0.09</v>
      </c>
    </row>
    <row r="29" spans="1:23" ht="9" customHeight="1" x14ac:dyDescent="0.2">
      <c r="A29" s="339"/>
      <c r="J29" s="762"/>
      <c r="K29" s="762"/>
      <c r="N29" s="83"/>
      <c r="Q29" s="86" t="s">
        <v>124</v>
      </c>
      <c r="R29" s="496">
        <v>2.5999999999999999E-2</v>
      </c>
      <c r="U29" s="496" t="s">
        <v>427</v>
      </c>
      <c r="V29" s="86">
        <v>3.5999999999999997E-2</v>
      </c>
      <c r="W29" s="496">
        <v>3.7999999999999999E-2</v>
      </c>
    </row>
    <row r="30" spans="1:23" ht="13.5" x14ac:dyDescent="0.25">
      <c r="A30" s="339"/>
      <c r="B30" s="907" t="s">
        <v>6</v>
      </c>
      <c r="C30" s="907"/>
      <c r="D30" s="907"/>
      <c r="E30" s="929" t="s">
        <v>516</v>
      </c>
      <c r="F30" s="929"/>
      <c r="G30" s="467" t="s">
        <v>303</v>
      </c>
      <c r="H30" s="929" t="s">
        <v>504</v>
      </c>
      <c r="I30" s="929"/>
      <c r="J30" s="929" t="s">
        <v>304</v>
      </c>
      <c r="K30" s="929"/>
      <c r="L30" s="343"/>
      <c r="M30" s="466" t="s">
        <v>305</v>
      </c>
      <c r="N30" s="83"/>
      <c r="Q30" s="86" t="s">
        <v>543</v>
      </c>
      <c r="R30" s="496">
        <v>7.1999999999999995E-2</v>
      </c>
      <c r="T30" s="2" t="s">
        <v>266</v>
      </c>
      <c r="U30" s="496" t="s">
        <v>386</v>
      </c>
      <c r="V30" s="86"/>
      <c r="W30" s="496">
        <v>3.3000000000000002E-2</v>
      </c>
    </row>
    <row r="31" spans="1:23" hidden="1" x14ac:dyDescent="0.2">
      <c r="A31" s="344"/>
      <c r="B31" s="874" t="s">
        <v>402</v>
      </c>
      <c r="C31" s="874"/>
      <c r="D31" s="874"/>
      <c r="E31" s="908">
        <v>0.26</v>
      </c>
      <c r="F31" s="908"/>
      <c r="G31" s="474">
        <v>0</v>
      </c>
      <c r="H31" s="909">
        <f>E31+G31</f>
        <v>0.26</v>
      </c>
      <c r="I31" s="909"/>
      <c r="J31" s="822">
        <f t="shared" ref="J31:J39" si="3">ROUND(M31/H31,3)</f>
        <v>0</v>
      </c>
      <c r="K31" s="822"/>
      <c r="M31" s="459">
        <v>0</v>
      </c>
      <c r="N31" s="83"/>
      <c r="Q31" s="86" t="s">
        <v>541</v>
      </c>
      <c r="R31" s="496">
        <v>0.13</v>
      </c>
      <c r="U31" s="496" t="s">
        <v>423</v>
      </c>
      <c r="V31" s="86">
        <v>3.6999999999999998E-2</v>
      </c>
      <c r="W31" s="496">
        <v>3.4000000000000002E-2</v>
      </c>
    </row>
    <row r="32" spans="1:23" x14ac:dyDescent="0.2">
      <c r="A32" s="344"/>
      <c r="B32" s="874" t="s">
        <v>543</v>
      </c>
      <c r="C32" s="874"/>
      <c r="D32" s="874"/>
      <c r="E32" s="908">
        <f>VLOOKUP(B32,Q2:R131,2,FALSE)</f>
        <v>7.1999999999999995E-2</v>
      </c>
      <c r="F32" s="908"/>
      <c r="G32" s="474">
        <v>0.02</v>
      </c>
      <c r="H32" s="909">
        <f t="shared" ref="H32:H39" si="4">E32+G32</f>
        <v>9.1999999999999998E-2</v>
      </c>
      <c r="I32" s="909"/>
      <c r="J32" s="822">
        <f t="shared" si="3"/>
        <v>4.0759999999999996</v>
      </c>
      <c r="K32" s="822"/>
      <c r="M32" s="459">
        <v>0.375</v>
      </c>
      <c r="N32" s="83"/>
      <c r="Q32" s="86" t="s">
        <v>542</v>
      </c>
      <c r="R32" s="496">
        <v>8.4000000000000005E-2</v>
      </c>
      <c r="U32" s="497" t="s">
        <v>357</v>
      </c>
      <c r="V32" s="87">
        <v>3.7999999999999999E-2</v>
      </c>
      <c r="W32" s="497">
        <v>3.5000000000000003E-2</v>
      </c>
    </row>
    <row r="33" spans="1:23" ht="13.9" customHeight="1" x14ac:dyDescent="0.2">
      <c r="A33" s="344"/>
      <c r="B33" s="874" t="s">
        <v>386</v>
      </c>
      <c r="C33" s="874"/>
      <c r="D33" s="874"/>
      <c r="E33" s="908">
        <f>VLOOKUP(B33,Q3:R132,2,FALSE)</f>
        <v>3.5999999999999997E-2</v>
      </c>
      <c r="F33" s="908"/>
      <c r="G33" s="474">
        <v>1E-3</v>
      </c>
      <c r="H33" s="909">
        <f t="shared" si="4"/>
        <v>3.6999999999999998E-2</v>
      </c>
      <c r="I33" s="909"/>
      <c r="J33" s="822">
        <f t="shared" si="3"/>
        <v>4.0540000000000003</v>
      </c>
      <c r="K33" s="822"/>
      <c r="M33" s="459">
        <v>0.15</v>
      </c>
      <c r="N33" s="83"/>
      <c r="Q33" s="86" t="s">
        <v>544</v>
      </c>
      <c r="R33" s="496">
        <v>0.1</v>
      </c>
      <c r="S33" s="411"/>
      <c r="W33" s="496">
        <v>3.5999999999999997E-2</v>
      </c>
    </row>
    <row r="34" spans="1:23" hidden="1" x14ac:dyDescent="0.2">
      <c r="A34" s="344"/>
      <c r="B34" s="874" t="s">
        <v>124</v>
      </c>
      <c r="C34" s="874"/>
      <c r="D34" s="874"/>
      <c r="E34" s="908">
        <v>0.02</v>
      </c>
      <c r="F34" s="908"/>
      <c r="G34" s="474">
        <v>0</v>
      </c>
      <c r="H34" s="909">
        <f t="shared" si="4"/>
        <v>0.02</v>
      </c>
      <c r="I34" s="909"/>
      <c r="J34" s="822">
        <f t="shared" si="3"/>
        <v>0</v>
      </c>
      <c r="K34" s="822"/>
      <c r="M34" s="459">
        <v>0</v>
      </c>
      <c r="N34" s="83"/>
      <c r="Q34" s="86" t="s">
        <v>545</v>
      </c>
      <c r="R34" s="496">
        <v>0.09</v>
      </c>
      <c r="S34" s="411"/>
      <c r="W34" s="496"/>
    </row>
    <row r="35" spans="1:23" ht="13.5" hidden="1" customHeight="1" x14ac:dyDescent="0.2">
      <c r="A35" s="344"/>
      <c r="B35" s="874" t="s">
        <v>422</v>
      </c>
      <c r="C35" s="874"/>
      <c r="D35" s="874"/>
      <c r="E35" s="908">
        <f>VLOOKUP(B35,Q2:R109,2,FALSE)</f>
        <v>0.11</v>
      </c>
      <c r="F35" s="908"/>
      <c r="G35" s="474">
        <v>0.04</v>
      </c>
      <c r="H35" s="909">
        <f t="shared" si="4"/>
        <v>0.15</v>
      </c>
      <c r="I35" s="909"/>
      <c r="J35" s="822">
        <f t="shared" si="3"/>
        <v>0</v>
      </c>
      <c r="K35" s="822"/>
      <c r="M35" s="459">
        <v>0</v>
      </c>
      <c r="N35" s="83"/>
      <c r="Q35" s="86" t="s">
        <v>546</v>
      </c>
      <c r="R35" s="496">
        <v>3.6999999999999998E-2</v>
      </c>
      <c r="S35" s="411"/>
      <c r="W35" s="496"/>
    </row>
    <row r="36" spans="1:23" hidden="1" x14ac:dyDescent="0.2">
      <c r="A36" s="344"/>
      <c r="B36" s="874" t="s">
        <v>386</v>
      </c>
      <c r="C36" s="874"/>
      <c r="D36" s="874"/>
      <c r="E36" s="908">
        <f>VLOOKUP(B36,Q3:R110,2,FALSE)</f>
        <v>3.5999999999999997E-2</v>
      </c>
      <c r="F36" s="908"/>
      <c r="G36" s="474">
        <v>1E-3</v>
      </c>
      <c r="H36" s="909">
        <f t="shared" si="4"/>
        <v>3.6999999999999998E-2</v>
      </c>
      <c r="I36" s="909"/>
      <c r="J36" s="822">
        <f t="shared" si="3"/>
        <v>0</v>
      </c>
      <c r="K36" s="822"/>
      <c r="M36" s="459">
        <v>0</v>
      </c>
      <c r="N36" s="83"/>
      <c r="Q36" s="86" t="s">
        <v>547</v>
      </c>
      <c r="R36" s="496">
        <v>3.7999999999999999E-2</v>
      </c>
      <c r="S36" s="411"/>
      <c r="W36" s="496"/>
    </row>
    <row r="37" spans="1:23" hidden="1" x14ac:dyDescent="0.2">
      <c r="A37" s="344"/>
      <c r="B37" s="874" t="s">
        <v>401</v>
      </c>
      <c r="C37" s="874"/>
      <c r="D37" s="874"/>
      <c r="E37" s="908">
        <v>0.13</v>
      </c>
      <c r="F37" s="908"/>
      <c r="G37" s="474">
        <v>0</v>
      </c>
      <c r="H37" s="909">
        <f t="shared" si="4"/>
        <v>0.13</v>
      </c>
      <c r="I37" s="909"/>
      <c r="J37" s="822">
        <f t="shared" si="3"/>
        <v>0</v>
      </c>
      <c r="K37" s="822"/>
      <c r="M37" s="459"/>
      <c r="N37" s="83"/>
      <c r="Q37" s="86" t="s">
        <v>548</v>
      </c>
      <c r="R37" s="496">
        <v>3.5999999999999997E-2</v>
      </c>
      <c r="S37" s="411"/>
      <c r="W37" s="496"/>
    </row>
    <row r="38" spans="1:23" hidden="1" x14ac:dyDescent="0.2">
      <c r="A38" s="344"/>
      <c r="B38" s="874" t="s">
        <v>827</v>
      </c>
      <c r="C38" s="874"/>
      <c r="D38" s="874"/>
      <c r="E38" s="908">
        <v>3.3000000000000002E-2</v>
      </c>
      <c r="F38" s="908"/>
      <c r="G38" s="474">
        <v>1E-3</v>
      </c>
      <c r="H38" s="909">
        <f t="shared" si="4"/>
        <v>3.4000000000000002E-2</v>
      </c>
      <c r="I38" s="909"/>
      <c r="J38" s="822">
        <f t="shared" si="3"/>
        <v>0</v>
      </c>
      <c r="K38" s="822"/>
      <c r="M38" s="459">
        <v>0</v>
      </c>
      <c r="N38" s="83"/>
      <c r="Q38" s="86" t="s">
        <v>557</v>
      </c>
      <c r="R38" s="496">
        <v>0.14000000000000001</v>
      </c>
      <c r="S38" s="411"/>
      <c r="W38" s="496"/>
    </row>
    <row r="39" spans="1:23" hidden="1" x14ac:dyDescent="0.2">
      <c r="A39" s="344"/>
      <c r="B39" s="874" t="s">
        <v>402</v>
      </c>
      <c r="C39" s="874"/>
      <c r="D39" s="874"/>
      <c r="E39" s="908">
        <v>0.26</v>
      </c>
      <c r="F39" s="908"/>
      <c r="G39" s="474">
        <v>0</v>
      </c>
      <c r="H39" s="909">
        <f t="shared" si="4"/>
        <v>0.26</v>
      </c>
      <c r="I39" s="909"/>
      <c r="J39" s="822">
        <f t="shared" si="3"/>
        <v>0</v>
      </c>
      <c r="K39" s="822"/>
      <c r="M39" s="459">
        <v>0</v>
      </c>
      <c r="N39" s="83"/>
      <c r="Q39" s="86" t="s">
        <v>828</v>
      </c>
      <c r="R39" s="496">
        <v>0.26</v>
      </c>
      <c r="S39" s="411"/>
      <c r="W39" s="496">
        <v>3.9E-2</v>
      </c>
    </row>
    <row r="40" spans="1:23" ht="6" customHeight="1" x14ac:dyDescent="0.2">
      <c r="A40" s="339"/>
      <c r="B40" s="418"/>
      <c r="C40" s="418"/>
      <c r="D40" s="418"/>
      <c r="E40" s="418"/>
      <c r="F40" s="418"/>
      <c r="G40" s="418"/>
      <c r="H40" s="418"/>
      <c r="I40" s="418"/>
      <c r="J40" s="348"/>
      <c r="K40" s="348"/>
      <c r="M40" s="343"/>
      <c r="N40" s="83"/>
      <c r="Q40" s="86" t="s">
        <v>558</v>
      </c>
      <c r="R40" s="496">
        <v>3.2000000000000001E-2</v>
      </c>
      <c r="W40" s="497">
        <v>3.7999999999999999E-2</v>
      </c>
    </row>
    <row r="41" spans="1:23" ht="18.75" x14ac:dyDescent="0.35">
      <c r="A41" s="339"/>
      <c r="B41" s="349"/>
      <c r="C41" s="349"/>
      <c r="D41" s="349"/>
      <c r="E41" s="8"/>
      <c r="H41" s="862" t="s">
        <v>818</v>
      </c>
      <c r="I41" s="867"/>
      <c r="J41" s="841">
        <f>SUM(J31:K40)</f>
        <v>8.129999999999999</v>
      </c>
      <c r="K41" s="842"/>
      <c r="M41" s="670">
        <f>SUM(M31:M39)</f>
        <v>0.52500000000000002</v>
      </c>
      <c r="N41" s="83" t="s">
        <v>14</v>
      </c>
      <c r="Q41" s="86" t="s">
        <v>559</v>
      </c>
      <c r="R41" s="496">
        <v>3.5999999999999997E-2</v>
      </c>
    </row>
    <row r="42" spans="1:23" ht="6" customHeight="1" x14ac:dyDescent="0.25">
      <c r="A42" s="339"/>
      <c r="B42" s="349"/>
      <c r="C42" s="349"/>
      <c r="D42" s="349"/>
      <c r="E42" s="8"/>
      <c r="H42" s="8"/>
      <c r="I42" s="691"/>
      <c r="J42" s="418"/>
      <c r="K42" s="418"/>
      <c r="M42" s="690"/>
      <c r="N42" s="83"/>
      <c r="Q42" s="86" t="s">
        <v>821</v>
      </c>
      <c r="R42" s="496">
        <v>0.08</v>
      </c>
    </row>
    <row r="43" spans="1:23" ht="21" x14ac:dyDescent="0.2">
      <c r="A43" s="339"/>
      <c r="B43" s="349"/>
      <c r="C43" s="349"/>
      <c r="D43" s="349"/>
      <c r="E43" s="902" t="s">
        <v>93</v>
      </c>
      <c r="F43" s="902"/>
      <c r="G43" s="902"/>
      <c r="H43" s="903">
        <f>ROUND(1/((SUM(J31:K39)+J27+J28)),2)</f>
        <v>0.12</v>
      </c>
      <c r="I43" s="904"/>
      <c r="J43" s="905" t="s">
        <v>306</v>
      </c>
      <c r="K43" s="906"/>
      <c r="N43" s="83"/>
      <c r="Q43" s="86" t="s">
        <v>834</v>
      </c>
      <c r="R43" s="540">
        <v>7.1999999999999995E-2</v>
      </c>
    </row>
    <row r="44" spans="1:23" ht="15" customHeight="1" x14ac:dyDescent="0.2">
      <c r="A44" s="352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9"/>
      <c r="Q44" s="86" t="s">
        <v>560</v>
      </c>
      <c r="R44" s="540">
        <v>0.1</v>
      </c>
    </row>
    <row r="45" spans="1:23" ht="15" hidden="1" customHeight="1" x14ac:dyDescent="0.2"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6"/>
      <c r="Q45" s="86" t="s">
        <v>235</v>
      </c>
      <c r="R45" s="540">
        <v>3.6999999999999998E-2</v>
      </c>
    </row>
    <row r="46" spans="1:23" ht="18.75" hidden="1" customHeight="1" x14ac:dyDescent="0.2">
      <c r="A46" s="337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99"/>
      <c r="M46" s="99"/>
      <c r="N46" s="81"/>
      <c r="Q46" s="86" t="s">
        <v>561</v>
      </c>
      <c r="R46" s="540">
        <v>3.2000000000000001E-2</v>
      </c>
      <c r="U46" s="495" t="s">
        <v>404</v>
      </c>
      <c r="V46" s="385">
        <v>0.72</v>
      </c>
      <c r="W46" s="495">
        <v>0.72</v>
      </c>
    </row>
    <row r="47" spans="1:23" ht="15.75" hidden="1" x14ac:dyDescent="0.25">
      <c r="A47" s="339"/>
      <c r="B47" s="387"/>
      <c r="C47" s="868" t="s">
        <v>563</v>
      </c>
      <c r="D47" s="925"/>
      <c r="E47" s="925"/>
      <c r="F47" s="925"/>
      <c r="G47" s="925"/>
      <c r="H47" s="925"/>
      <c r="I47" s="925"/>
      <c r="J47" s="925"/>
      <c r="K47" s="926"/>
      <c r="N47" s="83"/>
      <c r="Q47" s="86" t="s">
        <v>426</v>
      </c>
      <c r="R47" s="540">
        <v>0.2</v>
      </c>
      <c r="U47" s="496"/>
      <c r="V47" s="86"/>
      <c r="W47" s="496">
        <v>3.5999999999999997E-2</v>
      </c>
    </row>
    <row r="48" spans="1:23" ht="9" hidden="1" customHeight="1" x14ac:dyDescent="0.2">
      <c r="A48" s="33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N48" s="83"/>
      <c r="Q48" s="86" t="s">
        <v>573</v>
      </c>
      <c r="R48" s="540">
        <v>3.2000000000000001E-2</v>
      </c>
      <c r="U48" s="496"/>
      <c r="V48" s="86"/>
      <c r="W48" s="496"/>
    </row>
    <row r="49" spans="1:23" ht="15" hidden="1" x14ac:dyDescent="0.25">
      <c r="A49" s="339"/>
      <c r="B49" s="341"/>
      <c r="C49" s="927" t="s">
        <v>299</v>
      </c>
      <c r="D49" s="927"/>
      <c r="E49" s="927"/>
      <c r="F49" s="927"/>
      <c r="G49" s="927"/>
      <c r="H49" s="927"/>
      <c r="I49" s="341" t="s">
        <v>300</v>
      </c>
      <c r="J49" s="843">
        <v>0.13</v>
      </c>
      <c r="K49" s="928"/>
      <c r="N49" s="83"/>
      <c r="Q49" s="86" t="s">
        <v>574</v>
      </c>
      <c r="R49" s="540">
        <v>2.1000000000000001E-2</v>
      </c>
      <c r="U49" s="496"/>
      <c r="V49" s="86"/>
      <c r="W49" s="496">
        <v>3.6999999999999998E-2</v>
      </c>
    </row>
    <row r="50" spans="1:23" ht="15" hidden="1" x14ac:dyDescent="0.25">
      <c r="A50" s="339"/>
      <c r="B50" s="341"/>
      <c r="C50" s="341"/>
      <c r="D50" s="341"/>
      <c r="E50" s="341"/>
      <c r="F50" s="341"/>
      <c r="G50" s="341"/>
      <c r="H50" s="341"/>
      <c r="I50" s="341" t="s">
        <v>301</v>
      </c>
      <c r="J50" s="843">
        <v>0.04</v>
      </c>
      <c r="K50" s="928"/>
      <c r="N50" s="83"/>
      <c r="Q50" s="86" t="s">
        <v>597</v>
      </c>
      <c r="R50" s="540">
        <v>9.5000000000000001E-2</v>
      </c>
      <c r="U50" s="496" t="s">
        <v>426</v>
      </c>
      <c r="V50" s="86"/>
      <c r="W50" s="496">
        <v>0.09</v>
      </c>
    </row>
    <row r="51" spans="1:23" ht="9" hidden="1" customHeight="1" x14ac:dyDescent="0.2">
      <c r="A51" s="339"/>
      <c r="J51" s="762"/>
      <c r="K51" s="762"/>
      <c r="N51" s="83"/>
      <c r="Q51" s="86" t="s">
        <v>598</v>
      </c>
      <c r="R51" s="540">
        <v>0.3</v>
      </c>
      <c r="U51" s="496" t="s">
        <v>427</v>
      </c>
      <c r="V51" s="86">
        <v>3.5999999999999997E-2</v>
      </c>
      <c r="W51" s="496">
        <v>3.7999999999999999E-2</v>
      </c>
    </row>
    <row r="52" spans="1:23" ht="13.5" hidden="1" x14ac:dyDescent="0.25">
      <c r="A52" s="339"/>
      <c r="B52" s="907" t="s">
        <v>6</v>
      </c>
      <c r="C52" s="907"/>
      <c r="D52" s="907"/>
      <c r="E52" s="929" t="s">
        <v>506</v>
      </c>
      <c r="F52" s="929"/>
      <c r="G52" s="467" t="s">
        <v>303</v>
      </c>
      <c r="H52" s="929" t="s">
        <v>507</v>
      </c>
      <c r="I52" s="929"/>
      <c r="J52" s="929" t="s">
        <v>304</v>
      </c>
      <c r="K52" s="929"/>
      <c r="L52" s="343"/>
      <c r="M52" s="466" t="s">
        <v>305</v>
      </c>
      <c r="N52" s="83"/>
      <c r="Q52" s="86" t="s">
        <v>599</v>
      </c>
      <c r="R52" s="540">
        <v>3.1E-2</v>
      </c>
      <c r="T52" s="2" t="s">
        <v>266</v>
      </c>
      <c r="U52" s="496" t="s">
        <v>386</v>
      </c>
      <c r="V52" s="86"/>
      <c r="W52" s="496">
        <v>3.3000000000000002E-2</v>
      </c>
    </row>
    <row r="53" spans="1:23" hidden="1" x14ac:dyDescent="0.2">
      <c r="A53" s="344"/>
      <c r="B53" s="874" t="s">
        <v>402</v>
      </c>
      <c r="C53" s="874"/>
      <c r="D53" s="874"/>
      <c r="E53" s="908">
        <v>0.26</v>
      </c>
      <c r="F53" s="908"/>
      <c r="G53" s="474">
        <v>0</v>
      </c>
      <c r="H53" s="909">
        <f>E53+G53</f>
        <v>0.26</v>
      </c>
      <c r="I53" s="909"/>
      <c r="J53" s="822">
        <f t="shared" ref="J53:J61" si="5">ROUND(M53/H53,3)</f>
        <v>3.7999999999999999E-2</v>
      </c>
      <c r="K53" s="822"/>
      <c r="M53" s="459">
        <v>0.01</v>
      </c>
      <c r="N53" s="83"/>
      <c r="Q53" s="86" t="s">
        <v>485</v>
      </c>
      <c r="R53" s="540"/>
      <c r="U53" s="496" t="s">
        <v>423</v>
      </c>
      <c r="V53" s="86">
        <v>3.6999999999999998E-2</v>
      </c>
      <c r="W53" s="496">
        <v>3.4000000000000002E-2</v>
      </c>
    </row>
    <row r="54" spans="1:23" hidden="1" x14ac:dyDescent="0.2">
      <c r="A54" s="344"/>
      <c r="B54" s="874" t="s">
        <v>404</v>
      </c>
      <c r="C54" s="874"/>
      <c r="D54" s="874"/>
      <c r="E54" s="908">
        <f>VLOOKUP(B54,Q2:R153,2,FALSE)</f>
        <v>0.64</v>
      </c>
      <c r="F54" s="908"/>
      <c r="G54" s="474">
        <v>0</v>
      </c>
      <c r="H54" s="909">
        <f t="shared" ref="H54:H61" si="6">E54+G54</f>
        <v>0.64</v>
      </c>
      <c r="I54" s="909"/>
      <c r="J54" s="822">
        <f t="shared" si="5"/>
        <v>0</v>
      </c>
      <c r="K54" s="822"/>
      <c r="M54" s="459">
        <v>0</v>
      </c>
      <c r="N54" s="83"/>
      <c r="Q54" s="86" t="s">
        <v>600</v>
      </c>
      <c r="R54" s="540">
        <v>0.15</v>
      </c>
      <c r="U54" s="497" t="s">
        <v>357</v>
      </c>
      <c r="V54" s="87">
        <v>3.7999999999999999E-2</v>
      </c>
      <c r="W54" s="497">
        <v>3.5000000000000003E-2</v>
      </c>
    </row>
    <row r="55" spans="1:23" hidden="1" x14ac:dyDescent="0.2">
      <c r="A55" s="344"/>
      <c r="B55" s="874" t="s">
        <v>386</v>
      </c>
      <c r="C55" s="874"/>
      <c r="D55" s="874"/>
      <c r="E55" s="908">
        <f>VLOOKUP(B55,Q3:R154,2,FALSE)</f>
        <v>3.5999999999999997E-2</v>
      </c>
      <c r="F55" s="908"/>
      <c r="G55" s="474">
        <v>1E-3</v>
      </c>
      <c r="H55" s="909">
        <f t="shared" si="6"/>
        <v>3.6999999999999998E-2</v>
      </c>
      <c r="I55" s="909"/>
      <c r="J55" s="822">
        <f t="shared" si="5"/>
        <v>0</v>
      </c>
      <c r="K55" s="822"/>
      <c r="M55" s="459">
        <v>0</v>
      </c>
      <c r="N55" s="83"/>
      <c r="Q55" s="86" t="s">
        <v>601</v>
      </c>
      <c r="R55" s="540">
        <v>3.7999999999999999E-2</v>
      </c>
      <c r="S55" s="411" t="s">
        <v>454</v>
      </c>
      <c r="W55" s="496">
        <v>3.5999999999999997E-2</v>
      </c>
    </row>
    <row r="56" spans="1:23" hidden="1" x14ac:dyDescent="0.2">
      <c r="A56" s="344"/>
      <c r="B56" s="874" t="s">
        <v>124</v>
      </c>
      <c r="C56" s="874"/>
      <c r="D56" s="874"/>
      <c r="E56" s="908">
        <v>2.1999999999999999E-2</v>
      </c>
      <c r="F56" s="908"/>
      <c r="G56" s="474">
        <v>0</v>
      </c>
      <c r="H56" s="909">
        <f t="shared" si="6"/>
        <v>2.1999999999999999E-2</v>
      </c>
      <c r="I56" s="909"/>
      <c r="J56" s="822">
        <f t="shared" si="5"/>
        <v>0</v>
      </c>
      <c r="K56" s="822"/>
      <c r="M56" s="459"/>
      <c r="N56" s="83"/>
      <c r="Q56" s="86" t="s">
        <v>602</v>
      </c>
      <c r="R56" s="540">
        <v>3.5000000000000003E-2</v>
      </c>
      <c r="S56" s="411"/>
      <c r="W56" s="496"/>
    </row>
    <row r="57" spans="1:23" hidden="1" x14ac:dyDescent="0.2">
      <c r="A57" s="344"/>
      <c r="B57" s="874" t="s">
        <v>11</v>
      </c>
      <c r="C57" s="874"/>
      <c r="D57" s="874"/>
      <c r="E57" s="908">
        <v>2</v>
      </c>
      <c r="F57" s="908"/>
      <c r="G57" s="474">
        <v>0</v>
      </c>
      <c r="H57" s="909">
        <f t="shared" si="6"/>
        <v>2</v>
      </c>
      <c r="I57" s="909"/>
      <c r="J57" s="822">
        <f t="shared" si="5"/>
        <v>0.125</v>
      </c>
      <c r="K57" s="822"/>
      <c r="M57" s="459">
        <v>0.25</v>
      </c>
      <c r="N57" s="83"/>
      <c r="Q57" s="86" t="s">
        <v>603</v>
      </c>
      <c r="R57" s="540">
        <v>3.5999999999999997E-2</v>
      </c>
      <c r="S57" s="411"/>
      <c r="W57" s="496"/>
    </row>
    <row r="58" spans="1:23" hidden="1" x14ac:dyDescent="0.2">
      <c r="A58" s="344"/>
      <c r="B58" s="874" t="s">
        <v>386</v>
      </c>
      <c r="C58" s="874"/>
      <c r="D58" s="874"/>
      <c r="E58" s="908">
        <v>3.5999999999999997E-2</v>
      </c>
      <c r="F58" s="908"/>
      <c r="G58" s="474">
        <v>1E-3</v>
      </c>
      <c r="H58" s="909">
        <f t="shared" si="6"/>
        <v>3.6999999999999998E-2</v>
      </c>
      <c r="I58" s="909"/>
      <c r="J58" s="822">
        <f t="shared" si="5"/>
        <v>2.7029999999999998</v>
      </c>
      <c r="K58" s="822"/>
      <c r="M58" s="459">
        <v>0.1</v>
      </c>
      <c r="N58" s="83"/>
      <c r="Q58" s="86" t="s">
        <v>840</v>
      </c>
      <c r="R58" s="496">
        <v>0.126</v>
      </c>
      <c r="S58" s="411"/>
      <c r="W58" s="496"/>
    </row>
    <row r="59" spans="1:23" hidden="1" x14ac:dyDescent="0.2">
      <c r="A59" s="344"/>
      <c r="B59" s="874" t="s">
        <v>401</v>
      </c>
      <c r="C59" s="874"/>
      <c r="D59" s="874"/>
      <c r="E59" s="908">
        <v>0.13</v>
      </c>
      <c r="F59" s="908"/>
      <c r="G59" s="474">
        <v>0</v>
      </c>
      <c r="H59" s="909">
        <f t="shared" si="6"/>
        <v>0.13</v>
      </c>
      <c r="I59" s="909"/>
      <c r="J59" s="822">
        <f t="shared" si="5"/>
        <v>0</v>
      </c>
      <c r="K59" s="822"/>
      <c r="M59" s="459"/>
      <c r="N59" s="83"/>
      <c r="Q59" s="86" t="s">
        <v>605</v>
      </c>
      <c r="R59" s="496">
        <v>0.14000000000000001</v>
      </c>
      <c r="S59" s="411"/>
      <c r="W59" s="496"/>
    </row>
    <row r="60" spans="1:23" hidden="1" x14ac:dyDescent="0.2">
      <c r="A60" s="344"/>
      <c r="B60" s="874" t="s">
        <v>413</v>
      </c>
      <c r="C60" s="874"/>
      <c r="D60" s="874"/>
      <c r="E60" s="908">
        <v>0.1</v>
      </c>
      <c r="F60" s="908"/>
      <c r="G60" s="474">
        <v>0</v>
      </c>
      <c r="H60" s="909">
        <f t="shared" si="6"/>
        <v>0.1</v>
      </c>
      <c r="I60" s="909"/>
      <c r="J60" s="822">
        <f t="shared" si="5"/>
        <v>0</v>
      </c>
      <c r="K60" s="822"/>
      <c r="M60" s="459"/>
      <c r="N60" s="83"/>
      <c r="Q60" s="86" t="s">
        <v>606</v>
      </c>
      <c r="R60" s="496">
        <v>3.3000000000000002E-2</v>
      </c>
      <c r="S60" s="411"/>
      <c r="W60" s="496"/>
    </row>
    <row r="61" spans="1:23" hidden="1" x14ac:dyDescent="0.2">
      <c r="A61" s="344"/>
      <c r="B61" s="874" t="s">
        <v>402</v>
      </c>
      <c r="C61" s="874"/>
      <c r="D61" s="874"/>
      <c r="E61" s="908">
        <v>0.26</v>
      </c>
      <c r="F61" s="908"/>
      <c r="G61" s="474">
        <v>0</v>
      </c>
      <c r="H61" s="909">
        <f t="shared" si="6"/>
        <v>0.26</v>
      </c>
      <c r="I61" s="909"/>
      <c r="J61" s="822">
        <f t="shared" si="5"/>
        <v>3.7999999999999999E-2</v>
      </c>
      <c r="K61" s="822"/>
      <c r="M61" s="459">
        <v>0.01</v>
      </c>
      <c r="N61" s="83"/>
      <c r="Q61" s="86" t="s">
        <v>639</v>
      </c>
      <c r="R61" s="496">
        <v>9.6000000000000002E-2</v>
      </c>
      <c r="S61" s="411" t="s">
        <v>640</v>
      </c>
      <c r="W61" s="496">
        <v>3.6999999999999998E-2</v>
      </c>
    </row>
    <row r="62" spans="1:23" ht="6" hidden="1" customHeight="1" x14ac:dyDescent="0.2">
      <c r="A62" s="339"/>
      <c r="B62" s="418"/>
      <c r="C62" s="418"/>
      <c r="D62" s="418"/>
      <c r="E62" s="418"/>
      <c r="F62" s="418"/>
      <c r="G62" s="418"/>
      <c r="H62" s="418"/>
      <c r="I62" s="418"/>
      <c r="J62" s="348"/>
      <c r="K62" s="348"/>
      <c r="M62" s="343"/>
      <c r="N62" s="83"/>
      <c r="Q62" s="86" t="s">
        <v>608</v>
      </c>
      <c r="R62" s="496">
        <v>3.6999999999999998E-2</v>
      </c>
      <c r="W62" s="497">
        <v>3.7999999999999999E-2</v>
      </c>
    </row>
    <row r="63" spans="1:23" ht="15.75" hidden="1" x14ac:dyDescent="0.25">
      <c r="A63" s="339"/>
      <c r="B63" s="349"/>
      <c r="C63" s="349"/>
      <c r="D63" s="349"/>
      <c r="E63" s="8"/>
      <c r="H63" s="8"/>
      <c r="I63" s="8"/>
      <c r="J63" s="933">
        <f>SUM(J53:K62)</f>
        <v>2.9039999999999995</v>
      </c>
      <c r="K63" s="934"/>
      <c r="M63" s="670">
        <f>SUM(M53:M61)</f>
        <v>0.37</v>
      </c>
      <c r="N63" s="83" t="s">
        <v>14</v>
      </c>
      <c r="Q63" s="86" t="s">
        <v>609</v>
      </c>
      <c r="R63" s="496">
        <v>0.14000000000000001</v>
      </c>
    </row>
    <row r="64" spans="1:23" ht="6" hidden="1" customHeight="1" x14ac:dyDescent="0.25">
      <c r="A64" s="339"/>
      <c r="B64" s="862"/>
      <c r="C64" s="862"/>
      <c r="D64" s="862"/>
      <c r="E64" s="924"/>
      <c r="F64" s="924"/>
      <c r="G64" s="924"/>
      <c r="H64" s="8"/>
      <c r="I64" s="8"/>
      <c r="J64" s="351"/>
      <c r="N64" s="83"/>
      <c r="Q64" s="86" t="s">
        <v>824</v>
      </c>
      <c r="R64" s="496">
        <v>8.5500000000000007E-2</v>
      </c>
    </row>
    <row r="65" spans="1:23" ht="21" hidden="1" x14ac:dyDescent="0.2">
      <c r="A65" s="339"/>
      <c r="B65" s="349"/>
      <c r="C65" s="349"/>
      <c r="D65" s="349"/>
      <c r="E65" s="902" t="s">
        <v>93</v>
      </c>
      <c r="F65" s="902"/>
      <c r="G65" s="902"/>
      <c r="H65" s="903">
        <f>ROUND(1/((SUM(J53:K61)+J49+J50)),2)*O65</f>
        <v>0.33</v>
      </c>
      <c r="I65" s="904"/>
      <c r="J65" s="905" t="s">
        <v>306</v>
      </c>
      <c r="K65" s="906"/>
      <c r="N65" s="83"/>
      <c r="O65" s="564">
        <v>1</v>
      </c>
      <c r="Q65" s="86" t="s">
        <v>614</v>
      </c>
      <c r="R65" s="581">
        <v>2.3E-2</v>
      </c>
    </row>
    <row r="66" spans="1:23" ht="15" hidden="1" customHeight="1" x14ac:dyDescent="0.2">
      <c r="A66" s="352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9"/>
      <c r="Q66" s="86" t="s">
        <v>725</v>
      </c>
      <c r="R66" s="581">
        <v>3.7999999999999999E-2</v>
      </c>
    </row>
    <row r="67" spans="1:23" ht="15" hidden="1" customHeight="1" x14ac:dyDescent="0.2">
      <c r="Q67" s="86" t="s">
        <v>724</v>
      </c>
      <c r="R67" s="680">
        <v>8.5000000000000006E-2</v>
      </c>
    </row>
    <row r="68" spans="1:23" ht="18.75" hidden="1" customHeight="1" x14ac:dyDescent="0.2">
      <c r="A68" s="337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99"/>
      <c r="M68" s="99"/>
      <c r="N68" s="81"/>
      <c r="Q68" s="86" t="s">
        <v>477</v>
      </c>
      <c r="R68" s="496">
        <v>3.4000000000000002E-2</v>
      </c>
    </row>
    <row r="69" spans="1:23" ht="15.75" hidden="1" x14ac:dyDescent="0.2">
      <c r="A69" s="339"/>
      <c r="B69" s="387"/>
      <c r="C69" s="868" t="s">
        <v>519</v>
      </c>
      <c r="D69" s="868"/>
      <c r="E69" s="868"/>
      <c r="F69" s="868"/>
      <c r="G69" s="868"/>
      <c r="H69" s="868"/>
      <c r="I69" s="868"/>
      <c r="J69" s="868"/>
      <c r="K69" s="868"/>
      <c r="L69" s="868"/>
      <c r="M69" s="869"/>
      <c r="N69" s="83"/>
      <c r="P69" s="433">
        <v>0.1</v>
      </c>
      <c r="Q69" s="86" t="s">
        <v>264</v>
      </c>
      <c r="R69" s="496">
        <v>0.09</v>
      </c>
      <c r="U69" s="495" t="s">
        <v>223</v>
      </c>
      <c r="W69" s="495" t="s">
        <v>441</v>
      </c>
    </row>
    <row r="70" spans="1:23" ht="8.4499999999999993" hidden="1" customHeight="1" x14ac:dyDescent="0.2">
      <c r="A70" s="339"/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N70" s="83"/>
      <c r="P70" s="2">
        <v>0.13</v>
      </c>
      <c r="Q70" s="86" t="s">
        <v>538</v>
      </c>
      <c r="R70" s="496">
        <v>0.04</v>
      </c>
      <c r="U70" s="496"/>
      <c r="W70" s="496" t="s">
        <v>442</v>
      </c>
    </row>
    <row r="71" spans="1:23" ht="15" hidden="1" customHeight="1" x14ac:dyDescent="0.2">
      <c r="A71" s="339"/>
      <c r="B71" s="341"/>
      <c r="C71" s="870" t="s">
        <v>299</v>
      </c>
      <c r="D71" s="870"/>
      <c r="E71" s="870"/>
      <c r="F71" s="870"/>
      <c r="G71" s="870"/>
      <c r="H71" s="870"/>
      <c r="I71" s="341" t="s">
        <v>300</v>
      </c>
      <c r="J71" s="885">
        <v>0.1</v>
      </c>
      <c r="K71" s="886"/>
      <c r="N71" s="83"/>
      <c r="P71" s="2">
        <v>0.17</v>
      </c>
      <c r="Q71" s="86" t="s">
        <v>612</v>
      </c>
      <c r="R71" s="496">
        <v>4.1000000000000002E-2</v>
      </c>
      <c r="U71" s="496" t="s">
        <v>440</v>
      </c>
      <c r="W71" s="496" t="s">
        <v>444</v>
      </c>
    </row>
    <row r="72" spans="1:23" ht="14.25" hidden="1" x14ac:dyDescent="0.2">
      <c r="A72" s="339"/>
      <c r="B72" s="341"/>
      <c r="C72" s="870"/>
      <c r="D72" s="870"/>
      <c r="E72" s="870"/>
      <c r="F72" s="870"/>
      <c r="G72" s="870"/>
      <c r="H72" s="870"/>
      <c r="I72" s="341" t="s">
        <v>301</v>
      </c>
      <c r="J72" s="917">
        <v>0.04</v>
      </c>
      <c r="K72" s="918"/>
      <c r="N72" s="83"/>
      <c r="Q72" s="86" t="s">
        <v>616</v>
      </c>
      <c r="R72" s="496">
        <v>3.6999999999999998E-2</v>
      </c>
      <c r="U72" s="496" t="s">
        <v>402</v>
      </c>
      <c r="W72" s="496" t="s">
        <v>404</v>
      </c>
    </row>
    <row r="73" spans="1:23" ht="14.25" hidden="1" x14ac:dyDescent="0.2">
      <c r="A73" s="339"/>
      <c r="B73" s="341"/>
      <c r="C73" s="870"/>
      <c r="D73" s="870"/>
      <c r="E73" s="870"/>
      <c r="F73" s="870"/>
      <c r="G73" s="870"/>
      <c r="H73" s="870"/>
      <c r="I73" s="341" t="s">
        <v>323</v>
      </c>
      <c r="J73" s="885">
        <v>0.06</v>
      </c>
      <c r="K73" s="886"/>
      <c r="N73" s="83"/>
      <c r="Q73" s="86" t="s">
        <v>617</v>
      </c>
      <c r="R73" s="496">
        <v>0.68</v>
      </c>
      <c r="U73" s="496" t="s">
        <v>453</v>
      </c>
      <c r="W73" s="496" t="s">
        <v>351</v>
      </c>
    </row>
    <row r="74" spans="1:23" hidden="1" x14ac:dyDescent="0.2">
      <c r="A74" s="339"/>
      <c r="J74" s="919"/>
      <c r="K74" s="919"/>
      <c r="N74" s="83"/>
      <c r="Q74" s="86" t="s">
        <v>618</v>
      </c>
      <c r="R74" s="496">
        <v>3.5000000000000003E-2</v>
      </c>
      <c r="U74" s="496" t="s">
        <v>223</v>
      </c>
      <c r="W74" s="496"/>
    </row>
    <row r="75" spans="1:23" ht="13.5" hidden="1" x14ac:dyDescent="0.25">
      <c r="A75" s="339"/>
      <c r="B75" s="920" t="s">
        <v>6</v>
      </c>
      <c r="C75" s="920"/>
      <c r="D75" s="921"/>
      <c r="E75" s="922" t="s">
        <v>505</v>
      </c>
      <c r="F75" s="923"/>
      <c r="G75" s="568" t="s">
        <v>303</v>
      </c>
      <c r="H75" s="922" t="s">
        <v>507</v>
      </c>
      <c r="I75" s="923"/>
      <c r="J75" s="922" t="s">
        <v>304</v>
      </c>
      <c r="K75" s="923"/>
      <c r="L75" s="343"/>
      <c r="M75" s="467" t="s">
        <v>305</v>
      </c>
      <c r="N75" s="83"/>
      <c r="Q75" s="86" t="s">
        <v>621</v>
      </c>
      <c r="R75" s="496">
        <v>3.1E-2</v>
      </c>
      <c r="T75" s="2" t="s">
        <v>266</v>
      </c>
      <c r="U75" s="496"/>
      <c r="W75" s="496"/>
    </row>
    <row r="76" spans="1:23" hidden="1" x14ac:dyDescent="0.2">
      <c r="A76" s="344"/>
      <c r="B76" s="893" t="s">
        <v>440</v>
      </c>
      <c r="C76" s="912"/>
      <c r="D76" s="894"/>
      <c r="E76" s="795">
        <v>0.13</v>
      </c>
      <c r="F76" s="796"/>
      <c r="G76" s="474">
        <v>0</v>
      </c>
      <c r="H76" s="913">
        <f t="shared" ref="H76:H84" si="7">E76+G76</f>
        <v>0.13</v>
      </c>
      <c r="I76" s="914"/>
      <c r="J76" s="910">
        <f>ROUND(M76/H76,3)</f>
        <v>0</v>
      </c>
      <c r="K76" s="911"/>
      <c r="M76" s="459">
        <v>0</v>
      </c>
      <c r="N76" s="83"/>
      <c r="Q76" s="86" t="s">
        <v>622</v>
      </c>
      <c r="R76" s="496">
        <v>2.1999999999999999E-2</v>
      </c>
      <c r="U76" s="496"/>
      <c r="W76" s="496"/>
    </row>
    <row r="77" spans="1:23" hidden="1" x14ac:dyDescent="0.2">
      <c r="A77" s="344"/>
      <c r="B77" s="893" t="s">
        <v>386</v>
      </c>
      <c r="C77" s="912"/>
      <c r="D77" s="894"/>
      <c r="E77" s="908">
        <f>VLOOKUP(B77,Q2:R175,2,FALSE)</f>
        <v>3.5999999999999997E-2</v>
      </c>
      <c r="F77" s="908"/>
      <c r="G77" s="474">
        <v>1E-3</v>
      </c>
      <c r="H77" s="913">
        <f t="shared" si="7"/>
        <v>3.6999999999999998E-2</v>
      </c>
      <c r="I77" s="914"/>
      <c r="J77" s="910">
        <f>ROUND(M77/H77,3)</f>
        <v>0</v>
      </c>
      <c r="K77" s="911"/>
      <c r="M77" s="459">
        <v>0</v>
      </c>
      <c r="N77" s="83"/>
      <c r="Q77" s="86" t="s">
        <v>623</v>
      </c>
      <c r="R77" s="496">
        <v>2.1999999999999999E-2</v>
      </c>
      <c r="U77" s="496"/>
      <c r="W77" s="496"/>
    </row>
    <row r="78" spans="1:23" hidden="1" x14ac:dyDescent="0.2">
      <c r="A78" s="344"/>
      <c r="B78" s="893" t="s">
        <v>386</v>
      </c>
      <c r="C78" s="912"/>
      <c r="D78" s="894"/>
      <c r="E78" s="908">
        <v>4.1000000000000002E-2</v>
      </c>
      <c r="F78" s="908"/>
      <c r="G78" s="474">
        <v>1E-3</v>
      </c>
      <c r="H78" s="913">
        <f t="shared" si="7"/>
        <v>4.2000000000000003E-2</v>
      </c>
      <c r="I78" s="914"/>
      <c r="J78" s="910">
        <f t="shared" ref="J78:J84" si="8">ROUND(M78/H78,3)</f>
        <v>4.7619999999999996</v>
      </c>
      <c r="K78" s="911"/>
      <c r="M78" s="459">
        <v>0.2</v>
      </c>
      <c r="N78" s="83"/>
      <c r="Q78" s="86" t="s">
        <v>624</v>
      </c>
      <c r="R78" s="496">
        <v>3.1E-2</v>
      </c>
      <c r="U78" s="497"/>
      <c r="W78" s="497"/>
    </row>
    <row r="79" spans="1:23" ht="12.75" hidden="1" customHeight="1" x14ac:dyDescent="0.2">
      <c r="A79" s="344"/>
      <c r="B79" s="893" t="s">
        <v>829</v>
      </c>
      <c r="C79" s="912"/>
      <c r="D79" s="894"/>
      <c r="E79" s="908">
        <f>VLOOKUP(B79,Q10:R177,2,FALSE)</f>
        <v>3.7999999999999999E-2</v>
      </c>
      <c r="F79" s="908"/>
      <c r="G79" s="474">
        <v>1E-3</v>
      </c>
      <c r="H79" s="913">
        <f t="shared" si="7"/>
        <v>3.9E-2</v>
      </c>
      <c r="I79" s="914"/>
      <c r="J79" s="910">
        <f t="shared" si="8"/>
        <v>0</v>
      </c>
      <c r="K79" s="911"/>
      <c r="M79" s="459">
        <v>0</v>
      </c>
      <c r="N79" s="83"/>
      <c r="O79" s="2">
        <v>0.12</v>
      </c>
      <c r="Q79" s="86" t="s">
        <v>627</v>
      </c>
      <c r="R79" s="496">
        <v>3.5000000000000003E-2</v>
      </c>
    </row>
    <row r="80" spans="1:23" ht="12.75" hidden="1" customHeight="1" x14ac:dyDescent="0.2">
      <c r="A80" s="344"/>
      <c r="B80" s="893" t="s">
        <v>548</v>
      </c>
      <c r="C80" s="912"/>
      <c r="D80" s="894"/>
      <c r="E80" s="908">
        <f>VLOOKUP(B80,Q11:R178,2,FALSE)</f>
        <v>3.5999999999999997E-2</v>
      </c>
      <c r="F80" s="908"/>
      <c r="G80" s="474">
        <v>1E-3</v>
      </c>
      <c r="H80" s="913">
        <f t="shared" si="7"/>
        <v>3.6999999999999998E-2</v>
      </c>
      <c r="I80" s="914"/>
      <c r="J80" s="910">
        <f t="shared" si="8"/>
        <v>0</v>
      </c>
      <c r="K80" s="911"/>
      <c r="M80" s="459">
        <v>0</v>
      </c>
      <c r="N80" s="83"/>
      <c r="Q80" s="86" t="s">
        <v>615</v>
      </c>
      <c r="R80" s="496">
        <v>3.1E-2</v>
      </c>
    </row>
    <row r="81" spans="1:23" ht="12.75" hidden="1" customHeight="1" x14ac:dyDescent="0.2">
      <c r="A81" s="344"/>
      <c r="B81" s="893" t="s">
        <v>441</v>
      </c>
      <c r="C81" s="912"/>
      <c r="D81" s="894"/>
      <c r="E81" s="795">
        <v>2</v>
      </c>
      <c r="F81" s="796"/>
      <c r="G81" s="474">
        <v>0</v>
      </c>
      <c r="H81" s="913">
        <f t="shared" si="7"/>
        <v>2</v>
      </c>
      <c r="I81" s="914"/>
      <c r="J81" s="913">
        <f t="shared" si="8"/>
        <v>0.11</v>
      </c>
      <c r="K81" s="914"/>
      <c r="M81" s="459">
        <v>0.22</v>
      </c>
      <c r="N81" s="83"/>
      <c r="Q81" s="86" t="s">
        <v>608</v>
      </c>
      <c r="R81" s="496">
        <v>3.6999999999999998E-2</v>
      </c>
    </row>
    <row r="82" spans="1:23" ht="12.75" hidden="1" customHeight="1" x14ac:dyDescent="0.2">
      <c r="A82" s="344"/>
      <c r="B82" s="893" t="s">
        <v>386</v>
      </c>
      <c r="C82" s="912"/>
      <c r="D82" s="894"/>
      <c r="E82" s="795">
        <v>3.5999999999999997E-2</v>
      </c>
      <c r="F82" s="796"/>
      <c r="G82" s="474">
        <v>2E-3</v>
      </c>
      <c r="H82" s="913">
        <f t="shared" si="7"/>
        <v>3.7999999999999999E-2</v>
      </c>
      <c r="I82" s="914"/>
      <c r="J82" s="910">
        <f t="shared" si="8"/>
        <v>0</v>
      </c>
      <c r="K82" s="911"/>
      <c r="M82" s="459">
        <v>0</v>
      </c>
      <c r="N82" s="83"/>
      <c r="Q82" s="86" t="s">
        <v>628</v>
      </c>
      <c r="R82" s="496">
        <v>0.105</v>
      </c>
    </row>
    <row r="83" spans="1:23" hidden="1" x14ac:dyDescent="0.2">
      <c r="A83" s="344"/>
      <c r="B83" s="893" t="s">
        <v>402</v>
      </c>
      <c r="C83" s="912"/>
      <c r="D83" s="894"/>
      <c r="E83" s="795">
        <v>0.26</v>
      </c>
      <c r="F83" s="796"/>
      <c r="G83" s="474">
        <v>0</v>
      </c>
      <c r="H83" s="913">
        <f t="shared" si="7"/>
        <v>0.26</v>
      </c>
      <c r="I83" s="914"/>
      <c r="J83" s="910">
        <f t="shared" si="8"/>
        <v>3.7999999999999999E-2</v>
      </c>
      <c r="K83" s="911"/>
      <c r="M83" s="459">
        <v>0.01</v>
      </c>
      <c r="N83" s="83"/>
      <c r="O83" s="443"/>
      <c r="Q83" s="86" t="s">
        <v>629</v>
      </c>
      <c r="R83" s="496">
        <v>3.6999999999999998E-2</v>
      </c>
    </row>
    <row r="84" spans="1:23" ht="12.75" hidden="1" customHeight="1" x14ac:dyDescent="0.2">
      <c r="A84" s="344"/>
      <c r="B84" s="893"/>
      <c r="C84" s="912"/>
      <c r="D84" s="894"/>
      <c r="E84" s="735">
        <v>1</v>
      </c>
      <c r="F84" s="736"/>
      <c r="G84" s="474">
        <v>0</v>
      </c>
      <c r="H84" s="913">
        <f t="shared" si="7"/>
        <v>1</v>
      </c>
      <c r="I84" s="914"/>
      <c r="J84" s="910">
        <f t="shared" si="8"/>
        <v>0</v>
      </c>
      <c r="K84" s="911"/>
      <c r="M84" s="465"/>
      <c r="N84" s="83"/>
      <c r="Q84" s="86" t="s">
        <v>630</v>
      </c>
      <c r="R84" s="496">
        <v>0.9</v>
      </c>
    </row>
    <row r="85" spans="1:23" hidden="1" x14ac:dyDescent="0.2">
      <c r="A85" s="339"/>
      <c r="B85" s="418"/>
      <c r="C85" s="418"/>
      <c r="D85" s="418"/>
      <c r="E85" s="418"/>
      <c r="F85" s="418"/>
      <c r="G85" s="418"/>
      <c r="H85" s="418"/>
      <c r="I85" s="418"/>
      <c r="J85" s="348"/>
      <c r="K85" s="348"/>
      <c r="M85" s="343" t="s">
        <v>106</v>
      </c>
      <c r="N85" s="83"/>
      <c r="Q85" s="86" t="s">
        <v>631</v>
      </c>
      <c r="R85" s="496">
        <v>0.13</v>
      </c>
    </row>
    <row r="86" spans="1:23" ht="15.75" hidden="1" x14ac:dyDescent="0.25">
      <c r="A86" s="339"/>
      <c r="B86" s="349"/>
      <c r="C86" s="349"/>
      <c r="D86" s="349"/>
      <c r="E86" s="8"/>
      <c r="H86" s="8"/>
      <c r="I86" s="8"/>
      <c r="J86" s="910">
        <f>SUM(J76:K85)</f>
        <v>4.91</v>
      </c>
      <c r="K86" s="911"/>
      <c r="M86" s="626">
        <f>SUM(M76:M84)*1000</f>
        <v>430.00000000000006</v>
      </c>
      <c r="N86" s="83" t="s">
        <v>120</v>
      </c>
      <c r="Q86" s="87" t="s">
        <v>632</v>
      </c>
      <c r="R86" s="497">
        <v>0.02</v>
      </c>
    </row>
    <row r="87" spans="1:23" ht="7.5" hidden="1" customHeight="1" x14ac:dyDescent="0.25">
      <c r="A87" s="339"/>
      <c r="B87" s="862"/>
      <c r="C87" s="862"/>
      <c r="D87" s="862"/>
      <c r="E87" s="924"/>
      <c r="F87" s="924"/>
      <c r="G87" s="924"/>
      <c r="H87" s="8"/>
      <c r="I87" s="8"/>
      <c r="J87" s="351"/>
      <c r="N87" s="83"/>
      <c r="Q87" s="2" t="s">
        <v>726</v>
      </c>
      <c r="R87" s="2">
        <v>0.105</v>
      </c>
    </row>
    <row r="88" spans="1:23" ht="21" hidden="1" x14ac:dyDescent="0.2">
      <c r="A88" s="339"/>
      <c r="B88" s="349"/>
      <c r="C88" s="349"/>
      <c r="D88" s="349"/>
      <c r="E88" s="901" t="s">
        <v>93</v>
      </c>
      <c r="F88" s="901"/>
      <c r="G88" s="915"/>
      <c r="H88" s="875">
        <f>ROUND(1/((SUM(J76:K84)+J71+J72+J73)),2)</f>
        <v>0.2</v>
      </c>
      <c r="I88" s="876"/>
      <c r="J88" s="877" t="s">
        <v>555</v>
      </c>
      <c r="K88" s="916"/>
      <c r="N88" s="83"/>
      <c r="Q88" s="2" t="s">
        <v>822</v>
      </c>
      <c r="R88" s="443">
        <v>9.8000000000000004E-2</v>
      </c>
    </row>
    <row r="89" spans="1:23" ht="18.75" hidden="1" customHeight="1" x14ac:dyDescent="0.2">
      <c r="A89" s="352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9"/>
      <c r="Q89" s="2" t="s">
        <v>825</v>
      </c>
      <c r="R89" s="681">
        <v>0.03</v>
      </c>
    </row>
    <row r="90" spans="1:23" ht="22.5" hidden="1" customHeight="1" x14ac:dyDescent="0.2">
      <c r="Q90" s="2" t="s">
        <v>723</v>
      </c>
      <c r="R90" s="434">
        <v>4.1000000000000002E-2</v>
      </c>
    </row>
    <row r="91" spans="1:23" ht="18.75" hidden="1" customHeight="1" x14ac:dyDescent="0.2">
      <c r="A91" s="337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99"/>
      <c r="M91" s="99"/>
      <c r="N91" s="81"/>
      <c r="Q91" s="86" t="s">
        <v>477</v>
      </c>
      <c r="R91" s="496">
        <v>3.4000000000000002E-2</v>
      </c>
    </row>
    <row r="92" spans="1:23" ht="15.75" hidden="1" customHeight="1" x14ac:dyDescent="0.2">
      <c r="A92" s="339"/>
      <c r="B92" s="387"/>
      <c r="C92" s="868" t="s">
        <v>519</v>
      </c>
      <c r="D92" s="868"/>
      <c r="E92" s="868"/>
      <c r="F92" s="868"/>
      <c r="G92" s="868"/>
      <c r="H92" s="868"/>
      <c r="I92" s="868"/>
      <c r="J92" s="868"/>
      <c r="K92" s="868"/>
      <c r="L92" s="868"/>
      <c r="M92" s="869"/>
      <c r="N92" s="83"/>
      <c r="P92" s="433">
        <v>0.1</v>
      </c>
      <c r="Q92" s="86" t="s">
        <v>11</v>
      </c>
      <c r="R92" s="496">
        <v>2</v>
      </c>
      <c r="U92" s="495" t="s">
        <v>223</v>
      </c>
      <c r="W92" s="495" t="s">
        <v>441</v>
      </c>
    </row>
    <row r="93" spans="1:23" hidden="1" x14ac:dyDescent="0.2">
      <c r="A93" s="339"/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N93" s="83"/>
      <c r="P93" s="2">
        <v>0.13</v>
      </c>
      <c r="Q93" s="86" t="s">
        <v>538</v>
      </c>
      <c r="R93" s="496">
        <v>0.04</v>
      </c>
      <c r="U93" s="496"/>
      <c r="W93" s="496" t="s">
        <v>442</v>
      </c>
    </row>
    <row r="94" spans="1:23" ht="15" hidden="1" customHeight="1" x14ac:dyDescent="0.2">
      <c r="A94" s="339"/>
      <c r="B94" s="341"/>
      <c r="C94" s="870" t="s">
        <v>299</v>
      </c>
      <c r="D94" s="870"/>
      <c r="E94" s="870"/>
      <c r="F94" s="870"/>
      <c r="G94" s="870"/>
      <c r="H94" s="870"/>
      <c r="I94" s="341" t="s">
        <v>300</v>
      </c>
      <c r="J94" s="885">
        <v>0.1</v>
      </c>
      <c r="K94" s="886"/>
      <c r="N94" s="83"/>
      <c r="P94" s="2">
        <v>0.17</v>
      </c>
      <c r="Q94" s="86" t="s">
        <v>125</v>
      </c>
      <c r="R94" s="496">
        <v>5.2999999999999999E-2</v>
      </c>
      <c r="U94" s="496" t="s">
        <v>440</v>
      </c>
      <c r="W94" s="496" t="s">
        <v>444</v>
      </c>
    </row>
    <row r="95" spans="1:23" ht="14.25" hidden="1" x14ac:dyDescent="0.2">
      <c r="A95" s="339"/>
      <c r="B95" s="341"/>
      <c r="C95" s="870"/>
      <c r="D95" s="870"/>
      <c r="E95" s="870"/>
      <c r="F95" s="870"/>
      <c r="G95" s="870"/>
      <c r="H95" s="870"/>
      <c r="I95" s="341" t="s">
        <v>301</v>
      </c>
      <c r="J95" s="917">
        <v>0.04</v>
      </c>
      <c r="K95" s="918"/>
      <c r="N95" s="83"/>
      <c r="Q95" s="86" t="s">
        <v>635</v>
      </c>
      <c r="R95" s="496">
        <v>3.5000000000000003E-2</v>
      </c>
      <c r="U95" s="496" t="s">
        <v>402</v>
      </c>
      <c r="W95" s="496" t="s">
        <v>404</v>
      </c>
    </row>
    <row r="96" spans="1:23" ht="14.25" hidden="1" x14ac:dyDescent="0.2">
      <c r="A96" s="339"/>
      <c r="B96" s="341"/>
      <c r="C96" s="870"/>
      <c r="D96" s="870"/>
      <c r="E96" s="870"/>
      <c r="F96" s="870"/>
      <c r="G96" s="870"/>
      <c r="H96" s="870"/>
      <c r="I96" s="341" t="s">
        <v>323</v>
      </c>
      <c r="J96" s="885">
        <v>0.06</v>
      </c>
      <c r="K96" s="886"/>
      <c r="N96" s="83"/>
      <c r="Q96" s="86" t="s">
        <v>636</v>
      </c>
      <c r="R96" s="496">
        <v>2.1999999999999999E-2</v>
      </c>
      <c r="U96" s="496" t="s">
        <v>453</v>
      </c>
      <c r="W96" s="496" t="s">
        <v>351</v>
      </c>
    </row>
    <row r="97" spans="1:23" hidden="1" x14ac:dyDescent="0.2">
      <c r="A97" s="339"/>
      <c r="J97" s="919"/>
      <c r="K97" s="919"/>
      <c r="N97" s="83"/>
      <c r="Q97" s="86" t="s">
        <v>627</v>
      </c>
      <c r="R97" s="496">
        <v>3.5000000000000003E-2</v>
      </c>
      <c r="U97" s="496" t="s">
        <v>223</v>
      </c>
      <c r="W97" s="496"/>
    </row>
    <row r="98" spans="1:23" ht="13.5" hidden="1" x14ac:dyDescent="0.25">
      <c r="A98" s="339"/>
      <c r="B98" s="920" t="s">
        <v>6</v>
      </c>
      <c r="C98" s="920"/>
      <c r="D98" s="921"/>
      <c r="E98" s="922" t="s">
        <v>505</v>
      </c>
      <c r="F98" s="923"/>
      <c r="G98" s="568" t="s">
        <v>303</v>
      </c>
      <c r="H98" s="922" t="s">
        <v>507</v>
      </c>
      <c r="I98" s="923"/>
      <c r="J98" s="922" t="s">
        <v>304</v>
      </c>
      <c r="K98" s="923"/>
      <c r="L98" s="343"/>
      <c r="M98" s="467" t="s">
        <v>305</v>
      </c>
      <c r="N98" s="83"/>
      <c r="Q98" s="86" t="s">
        <v>684</v>
      </c>
      <c r="R98" s="496">
        <v>3.7999999999999999E-2</v>
      </c>
      <c r="T98" s="2" t="s">
        <v>266</v>
      </c>
      <c r="U98" s="496"/>
      <c r="W98" s="496"/>
    </row>
    <row r="99" spans="1:23" hidden="1" x14ac:dyDescent="0.2">
      <c r="A99" s="344"/>
      <c r="B99" s="893" t="s">
        <v>440</v>
      </c>
      <c r="C99" s="912"/>
      <c r="D99" s="894"/>
      <c r="E99" s="795">
        <v>0.6</v>
      </c>
      <c r="F99" s="796"/>
      <c r="G99" s="474">
        <v>0</v>
      </c>
      <c r="H99" s="913">
        <f>E99+G99</f>
        <v>0.6</v>
      </c>
      <c r="I99" s="914"/>
      <c r="J99" s="910">
        <f>ROUND(M99/H99,3)</f>
        <v>0.1</v>
      </c>
      <c r="K99" s="911"/>
      <c r="M99" s="459">
        <v>0.06</v>
      </c>
      <c r="N99" s="83"/>
      <c r="Q99" s="86" t="s">
        <v>712</v>
      </c>
      <c r="R99" s="496">
        <v>3.5000000000000003E-2</v>
      </c>
      <c r="U99" s="496"/>
      <c r="W99" s="496"/>
    </row>
    <row r="100" spans="1:23" hidden="1" x14ac:dyDescent="0.2">
      <c r="A100" s="344"/>
      <c r="B100" s="893" t="s">
        <v>608</v>
      </c>
      <c r="C100" s="912"/>
      <c r="D100" s="894"/>
      <c r="E100" s="795">
        <f>VLOOKUP(B100,Q3:R109,2,FALSE)</f>
        <v>3.6999999999999998E-2</v>
      </c>
      <c r="F100" s="796"/>
      <c r="G100" s="474">
        <v>1E-3</v>
      </c>
      <c r="H100" s="913">
        <f>E100+G100</f>
        <v>3.7999999999999999E-2</v>
      </c>
      <c r="I100" s="914"/>
      <c r="J100" s="910">
        <f>ROUND(M100/H100,3)</f>
        <v>8.5530000000000008</v>
      </c>
      <c r="K100" s="911"/>
      <c r="M100" s="459">
        <v>0.32500000000000001</v>
      </c>
      <c r="N100" s="83"/>
      <c r="Q100" s="86" t="s">
        <v>713</v>
      </c>
      <c r="R100" s="496">
        <v>3.5999999999999997E-2</v>
      </c>
      <c r="S100" s="2">
        <v>100</v>
      </c>
      <c r="U100" s="496"/>
      <c r="W100" s="496"/>
    </row>
    <row r="101" spans="1:23" hidden="1" x14ac:dyDescent="0.2">
      <c r="A101" s="344"/>
      <c r="B101" s="893" t="s">
        <v>631</v>
      </c>
      <c r="C101" s="912"/>
      <c r="D101" s="894"/>
      <c r="E101" s="795">
        <f>VLOOKUP(B101,Q2:R109,2,FALSE)</f>
        <v>0.13</v>
      </c>
      <c r="F101" s="796"/>
      <c r="G101" s="474">
        <v>0</v>
      </c>
      <c r="H101" s="913">
        <f>E101+G101</f>
        <v>0.13</v>
      </c>
      <c r="I101" s="914"/>
      <c r="J101" s="910">
        <f t="shared" ref="J101:J107" si="9">ROUND(M101/H101,3)</f>
        <v>0</v>
      </c>
      <c r="K101" s="911"/>
      <c r="M101" s="459">
        <v>0</v>
      </c>
      <c r="N101" s="83"/>
      <c r="Q101" s="86" t="s">
        <v>714</v>
      </c>
      <c r="R101" s="496">
        <v>0.12</v>
      </c>
      <c r="U101" s="497"/>
      <c r="W101" s="497"/>
    </row>
    <row r="102" spans="1:23" ht="12.75" hidden="1" customHeight="1" x14ac:dyDescent="0.2">
      <c r="A102" s="344"/>
      <c r="B102" s="893" t="s">
        <v>548</v>
      </c>
      <c r="C102" s="912"/>
      <c r="D102" s="894"/>
      <c r="E102" s="795">
        <f>VLOOKUP(B102,Q4:R110,2,FALSE)</f>
        <v>3.5999999999999997E-2</v>
      </c>
      <c r="F102" s="796"/>
      <c r="G102" s="474">
        <v>1E-3</v>
      </c>
      <c r="H102" s="913">
        <f>E102+G102</f>
        <v>3.6999999999999998E-2</v>
      </c>
      <c r="I102" s="914"/>
      <c r="J102" s="910">
        <f t="shared" si="9"/>
        <v>0</v>
      </c>
      <c r="K102" s="911"/>
      <c r="M102" s="459">
        <v>0</v>
      </c>
      <c r="N102" s="83"/>
      <c r="O102" s="2">
        <v>0.12</v>
      </c>
      <c r="Q102" s="86" t="s">
        <v>715</v>
      </c>
      <c r="R102" s="496">
        <v>3.3000000000000002E-2</v>
      </c>
    </row>
    <row r="103" spans="1:23" ht="12.75" hidden="1" customHeight="1" x14ac:dyDescent="0.2">
      <c r="A103" s="344"/>
      <c r="B103" s="893" t="s">
        <v>530</v>
      </c>
      <c r="C103" s="912"/>
      <c r="D103" s="894"/>
      <c r="E103" s="795">
        <v>0.15</v>
      </c>
      <c r="F103" s="796"/>
      <c r="G103" s="474">
        <v>0</v>
      </c>
      <c r="H103" s="913">
        <v>3.6999999999999998E-2</v>
      </c>
      <c r="I103" s="914"/>
      <c r="J103" s="910">
        <f t="shared" si="9"/>
        <v>0</v>
      </c>
      <c r="K103" s="911"/>
      <c r="M103" s="459">
        <v>0</v>
      </c>
      <c r="N103" s="83"/>
      <c r="Q103" s="86" t="s">
        <v>718</v>
      </c>
      <c r="R103" s="496">
        <v>3.2000000000000001E-2</v>
      </c>
    </row>
    <row r="104" spans="1:23" ht="12.75" hidden="1" customHeight="1" x14ac:dyDescent="0.2">
      <c r="A104" s="344"/>
      <c r="B104" s="893" t="s">
        <v>441</v>
      </c>
      <c r="C104" s="912"/>
      <c r="D104" s="894"/>
      <c r="E104" s="795">
        <v>2</v>
      </c>
      <c r="F104" s="796"/>
      <c r="G104" s="474">
        <v>0</v>
      </c>
      <c r="H104" s="913">
        <f>E104+G104</f>
        <v>2</v>
      </c>
      <c r="I104" s="914"/>
      <c r="J104" s="913">
        <f t="shared" si="9"/>
        <v>0.11</v>
      </c>
      <c r="K104" s="914"/>
      <c r="M104" s="459">
        <v>0.22</v>
      </c>
      <c r="N104" s="83"/>
      <c r="P104" s="443"/>
      <c r="Q104" s="86" t="s">
        <v>719</v>
      </c>
      <c r="R104" s="496">
        <v>3.5999999999999997E-2</v>
      </c>
    </row>
    <row r="105" spans="1:23" ht="12.75" hidden="1" customHeight="1" x14ac:dyDescent="0.2">
      <c r="A105" s="344"/>
      <c r="B105" s="893" t="s">
        <v>237</v>
      </c>
      <c r="C105" s="912"/>
      <c r="D105" s="894"/>
      <c r="E105" s="795">
        <v>0</v>
      </c>
      <c r="F105" s="796"/>
      <c r="G105" s="474">
        <v>0</v>
      </c>
      <c r="H105" s="913">
        <v>2</v>
      </c>
      <c r="I105" s="914"/>
      <c r="J105" s="910">
        <f t="shared" si="9"/>
        <v>0</v>
      </c>
      <c r="K105" s="911"/>
      <c r="M105" s="459">
        <v>0</v>
      </c>
      <c r="N105" s="83"/>
      <c r="Q105" s="86" t="s">
        <v>720</v>
      </c>
      <c r="R105" s="496">
        <v>3.7999999999999999E-2</v>
      </c>
    </row>
    <row r="106" spans="1:23" hidden="1" x14ac:dyDescent="0.2">
      <c r="A106" s="344"/>
      <c r="B106" s="893" t="s">
        <v>822</v>
      </c>
      <c r="C106" s="912"/>
      <c r="D106" s="894"/>
      <c r="E106" s="795">
        <f>VLOOKUP(B106,Q3:R115,2,FALSE)</f>
        <v>9.8000000000000004E-2</v>
      </c>
      <c r="F106" s="796"/>
      <c r="G106" s="474">
        <v>0</v>
      </c>
      <c r="H106" s="913">
        <f>E106+G106</f>
        <v>9.8000000000000004E-2</v>
      </c>
      <c r="I106" s="914"/>
      <c r="J106" s="910">
        <f t="shared" si="9"/>
        <v>0</v>
      </c>
      <c r="K106" s="911"/>
      <c r="M106" s="459">
        <v>0</v>
      </c>
      <c r="N106" s="83"/>
      <c r="Q106" s="86" t="s">
        <v>721</v>
      </c>
      <c r="R106" s="496">
        <v>3.3000000000000002E-2</v>
      </c>
    </row>
    <row r="107" spans="1:23" ht="12.75" hidden="1" customHeight="1" x14ac:dyDescent="0.2">
      <c r="A107" s="344"/>
      <c r="B107" s="893" t="s">
        <v>402</v>
      </c>
      <c r="C107" s="912"/>
      <c r="D107" s="894"/>
      <c r="E107" s="735">
        <v>0.26</v>
      </c>
      <c r="F107" s="736"/>
      <c r="G107" s="474">
        <v>0</v>
      </c>
      <c r="H107" s="913">
        <f>E107+G107</f>
        <v>0.26</v>
      </c>
      <c r="I107" s="914"/>
      <c r="J107" s="910">
        <f t="shared" si="9"/>
        <v>4.8000000000000001E-2</v>
      </c>
      <c r="K107" s="911"/>
      <c r="M107" s="459">
        <v>1.2500000000000001E-2</v>
      </c>
      <c r="N107" s="83"/>
      <c r="Q107" s="86" t="s">
        <v>722</v>
      </c>
      <c r="R107" s="496">
        <v>0.23</v>
      </c>
    </row>
    <row r="108" spans="1:23" hidden="1" x14ac:dyDescent="0.2">
      <c r="A108" s="339"/>
      <c r="B108" s="418"/>
      <c r="C108" s="418"/>
      <c r="D108" s="418"/>
      <c r="E108" s="418"/>
      <c r="F108" s="418"/>
      <c r="G108" s="418"/>
      <c r="H108" s="418"/>
      <c r="I108" s="418"/>
      <c r="J108" s="348"/>
      <c r="K108" s="348"/>
      <c r="M108" s="343" t="s">
        <v>106</v>
      </c>
      <c r="N108" s="83"/>
      <c r="Q108" s="86" t="s">
        <v>826</v>
      </c>
      <c r="R108" s="496">
        <v>4.1000000000000002E-2</v>
      </c>
    </row>
    <row r="109" spans="1:23" ht="18.75" hidden="1" x14ac:dyDescent="0.35">
      <c r="A109" s="339"/>
      <c r="B109" s="349"/>
      <c r="C109" s="349"/>
      <c r="D109" s="349"/>
      <c r="E109" s="8"/>
      <c r="H109" s="862" t="s">
        <v>818</v>
      </c>
      <c r="I109" s="867"/>
      <c r="J109" s="910">
        <f>SUM(J99:K108)</f>
        <v>8.8109999999999999</v>
      </c>
      <c r="K109" s="911"/>
      <c r="M109" s="670">
        <f>SUM(M99:M107)</f>
        <v>0.61749999999999994</v>
      </c>
      <c r="N109" s="83" t="s">
        <v>120</v>
      </c>
      <c r="Q109" s="87" t="s">
        <v>829</v>
      </c>
      <c r="R109" s="497">
        <v>3.7999999999999999E-2</v>
      </c>
    </row>
    <row r="110" spans="1:23" ht="4.9000000000000004" hidden="1" customHeight="1" x14ac:dyDescent="0.25">
      <c r="A110" s="339"/>
      <c r="B110" s="862"/>
      <c r="C110" s="862"/>
      <c r="D110" s="862"/>
      <c r="E110" s="924"/>
      <c r="F110" s="924"/>
      <c r="G110" s="924"/>
      <c r="H110" s="8"/>
      <c r="I110" s="8"/>
      <c r="J110" s="351"/>
      <c r="N110" s="83"/>
    </row>
    <row r="111" spans="1:23" ht="21" hidden="1" x14ac:dyDescent="0.2">
      <c r="A111" s="339"/>
      <c r="B111" s="349"/>
      <c r="C111" s="349"/>
      <c r="D111" s="349"/>
      <c r="E111" s="901" t="s">
        <v>93</v>
      </c>
      <c r="F111" s="901"/>
      <c r="G111" s="915"/>
      <c r="H111" s="875">
        <f>ROUND(1/((SUM(J99:K107)+J94+J95+J96)),2)</f>
        <v>0.11</v>
      </c>
      <c r="I111" s="876"/>
      <c r="J111" s="877" t="s">
        <v>555</v>
      </c>
      <c r="K111" s="916"/>
      <c r="N111" s="83"/>
      <c r="R111" s="931"/>
    </row>
    <row r="112" spans="1:23" ht="18.75" hidden="1" customHeight="1" x14ac:dyDescent="0.2">
      <c r="A112" s="352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9"/>
      <c r="R112" s="931"/>
    </row>
    <row r="113" spans="1:20" hidden="1" x14ac:dyDescent="0.2">
      <c r="R113" s="434"/>
    </row>
    <row r="114" spans="1:20" hidden="1" x14ac:dyDescent="0.2"/>
    <row r="115" spans="1:20" ht="11.25" hidden="1" customHeight="1" x14ac:dyDescent="0.2">
      <c r="A115" s="337"/>
      <c r="B115" s="338"/>
      <c r="C115" s="338"/>
      <c r="D115" s="338"/>
      <c r="E115" s="338"/>
      <c r="F115" s="338"/>
      <c r="G115" s="338"/>
      <c r="H115" s="338"/>
      <c r="I115" s="338"/>
      <c r="J115" s="338"/>
      <c r="K115" s="338"/>
      <c r="L115" s="99"/>
      <c r="M115" s="99"/>
      <c r="N115" s="81"/>
    </row>
    <row r="116" spans="1:20" ht="15.75" hidden="1" x14ac:dyDescent="0.25">
      <c r="A116" s="339"/>
      <c r="B116" s="387"/>
      <c r="C116" s="868" t="s">
        <v>518</v>
      </c>
      <c r="D116" s="925"/>
      <c r="E116" s="925"/>
      <c r="F116" s="925"/>
      <c r="G116" s="925"/>
      <c r="H116" s="925"/>
      <c r="I116" s="925"/>
      <c r="J116" s="925"/>
      <c r="K116" s="926"/>
      <c r="N116" s="83"/>
      <c r="Q116" s="495"/>
      <c r="R116" s="495"/>
      <c r="S116" s="2">
        <f>107:107</f>
        <v>0</v>
      </c>
    </row>
    <row r="117" spans="1:20" ht="4.5" hidden="1" customHeight="1" x14ac:dyDescent="0.2">
      <c r="A117" s="339"/>
      <c r="B117" s="341"/>
      <c r="C117" s="341"/>
      <c r="D117" s="341"/>
      <c r="E117" s="341"/>
      <c r="F117" s="341"/>
      <c r="G117" s="341"/>
      <c r="H117" s="341"/>
      <c r="I117" s="341"/>
      <c r="J117" s="341"/>
      <c r="K117" s="341"/>
      <c r="N117" s="83"/>
      <c r="Q117" s="496"/>
      <c r="R117" s="496"/>
    </row>
    <row r="118" spans="1:20" ht="15" hidden="1" x14ac:dyDescent="0.25">
      <c r="A118" s="339"/>
      <c r="B118" s="341"/>
      <c r="C118" s="927" t="s">
        <v>299</v>
      </c>
      <c r="D118" s="927"/>
      <c r="E118" s="927"/>
      <c r="F118" s="927"/>
      <c r="G118" s="927"/>
      <c r="H118" s="927"/>
      <c r="I118" s="341" t="s">
        <v>300</v>
      </c>
      <c r="J118" s="930">
        <v>0.1</v>
      </c>
      <c r="K118" s="873"/>
      <c r="N118" s="83"/>
      <c r="Q118" s="496"/>
      <c r="R118" s="496"/>
    </row>
    <row r="119" spans="1:20" ht="15" hidden="1" x14ac:dyDescent="0.25">
      <c r="A119" s="339"/>
      <c r="B119" s="341"/>
      <c r="C119" s="341"/>
      <c r="D119" s="341"/>
      <c r="E119" s="341"/>
      <c r="F119" s="341"/>
      <c r="G119" s="341"/>
      <c r="H119" s="341"/>
      <c r="I119" s="341" t="s">
        <v>301</v>
      </c>
      <c r="J119" s="843">
        <v>0.04</v>
      </c>
      <c r="K119" s="928"/>
      <c r="N119" s="83"/>
      <c r="Q119" s="496"/>
      <c r="R119" s="496"/>
    </row>
    <row r="120" spans="1:20" ht="15" hidden="1" x14ac:dyDescent="0.25">
      <c r="A120" s="339"/>
      <c r="B120" s="341"/>
      <c r="C120" s="341"/>
      <c r="D120" s="341"/>
      <c r="E120" s="341"/>
      <c r="F120" s="341"/>
      <c r="G120" s="341"/>
      <c r="H120" s="341"/>
      <c r="I120" s="341" t="s">
        <v>323</v>
      </c>
      <c r="J120" s="930">
        <v>0</v>
      </c>
      <c r="K120" s="873"/>
      <c r="N120" s="83"/>
      <c r="Q120" s="496"/>
      <c r="R120" s="496"/>
    </row>
    <row r="121" spans="1:20" ht="3.75" hidden="1" customHeight="1" x14ac:dyDescent="0.2">
      <c r="A121" s="339"/>
      <c r="J121" s="762"/>
      <c r="K121" s="762"/>
      <c r="N121" s="83"/>
      <c r="Q121" s="496"/>
      <c r="R121" s="496"/>
    </row>
    <row r="122" spans="1:20" ht="13.5" hidden="1" x14ac:dyDescent="0.25">
      <c r="A122" s="339"/>
      <c r="B122" s="907" t="s">
        <v>6</v>
      </c>
      <c r="C122" s="907"/>
      <c r="D122" s="907"/>
      <c r="E122" s="929" t="s">
        <v>505</v>
      </c>
      <c r="F122" s="929"/>
      <c r="G122" s="467" t="s">
        <v>303</v>
      </c>
      <c r="H122" s="929" t="s">
        <v>508</v>
      </c>
      <c r="I122" s="929"/>
      <c r="J122" s="929" t="s">
        <v>304</v>
      </c>
      <c r="K122" s="929"/>
      <c r="L122" s="343"/>
      <c r="M122" s="466" t="s">
        <v>305</v>
      </c>
      <c r="N122" s="83"/>
      <c r="Q122" s="496"/>
      <c r="R122" s="496"/>
      <c r="T122" s="2" t="s">
        <v>266</v>
      </c>
    </row>
    <row r="123" spans="1:20" hidden="1" x14ac:dyDescent="0.2">
      <c r="A123" s="344"/>
      <c r="B123" s="874" t="s">
        <v>223</v>
      </c>
      <c r="C123" s="874"/>
      <c r="D123" s="874"/>
      <c r="E123" s="908">
        <v>0.26</v>
      </c>
      <c r="F123" s="908"/>
      <c r="G123" s="474">
        <v>0</v>
      </c>
      <c r="H123" s="909">
        <f>E123+G123</f>
        <v>0.26</v>
      </c>
      <c r="I123" s="909"/>
      <c r="J123" s="822">
        <f>ROUND(M123/H123,3)</f>
        <v>0.115</v>
      </c>
      <c r="K123" s="822"/>
      <c r="M123" s="459">
        <v>0.03</v>
      </c>
      <c r="N123" s="83"/>
      <c r="Q123" s="497"/>
      <c r="R123" s="497"/>
    </row>
    <row r="124" spans="1:20" hidden="1" x14ac:dyDescent="0.2">
      <c r="A124" s="344"/>
      <c r="B124" s="893" t="s">
        <v>830</v>
      </c>
      <c r="C124" s="912"/>
      <c r="D124" s="894"/>
      <c r="E124" s="908">
        <v>3.5000000000000003E-2</v>
      </c>
      <c r="F124" s="908"/>
      <c r="G124" s="474">
        <v>1E-3</v>
      </c>
      <c r="H124" s="909">
        <f>E124+G124</f>
        <v>3.6000000000000004E-2</v>
      </c>
      <c r="I124" s="909"/>
      <c r="J124" s="822">
        <f>ROUND(M124/H124,3)</f>
        <v>1.389</v>
      </c>
      <c r="K124" s="822"/>
      <c r="M124" s="459">
        <v>0.05</v>
      </c>
      <c r="N124" s="83"/>
    </row>
    <row r="125" spans="1:20" hidden="1" x14ac:dyDescent="0.2">
      <c r="A125" s="344"/>
      <c r="B125" s="874" t="s">
        <v>712</v>
      </c>
      <c r="C125" s="874"/>
      <c r="D125" s="874"/>
      <c r="E125" s="908">
        <f>VLOOKUP(B125,Q2:R225,2,FALSE)</f>
        <v>3.5000000000000003E-2</v>
      </c>
      <c r="F125" s="908"/>
      <c r="G125" s="474">
        <v>1E-3</v>
      </c>
      <c r="H125" s="909">
        <f>E125+G125</f>
        <v>3.6000000000000004E-2</v>
      </c>
      <c r="I125" s="909"/>
      <c r="J125" s="822">
        <f t="shared" ref="J125:J132" si="10">ROUND(M125/H125,3)</f>
        <v>0</v>
      </c>
      <c r="K125" s="822"/>
      <c r="M125" s="459">
        <v>0</v>
      </c>
      <c r="N125" s="83"/>
    </row>
    <row r="126" spans="1:20" hidden="1" x14ac:dyDescent="0.2">
      <c r="A126" s="344"/>
      <c r="B126" s="874" t="s">
        <v>386</v>
      </c>
      <c r="C126" s="874"/>
      <c r="D126" s="874"/>
      <c r="E126" s="908">
        <v>3.4000000000000002E-2</v>
      </c>
      <c r="F126" s="908"/>
      <c r="G126" s="474">
        <v>1E-3</v>
      </c>
      <c r="H126" s="909">
        <f t="shared" ref="H126:H132" si="11">E126+G126</f>
        <v>3.5000000000000003E-2</v>
      </c>
      <c r="I126" s="909"/>
      <c r="J126" s="822">
        <f t="shared" si="10"/>
        <v>0</v>
      </c>
      <c r="K126" s="822"/>
      <c r="M126" s="459">
        <v>0</v>
      </c>
      <c r="N126" s="83"/>
    </row>
    <row r="127" spans="1:20" hidden="1" x14ac:dyDescent="0.2">
      <c r="A127" s="344"/>
      <c r="B127" s="874" t="s">
        <v>544</v>
      </c>
      <c r="C127" s="874"/>
      <c r="D127" s="874"/>
      <c r="E127" s="908">
        <f>VLOOKUP(B127,Q2:R225,2,FALSE)</f>
        <v>0.1</v>
      </c>
      <c r="F127" s="908"/>
      <c r="G127" s="474">
        <v>0</v>
      </c>
      <c r="H127" s="909">
        <f t="shared" si="11"/>
        <v>0.1</v>
      </c>
      <c r="I127" s="909"/>
      <c r="J127" s="822">
        <f t="shared" si="10"/>
        <v>0</v>
      </c>
      <c r="K127" s="822"/>
      <c r="M127" s="459">
        <v>0</v>
      </c>
      <c r="N127" s="83"/>
    </row>
    <row r="128" spans="1:20" hidden="1" x14ac:dyDescent="0.2">
      <c r="A128" s="344"/>
      <c r="B128" s="874" t="s">
        <v>544</v>
      </c>
      <c r="C128" s="874"/>
      <c r="D128" s="874"/>
      <c r="E128" s="908">
        <f>VLOOKUP(B128,Q3:R226,2,FALSE)</f>
        <v>0.1</v>
      </c>
      <c r="F128" s="908"/>
      <c r="G128" s="474">
        <v>1E-3</v>
      </c>
      <c r="H128" s="909">
        <f t="shared" si="11"/>
        <v>0.10100000000000001</v>
      </c>
      <c r="I128" s="909"/>
      <c r="J128" s="822">
        <f t="shared" si="10"/>
        <v>0</v>
      </c>
      <c r="K128" s="822"/>
      <c r="M128" s="459">
        <v>0</v>
      </c>
      <c r="N128" s="83"/>
    </row>
    <row r="129" spans="1:18" hidden="1" x14ac:dyDescent="0.2">
      <c r="A129" s="344"/>
      <c r="B129" s="874" t="s">
        <v>530</v>
      </c>
      <c r="C129" s="874"/>
      <c r="D129" s="874"/>
      <c r="E129" s="908">
        <v>0.6</v>
      </c>
      <c r="F129" s="908"/>
      <c r="G129" s="474">
        <v>0</v>
      </c>
      <c r="H129" s="909">
        <f t="shared" si="11"/>
        <v>0.6</v>
      </c>
      <c r="I129" s="909"/>
      <c r="J129" s="822">
        <f t="shared" si="10"/>
        <v>0</v>
      </c>
      <c r="K129" s="822"/>
      <c r="M129" s="459">
        <v>0</v>
      </c>
      <c r="N129" s="83"/>
    </row>
    <row r="130" spans="1:18" hidden="1" x14ac:dyDescent="0.2">
      <c r="A130" s="344"/>
      <c r="B130" s="874" t="s">
        <v>532</v>
      </c>
      <c r="C130" s="874"/>
      <c r="D130" s="874"/>
      <c r="E130" s="908">
        <v>2</v>
      </c>
      <c r="F130" s="908"/>
      <c r="G130" s="474">
        <v>0</v>
      </c>
      <c r="H130" s="909">
        <f t="shared" si="11"/>
        <v>2</v>
      </c>
      <c r="I130" s="909"/>
      <c r="J130" s="822">
        <f t="shared" si="10"/>
        <v>0.1</v>
      </c>
      <c r="K130" s="822"/>
      <c r="M130" s="459">
        <v>0.2</v>
      </c>
      <c r="N130" s="83"/>
    </row>
    <row r="131" spans="1:18" hidden="1" x14ac:dyDescent="0.2">
      <c r="A131" s="344"/>
      <c r="B131" s="874" t="s">
        <v>386</v>
      </c>
      <c r="C131" s="874"/>
      <c r="D131" s="874"/>
      <c r="E131" s="908">
        <v>3.5999999999999997E-2</v>
      </c>
      <c r="F131" s="908"/>
      <c r="G131" s="474">
        <v>1E-3</v>
      </c>
      <c r="H131" s="909">
        <f t="shared" si="11"/>
        <v>3.6999999999999998E-2</v>
      </c>
      <c r="I131" s="909"/>
      <c r="J131" s="822">
        <f t="shared" si="10"/>
        <v>3.2429999999999999</v>
      </c>
      <c r="K131" s="822"/>
      <c r="M131" s="459">
        <v>0.12</v>
      </c>
      <c r="N131" s="83"/>
    </row>
    <row r="132" spans="1:18" hidden="1" x14ac:dyDescent="0.2">
      <c r="A132" s="344"/>
      <c r="B132" s="874" t="s">
        <v>402</v>
      </c>
      <c r="C132" s="874"/>
      <c r="D132" s="874"/>
      <c r="E132" s="908">
        <v>0.26</v>
      </c>
      <c r="F132" s="908"/>
      <c r="G132" s="474">
        <v>0</v>
      </c>
      <c r="H132" s="909">
        <f t="shared" si="11"/>
        <v>0.26</v>
      </c>
      <c r="I132" s="909"/>
      <c r="J132" s="822">
        <f t="shared" si="10"/>
        <v>3.7999999999999999E-2</v>
      </c>
      <c r="K132" s="822"/>
      <c r="M132" s="459">
        <v>0.01</v>
      </c>
      <c r="N132" s="83"/>
    </row>
    <row r="133" spans="1:18" hidden="1" x14ac:dyDescent="0.2">
      <c r="A133" s="339"/>
      <c r="B133" s="418"/>
      <c r="C133" s="418"/>
      <c r="D133" s="418"/>
      <c r="E133" s="418"/>
      <c r="F133" s="418"/>
      <c r="G133" s="418"/>
      <c r="H133" s="418"/>
      <c r="I133" s="418"/>
      <c r="J133" s="348"/>
      <c r="K133" s="348"/>
      <c r="M133" s="343" t="s">
        <v>106</v>
      </c>
      <c r="N133" s="83"/>
    </row>
    <row r="134" spans="1:18" ht="15.75" hidden="1" x14ac:dyDescent="0.25">
      <c r="A134" s="339"/>
      <c r="B134" s="349"/>
      <c r="C134" s="349"/>
      <c r="D134" s="349"/>
      <c r="E134" s="8"/>
      <c r="H134" s="8"/>
      <c r="I134" s="8"/>
      <c r="J134" s="910">
        <f>SUM(J123:K133)</f>
        <v>4.8849999999999998</v>
      </c>
      <c r="K134" s="911"/>
      <c r="M134" s="626">
        <f>SUM(M123:M132)*1000</f>
        <v>410.00000000000006</v>
      </c>
      <c r="N134" s="83" t="s">
        <v>120</v>
      </c>
    </row>
    <row r="135" spans="1:18" ht="5.25" hidden="1" customHeight="1" x14ac:dyDescent="0.25">
      <c r="A135" s="339"/>
      <c r="B135" s="862"/>
      <c r="C135" s="862"/>
      <c r="D135" s="862"/>
      <c r="E135" s="924"/>
      <c r="F135" s="924"/>
      <c r="G135" s="924"/>
      <c r="H135" s="8"/>
      <c r="I135" s="8"/>
      <c r="J135" s="351"/>
      <c r="N135" s="83"/>
    </row>
    <row r="136" spans="1:18" ht="21" hidden="1" x14ac:dyDescent="0.2">
      <c r="A136" s="339"/>
      <c r="B136" s="349"/>
      <c r="C136" s="349"/>
      <c r="D136" s="349"/>
      <c r="E136" s="902" t="s">
        <v>93</v>
      </c>
      <c r="F136" s="902"/>
      <c r="G136" s="902"/>
      <c r="H136" s="903">
        <f>ROUND(1/((SUM(J123:K132)+J118+J119)),2)</f>
        <v>0.2</v>
      </c>
      <c r="I136" s="904"/>
      <c r="J136" s="905" t="s">
        <v>306</v>
      </c>
      <c r="K136" s="906"/>
      <c r="N136" s="83"/>
      <c r="R136" s="931"/>
    </row>
    <row r="137" spans="1:18" ht="7.5" hidden="1" customHeight="1" x14ac:dyDescent="0.2">
      <c r="A137" s="352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9"/>
      <c r="R137" s="931"/>
    </row>
    <row r="138" spans="1:18" ht="18.75" hidden="1" customHeight="1" x14ac:dyDescent="0.2">
      <c r="R138" s="434"/>
    </row>
    <row r="139" spans="1:18" ht="18.75" hidden="1" customHeight="1" x14ac:dyDescent="0.35">
      <c r="A139" s="78"/>
      <c r="B139" s="79"/>
      <c r="C139" s="79"/>
      <c r="D139" s="79"/>
      <c r="E139" s="79"/>
      <c r="F139" s="79"/>
      <c r="G139" s="79"/>
      <c r="H139" s="79"/>
      <c r="I139" s="79"/>
      <c r="J139" s="80"/>
      <c r="K139" s="80"/>
      <c r="L139" s="99"/>
      <c r="M139" s="99"/>
      <c r="N139" s="81"/>
    </row>
    <row r="140" spans="1:18" ht="15.75" hidden="1" x14ac:dyDescent="0.2">
      <c r="A140" s="354"/>
      <c r="B140" s="387"/>
      <c r="C140" s="868" t="s">
        <v>520</v>
      </c>
      <c r="D140" s="868"/>
      <c r="E140" s="868"/>
      <c r="F140" s="868"/>
      <c r="G140" s="868"/>
      <c r="H140" s="868"/>
      <c r="I140" s="868"/>
      <c r="J140" s="868"/>
      <c r="K140" s="868"/>
      <c r="L140" s="868"/>
      <c r="M140" s="869"/>
      <c r="N140" s="83"/>
      <c r="Q140" s="2" t="s">
        <v>610</v>
      </c>
    </row>
    <row r="141" spans="1:18" ht="11.25" hidden="1" customHeight="1" x14ac:dyDescent="0.2">
      <c r="A141" s="354"/>
      <c r="B141" s="355"/>
      <c r="C141" s="341"/>
      <c r="D141" s="356"/>
      <c r="E141" s="356"/>
      <c r="F141" s="356"/>
      <c r="G141" s="356"/>
      <c r="H141" s="356"/>
      <c r="I141" s="356"/>
      <c r="J141" s="356"/>
      <c r="N141" s="83"/>
    </row>
    <row r="142" spans="1:18" ht="15" hidden="1" customHeight="1" x14ac:dyDescent="0.25">
      <c r="A142" s="354"/>
      <c r="B142" s="871" t="s">
        <v>307</v>
      </c>
      <c r="C142" s="871"/>
      <c r="D142" s="871"/>
      <c r="E142" s="871"/>
      <c r="F142" s="871"/>
      <c r="G142" s="871"/>
      <c r="H142" s="357" t="s">
        <v>308</v>
      </c>
      <c r="I142" s="872">
        <v>0.13</v>
      </c>
      <c r="J142" s="873"/>
      <c r="K142" s="399"/>
      <c r="N142" s="83"/>
    </row>
    <row r="143" spans="1:18" ht="14.45" hidden="1" customHeight="1" x14ac:dyDescent="0.25">
      <c r="A143" s="354"/>
      <c r="B143" s="355"/>
      <c r="C143" s="341"/>
      <c r="D143" s="383"/>
      <c r="E143" s="383"/>
      <c r="F143" s="383"/>
      <c r="G143" s="383"/>
      <c r="H143" s="341" t="s">
        <v>301</v>
      </c>
      <c r="I143" s="872">
        <v>0.13</v>
      </c>
      <c r="J143" s="873"/>
      <c r="N143" s="83"/>
    </row>
    <row r="144" spans="1:18" ht="6" hidden="1" customHeight="1" x14ac:dyDescent="0.25">
      <c r="A144" s="354"/>
      <c r="B144" s="355"/>
      <c r="C144" s="341"/>
      <c r="D144" s="341"/>
      <c r="E144" s="341"/>
      <c r="F144" s="341"/>
      <c r="G144" s="892"/>
      <c r="H144" s="892"/>
      <c r="I144" s="341"/>
      <c r="J144" s="359"/>
      <c r="N144" s="83"/>
    </row>
    <row r="145" spans="1:19" ht="15" hidden="1" customHeight="1" x14ac:dyDescent="0.25">
      <c r="A145" s="354"/>
      <c r="B145" s="355"/>
      <c r="C145" s="882" t="s">
        <v>8</v>
      </c>
      <c r="D145" s="882"/>
      <c r="E145" s="882"/>
      <c r="F145" s="882"/>
      <c r="G145" s="880">
        <v>0.6</v>
      </c>
      <c r="H145" s="880"/>
      <c r="I145" s="341"/>
      <c r="J145" s="359"/>
      <c r="N145" s="83"/>
    </row>
    <row r="146" spans="1:19" ht="15" hidden="1" customHeight="1" x14ac:dyDescent="0.25">
      <c r="A146" s="354"/>
      <c r="B146" s="891" t="s">
        <v>311</v>
      </c>
      <c r="C146" s="891"/>
      <c r="D146" s="891"/>
      <c r="E146" s="891"/>
      <c r="F146" s="891"/>
      <c r="G146" s="880">
        <f>G145-G147</f>
        <v>0.54999999999999993</v>
      </c>
      <c r="H146" s="880"/>
      <c r="I146" s="341"/>
      <c r="J146" s="359"/>
      <c r="N146" s="83"/>
      <c r="S146" s="2">
        <f>jkl!H10*6.2</f>
        <v>274.04000000000002</v>
      </c>
    </row>
    <row r="147" spans="1:19" ht="15" hidden="1" x14ac:dyDescent="0.25">
      <c r="A147" s="354"/>
      <c r="B147" s="891"/>
      <c r="C147" s="891"/>
      <c r="D147" s="891"/>
      <c r="E147" s="891"/>
      <c r="F147" s="891"/>
      <c r="G147" s="880">
        <v>0.05</v>
      </c>
      <c r="H147" s="880"/>
      <c r="I147" s="341"/>
      <c r="J147" s="359"/>
      <c r="N147" s="83"/>
      <c r="Q147" s="2">
        <f>8.84-3.84-4.06-0.2</f>
        <v>0.74000000000000044</v>
      </c>
    </row>
    <row r="148" spans="1:19" ht="7.5" hidden="1" customHeight="1" x14ac:dyDescent="0.2">
      <c r="A148" s="881"/>
      <c r="B148" s="882"/>
      <c r="C148" s="883"/>
      <c r="D148" s="883"/>
      <c r="E148" s="883"/>
      <c r="F148" s="883"/>
      <c r="G148" s="884"/>
      <c r="H148" s="884"/>
      <c r="I148" s="360"/>
      <c r="J148" s="360"/>
      <c r="K148" s="360"/>
      <c r="N148" s="83"/>
    </row>
    <row r="149" spans="1:19" hidden="1" x14ac:dyDescent="0.2">
      <c r="A149" s="890"/>
      <c r="B149" s="891"/>
      <c r="C149" s="883"/>
      <c r="D149" s="883"/>
      <c r="E149" s="361"/>
      <c r="F149" s="361"/>
      <c r="G149" s="467" t="s">
        <v>0</v>
      </c>
      <c r="H149" s="467" t="s">
        <v>1</v>
      </c>
      <c r="I149" s="466"/>
      <c r="J149" s="364"/>
      <c r="K149" s="364"/>
      <c r="N149" s="83"/>
    </row>
    <row r="150" spans="1:19" hidden="1" x14ac:dyDescent="0.2">
      <c r="A150" s="887" t="s">
        <v>312</v>
      </c>
      <c r="B150" s="888"/>
      <c r="C150" s="888"/>
      <c r="D150" s="888"/>
      <c r="E150" s="888"/>
      <c r="F150" s="888"/>
      <c r="G150" s="468">
        <f>G146/G145</f>
        <v>0.91666666666666663</v>
      </c>
      <c r="H150" s="468">
        <f>G147/G145</f>
        <v>8.3333333333333343E-2</v>
      </c>
      <c r="I150" s="457"/>
      <c r="J150" s="364"/>
      <c r="K150" s="364"/>
      <c r="N150" s="83"/>
    </row>
    <row r="151" spans="1:19" ht="22.9" hidden="1" customHeight="1" x14ac:dyDescent="0.2">
      <c r="A151" s="367"/>
      <c r="B151" s="368"/>
      <c r="C151" s="368"/>
      <c r="D151" s="368"/>
      <c r="E151" s="368"/>
      <c r="F151" s="368"/>
      <c r="G151" s="889" t="s">
        <v>313</v>
      </c>
      <c r="H151" s="889"/>
      <c r="I151" s="889" t="s">
        <v>314</v>
      </c>
      <c r="J151" s="889"/>
      <c r="K151" s="889"/>
      <c r="N151" s="83"/>
    </row>
    <row r="152" spans="1:19" ht="24.75" hidden="1" customHeight="1" x14ac:dyDescent="0.2">
      <c r="A152" s="369"/>
      <c r="B152" s="907" t="s">
        <v>6</v>
      </c>
      <c r="C152" s="907"/>
      <c r="D152" s="470" t="s">
        <v>509</v>
      </c>
      <c r="E152" s="470" t="s">
        <v>303</v>
      </c>
      <c r="F152" s="470" t="s">
        <v>510</v>
      </c>
      <c r="G152" s="470" t="s">
        <v>419</v>
      </c>
      <c r="H152" s="470" t="s">
        <v>318</v>
      </c>
      <c r="I152" s="471" t="s">
        <v>4</v>
      </c>
      <c r="J152" s="470" t="s">
        <v>119</v>
      </c>
      <c r="K152" s="470" t="s">
        <v>321</v>
      </c>
      <c r="M152" s="458" t="s">
        <v>324</v>
      </c>
      <c r="N152" s="83"/>
    </row>
    <row r="153" spans="1:19" ht="12.75" hidden="1" customHeight="1" x14ac:dyDescent="0.2">
      <c r="A153" s="887"/>
      <c r="B153" s="874" t="s">
        <v>7</v>
      </c>
      <c r="C153" s="874"/>
      <c r="D153" s="474">
        <v>0.13</v>
      </c>
      <c r="E153" s="474">
        <v>0</v>
      </c>
      <c r="F153" s="474">
        <f>D153+E153</f>
        <v>0.13</v>
      </c>
      <c r="G153" s="459"/>
      <c r="H153" s="459">
        <f>M153/F153</f>
        <v>1.5384615384615385</v>
      </c>
      <c r="I153" s="459">
        <f>(G147*G145*2)/(G145*G145*2)</f>
        <v>8.3333333333333329E-2</v>
      </c>
      <c r="J153" s="879">
        <f>(I153*F153)+(I154*F154)</f>
        <v>4.3833333333333335E-2</v>
      </c>
      <c r="K153" s="879">
        <f>M153/J153</f>
        <v>4.5627376425855513</v>
      </c>
      <c r="M153" s="880">
        <v>0.2</v>
      </c>
      <c r="N153" s="83"/>
    </row>
    <row r="154" spans="1:19" hidden="1" x14ac:dyDescent="0.2">
      <c r="A154" s="887"/>
      <c r="B154" s="893" t="s">
        <v>712</v>
      </c>
      <c r="C154" s="894"/>
      <c r="D154" s="474">
        <f>VLOOKUP(B154,$Q$1:$R$123,2,FALSE)</f>
        <v>3.5000000000000003E-2</v>
      </c>
      <c r="E154" s="474">
        <v>1E-3</v>
      </c>
      <c r="F154" s="474">
        <f>D154+E154</f>
        <v>3.6000000000000004E-2</v>
      </c>
      <c r="G154" s="459">
        <f>M153/F154</f>
        <v>5.5555555555555554</v>
      </c>
      <c r="H154" s="459"/>
      <c r="I154" s="459">
        <f>(G146*G145*2)/(G145*G145*2)</f>
        <v>0.91666666666666663</v>
      </c>
      <c r="J154" s="879"/>
      <c r="K154" s="879"/>
      <c r="M154" s="880"/>
      <c r="N154" s="83"/>
    </row>
    <row r="155" spans="1:19" hidden="1" x14ac:dyDescent="0.2">
      <c r="A155" s="887"/>
      <c r="B155" s="874" t="s">
        <v>7</v>
      </c>
      <c r="C155" s="874"/>
      <c r="D155" s="474">
        <v>0.13</v>
      </c>
      <c r="E155" s="474">
        <v>0</v>
      </c>
      <c r="F155" s="474">
        <f>D155+E155</f>
        <v>0.13</v>
      </c>
      <c r="G155" s="459"/>
      <c r="H155" s="459">
        <f>M155/F155</f>
        <v>0</v>
      </c>
      <c r="I155" s="459">
        <f>I153</f>
        <v>8.3333333333333329E-2</v>
      </c>
      <c r="J155" s="879">
        <f>(I155*F155)+(I156*F156)</f>
        <v>4.5666666666666668E-2</v>
      </c>
      <c r="K155" s="879">
        <f>M155/J155</f>
        <v>0</v>
      </c>
      <c r="M155" s="880">
        <v>0</v>
      </c>
      <c r="N155" s="83"/>
    </row>
    <row r="156" spans="1:19" hidden="1" x14ac:dyDescent="0.2">
      <c r="A156" s="887"/>
      <c r="B156" s="874" t="s">
        <v>386</v>
      </c>
      <c r="C156" s="874"/>
      <c r="D156" s="474">
        <f t="shared" ref="D156:D158" si="12">VLOOKUP(B156,$Q$1:$R$123,2,FALSE)</f>
        <v>3.5999999999999997E-2</v>
      </c>
      <c r="E156" s="474">
        <v>2E-3</v>
      </c>
      <c r="F156" s="474">
        <f>D156+E156</f>
        <v>3.7999999999999999E-2</v>
      </c>
      <c r="G156" s="459">
        <f>M155/F156</f>
        <v>0</v>
      </c>
      <c r="H156" s="459"/>
      <c r="I156" s="459">
        <f>I154</f>
        <v>0.91666666666666663</v>
      </c>
      <c r="J156" s="879"/>
      <c r="K156" s="879"/>
      <c r="M156" s="880"/>
      <c r="N156" s="83"/>
    </row>
    <row r="157" spans="1:19" hidden="1" x14ac:dyDescent="0.2">
      <c r="A157" s="367"/>
      <c r="B157" s="893" t="s">
        <v>417</v>
      </c>
      <c r="C157" s="894"/>
      <c r="D157" s="474">
        <f t="shared" si="12"/>
        <v>0.19</v>
      </c>
      <c r="E157" s="474">
        <v>0.02</v>
      </c>
      <c r="F157" s="474">
        <f>E157+D157</f>
        <v>0.21</v>
      </c>
      <c r="G157" s="459">
        <f>M157/F157</f>
        <v>0</v>
      </c>
      <c r="H157" s="459">
        <f>M157/F157</f>
        <v>0</v>
      </c>
      <c r="I157" s="456"/>
      <c r="J157" s="477">
        <f>F157</f>
        <v>0.21</v>
      </c>
      <c r="K157" s="477">
        <f>M157/J157</f>
        <v>0</v>
      </c>
      <c r="M157" s="474">
        <v>0</v>
      </c>
      <c r="N157" s="83"/>
      <c r="O157" s="443"/>
    </row>
    <row r="158" spans="1:19" hidden="1" x14ac:dyDescent="0.2">
      <c r="A158" s="367"/>
      <c r="B158" s="893" t="s">
        <v>721</v>
      </c>
      <c r="C158" s="894"/>
      <c r="D158" s="474">
        <f t="shared" si="12"/>
        <v>3.3000000000000002E-2</v>
      </c>
      <c r="E158" s="474">
        <v>1E-3</v>
      </c>
      <c r="F158" s="474">
        <f>E158+D158</f>
        <v>3.4000000000000002E-2</v>
      </c>
      <c r="G158" s="459">
        <f>M158/F158</f>
        <v>0</v>
      </c>
      <c r="H158" s="459">
        <f>M158/F158</f>
        <v>0</v>
      </c>
      <c r="I158" s="456"/>
      <c r="J158" s="477">
        <f>F158</f>
        <v>3.4000000000000002E-2</v>
      </c>
      <c r="K158" s="477">
        <f>M158/J158</f>
        <v>0</v>
      </c>
      <c r="M158" s="474">
        <v>0</v>
      </c>
      <c r="N158" s="83"/>
    </row>
    <row r="159" spans="1:19" hidden="1" x14ac:dyDescent="0.2">
      <c r="A159" s="367"/>
      <c r="B159" s="874" t="s">
        <v>611</v>
      </c>
      <c r="C159" s="874"/>
      <c r="D159" s="474">
        <v>5.2999999999999999E-2</v>
      </c>
      <c r="E159" s="474">
        <v>0</v>
      </c>
      <c r="F159" s="474">
        <f>E159+D159</f>
        <v>5.2999999999999999E-2</v>
      </c>
      <c r="G159" s="459">
        <f>IF(M159&gt;0,0.16,0)</f>
        <v>0</v>
      </c>
      <c r="H159" s="459">
        <f>IF(M159&gt;0,0.16,0)</f>
        <v>0</v>
      </c>
      <c r="I159" s="456"/>
      <c r="J159" s="477">
        <f>F159</f>
        <v>5.2999999999999999E-2</v>
      </c>
      <c r="K159" s="477">
        <f>M159/J159</f>
        <v>0</v>
      </c>
      <c r="M159" s="474">
        <v>0</v>
      </c>
      <c r="N159" s="83"/>
    </row>
    <row r="160" spans="1:19" hidden="1" x14ac:dyDescent="0.2">
      <c r="A160" s="367"/>
      <c r="B160" s="874" t="s">
        <v>402</v>
      </c>
      <c r="C160" s="874"/>
      <c r="D160" s="474">
        <v>0.26</v>
      </c>
      <c r="E160" s="474">
        <v>0</v>
      </c>
      <c r="F160" s="474">
        <f>D160+E160</f>
        <v>0.26</v>
      </c>
      <c r="G160" s="459">
        <f>M160/F160</f>
        <v>7.6923076923076927E-2</v>
      </c>
      <c r="H160" s="459">
        <f>M160/F160</f>
        <v>7.6923076923076927E-2</v>
      </c>
      <c r="I160" s="456"/>
      <c r="J160" s="459">
        <f>F160</f>
        <v>0.26</v>
      </c>
      <c r="K160" s="477">
        <f>M160/J160</f>
        <v>7.6923076923076927E-2</v>
      </c>
      <c r="M160" s="474">
        <v>0.02</v>
      </c>
      <c r="N160" s="83"/>
    </row>
    <row r="161" spans="1:19" hidden="1" x14ac:dyDescent="0.2">
      <c r="A161" s="86"/>
      <c r="F161" s="349"/>
      <c r="G161" s="459">
        <f>SUM(G153:G160)</f>
        <v>5.632478632478632</v>
      </c>
      <c r="H161" s="459">
        <f>SUM(H153:H160)</f>
        <v>1.6153846153846154</v>
      </c>
      <c r="I161" s="895">
        <f>SUM(K153:K160)</f>
        <v>4.6396607195086279</v>
      </c>
      <c r="J161" s="896"/>
      <c r="K161" s="897"/>
      <c r="N161" s="83"/>
    </row>
    <row r="162" spans="1:19" ht="12.75" hidden="1" customHeight="1" x14ac:dyDescent="0.2">
      <c r="A162" s="86"/>
      <c r="C162" s="343"/>
      <c r="D162" s="377"/>
      <c r="E162" s="377"/>
      <c r="F162" s="377"/>
      <c r="G162" s="879">
        <f>ROUND((G150*G161)+(H150*H161),3)</f>
        <v>5.298</v>
      </c>
      <c r="H162" s="879"/>
      <c r="I162" s="898"/>
      <c r="J162" s="899"/>
      <c r="K162" s="900"/>
      <c r="M162" s="2" t="s">
        <v>704</v>
      </c>
      <c r="N162" s="83"/>
    </row>
    <row r="163" spans="1:19" ht="2.4500000000000002" hidden="1" customHeight="1" x14ac:dyDescent="0.2">
      <c r="A163" s="86"/>
      <c r="C163" s="378"/>
      <c r="D163" s="379"/>
      <c r="E163" s="377"/>
      <c r="F163" s="377"/>
      <c r="G163" s="380"/>
      <c r="H163" s="380"/>
      <c r="I163" s="380"/>
      <c r="J163" s="380"/>
      <c r="K163" s="380"/>
      <c r="M163" s="343"/>
      <c r="N163" s="83"/>
    </row>
    <row r="164" spans="1:19" ht="12.6" hidden="1" customHeight="1" x14ac:dyDescent="0.2">
      <c r="A164" s="86"/>
      <c r="I164" s="762"/>
      <c r="J164" s="762"/>
      <c r="K164" s="762"/>
      <c r="M164" s="626">
        <f>SUM(M153:M160)*1000</f>
        <v>220</v>
      </c>
      <c r="N164" s="384" t="s">
        <v>120</v>
      </c>
    </row>
    <row r="165" spans="1:19" ht="3.6" hidden="1" customHeight="1" x14ac:dyDescent="0.2">
      <c r="A165" s="86"/>
      <c r="N165" s="83"/>
    </row>
    <row r="166" spans="1:19" ht="21" hidden="1" x14ac:dyDescent="0.2">
      <c r="A166" s="86"/>
      <c r="E166" s="901" t="s">
        <v>93</v>
      </c>
      <c r="F166" s="901"/>
      <c r="G166" s="901"/>
      <c r="H166" s="875">
        <f>ROUND(1/((G162+I161)/2+I142+I143),2)</f>
        <v>0.19</v>
      </c>
      <c r="I166" s="876"/>
      <c r="J166" s="877" t="s">
        <v>555</v>
      </c>
      <c r="K166" s="878"/>
      <c r="N166" s="83"/>
    </row>
    <row r="167" spans="1:19" ht="18.75" hidden="1" customHeight="1" x14ac:dyDescent="0.2">
      <c r="A167" s="87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9"/>
    </row>
    <row r="168" spans="1:19" ht="15" hidden="1" customHeight="1" x14ac:dyDescent="0.2">
      <c r="R168" s="434"/>
    </row>
    <row r="169" spans="1:19" ht="18.75" hidden="1" customHeight="1" x14ac:dyDescent="0.35">
      <c r="A169" s="78"/>
      <c r="B169" s="79"/>
      <c r="C169" s="79"/>
      <c r="D169" s="79"/>
      <c r="E169" s="79"/>
      <c r="F169" s="79"/>
      <c r="G169" s="79"/>
      <c r="H169" s="79"/>
      <c r="I169" s="79"/>
      <c r="J169" s="80"/>
      <c r="K169" s="80"/>
      <c r="L169" s="99"/>
      <c r="M169" s="99"/>
      <c r="N169" s="81"/>
    </row>
    <row r="170" spans="1:19" ht="15.75" hidden="1" x14ac:dyDescent="0.2">
      <c r="A170" s="354"/>
      <c r="B170" s="387"/>
      <c r="C170" s="868" t="s">
        <v>356</v>
      </c>
      <c r="D170" s="868"/>
      <c r="E170" s="868"/>
      <c r="F170" s="868"/>
      <c r="G170" s="868"/>
      <c r="H170" s="868"/>
      <c r="I170" s="868"/>
      <c r="J170" s="868"/>
      <c r="K170" s="868"/>
      <c r="L170" s="868"/>
      <c r="M170" s="869"/>
      <c r="N170" s="83"/>
    </row>
    <row r="171" spans="1:19" ht="11.25" hidden="1" customHeight="1" x14ac:dyDescent="0.2">
      <c r="A171" s="354"/>
      <c r="B171" s="355"/>
      <c r="C171" s="341"/>
      <c r="D171" s="356"/>
      <c r="E171" s="356"/>
      <c r="F171" s="356"/>
      <c r="G171" s="356"/>
      <c r="H171" s="356"/>
      <c r="I171" s="356"/>
      <c r="J171" s="356"/>
      <c r="N171" s="83"/>
    </row>
    <row r="172" spans="1:19" ht="15" hidden="1" customHeight="1" x14ac:dyDescent="0.25">
      <c r="A172" s="354"/>
      <c r="B172" s="871" t="s">
        <v>307</v>
      </c>
      <c r="C172" s="871"/>
      <c r="D172" s="871"/>
      <c r="E172" s="871"/>
      <c r="F172" s="871"/>
      <c r="G172" s="871"/>
      <c r="H172" s="357" t="s">
        <v>308</v>
      </c>
      <c r="I172" s="872">
        <v>0.13</v>
      </c>
      <c r="J172" s="873"/>
      <c r="K172" s="399"/>
      <c r="N172" s="83"/>
    </row>
    <row r="173" spans="1:19" ht="15" hidden="1" customHeight="1" x14ac:dyDescent="0.25">
      <c r="A173" s="354"/>
      <c r="B173" s="355"/>
      <c r="C173" s="341"/>
      <c r="D173" s="383"/>
      <c r="E173" s="383"/>
      <c r="F173" s="383"/>
      <c r="G173" s="383"/>
      <c r="H173" s="341" t="s">
        <v>301</v>
      </c>
      <c r="I173" s="872">
        <v>0.13</v>
      </c>
      <c r="J173" s="873"/>
      <c r="N173" s="83"/>
    </row>
    <row r="174" spans="1:19" ht="6" hidden="1" customHeight="1" x14ac:dyDescent="0.25">
      <c r="A174" s="354"/>
      <c r="B174" s="355"/>
      <c r="C174" s="341"/>
      <c r="D174" s="341"/>
      <c r="E174" s="341"/>
      <c r="F174" s="341"/>
      <c r="G174" s="892"/>
      <c r="H174" s="892"/>
      <c r="I174" s="341"/>
      <c r="J174" s="359"/>
      <c r="N174" s="83"/>
    </row>
    <row r="175" spans="1:19" ht="15" hidden="1" customHeight="1" x14ac:dyDescent="0.25">
      <c r="A175" s="354"/>
      <c r="B175" s="355"/>
      <c r="C175" s="882" t="s">
        <v>8</v>
      </c>
      <c r="D175" s="882"/>
      <c r="E175" s="882"/>
      <c r="F175" s="882"/>
      <c r="G175" s="880">
        <v>0.6</v>
      </c>
      <c r="H175" s="880"/>
      <c r="I175" s="341"/>
      <c r="J175" s="359"/>
      <c r="N175" s="83"/>
    </row>
    <row r="176" spans="1:19" ht="15" hidden="1" customHeight="1" x14ac:dyDescent="0.25">
      <c r="A176" s="354"/>
      <c r="B176" s="891" t="s">
        <v>311</v>
      </c>
      <c r="C176" s="891"/>
      <c r="D176" s="891"/>
      <c r="E176" s="891"/>
      <c r="F176" s="891"/>
      <c r="G176" s="880">
        <f>G175-G177</f>
        <v>0.54999999999999993</v>
      </c>
      <c r="H176" s="880"/>
      <c r="I176" s="341"/>
      <c r="J176" s="359"/>
      <c r="N176" s="83"/>
      <c r="S176" s="2">
        <f>jkl!H39*6.2</f>
        <v>0.92999999999999994</v>
      </c>
    </row>
    <row r="177" spans="1:17" ht="15" hidden="1" x14ac:dyDescent="0.25">
      <c r="A177" s="354"/>
      <c r="B177" s="891"/>
      <c r="C177" s="891"/>
      <c r="D177" s="891"/>
      <c r="E177" s="891"/>
      <c r="F177" s="891"/>
      <c r="G177" s="880">
        <v>0.05</v>
      </c>
      <c r="H177" s="880"/>
      <c r="I177" s="341"/>
      <c r="J177" s="359"/>
      <c r="N177" s="83"/>
      <c r="Q177" s="2">
        <f>8.84-3.84-4.06-0.2</f>
        <v>0.74000000000000044</v>
      </c>
    </row>
    <row r="178" spans="1:17" ht="7.5" hidden="1" customHeight="1" x14ac:dyDescent="0.2">
      <c r="A178" s="881"/>
      <c r="B178" s="882"/>
      <c r="C178" s="883"/>
      <c r="D178" s="883"/>
      <c r="E178" s="883"/>
      <c r="F178" s="883"/>
      <c r="G178" s="884"/>
      <c r="H178" s="884"/>
      <c r="I178" s="360"/>
      <c r="J178" s="360"/>
      <c r="K178" s="360"/>
      <c r="N178" s="83"/>
    </row>
    <row r="179" spans="1:17" hidden="1" x14ac:dyDescent="0.2">
      <c r="A179" s="890"/>
      <c r="B179" s="891"/>
      <c r="C179" s="883"/>
      <c r="D179" s="883"/>
      <c r="E179" s="361"/>
      <c r="F179" s="361"/>
      <c r="G179" s="467" t="s">
        <v>0</v>
      </c>
      <c r="H179" s="467" t="s">
        <v>1</v>
      </c>
      <c r="I179" s="466"/>
      <c r="J179" s="364"/>
      <c r="K179" s="364"/>
      <c r="N179" s="83"/>
    </row>
    <row r="180" spans="1:17" hidden="1" x14ac:dyDescent="0.2">
      <c r="A180" s="887" t="s">
        <v>312</v>
      </c>
      <c r="B180" s="888"/>
      <c r="C180" s="888"/>
      <c r="D180" s="888"/>
      <c r="E180" s="888"/>
      <c r="F180" s="888"/>
      <c r="G180" s="468">
        <f>G176/G175</f>
        <v>0.91666666666666663</v>
      </c>
      <c r="H180" s="468">
        <f>G177/G175</f>
        <v>8.3333333333333343E-2</v>
      </c>
      <c r="I180" s="457"/>
      <c r="J180" s="364"/>
      <c r="K180" s="364"/>
      <c r="N180" s="83"/>
    </row>
    <row r="181" spans="1:17" ht="21" hidden="1" customHeight="1" x14ac:dyDescent="0.2">
      <c r="A181" s="367"/>
      <c r="B181" s="368"/>
      <c r="C181" s="368"/>
      <c r="D181" s="368"/>
      <c r="E181" s="368"/>
      <c r="F181" s="368"/>
      <c r="G181" s="889" t="s">
        <v>313</v>
      </c>
      <c r="H181" s="889"/>
      <c r="I181" s="889" t="s">
        <v>314</v>
      </c>
      <c r="J181" s="889"/>
      <c r="K181" s="889"/>
      <c r="N181" s="83"/>
    </row>
    <row r="182" spans="1:17" ht="12.75" hidden="1" customHeight="1" x14ac:dyDescent="0.2">
      <c r="A182" s="369"/>
      <c r="B182" s="907" t="s">
        <v>6</v>
      </c>
      <c r="C182" s="907"/>
      <c r="D182" s="470" t="s">
        <v>509</v>
      </c>
      <c r="E182" s="470" t="s">
        <v>303</v>
      </c>
      <c r="F182" s="470" t="s">
        <v>510</v>
      </c>
      <c r="G182" s="470" t="s">
        <v>419</v>
      </c>
      <c r="H182" s="470" t="s">
        <v>318</v>
      </c>
      <c r="I182" s="471" t="s">
        <v>4</v>
      </c>
      <c r="J182" s="470" t="s">
        <v>119</v>
      </c>
      <c r="K182" s="470" t="s">
        <v>321</v>
      </c>
      <c r="M182" s="458" t="s">
        <v>324</v>
      </c>
      <c r="N182" s="83"/>
    </row>
    <row r="183" spans="1:17" ht="12.75" hidden="1" customHeight="1" x14ac:dyDescent="0.2">
      <c r="A183" s="887"/>
      <c r="B183" s="874" t="s">
        <v>7</v>
      </c>
      <c r="C183" s="874"/>
      <c r="D183" s="474">
        <v>0.13</v>
      </c>
      <c r="E183" s="474">
        <v>0</v>
      </c>
      <c r="F183" s="474">
        <f>D183+E183</f>
        <v>0.13</v>
      </c>
      <c r="G183" s="459"/>
      <c r="H183" s="459">
        <f>M183/F183</f>
        <v>1.1538461538461537</v>
      </c>
      <c r="I183" s="459">
        <f>(G177*G175*2)/(G175*G175*2)</f>
        <v>8.3333333333333329E-2</v>
      </c>
      <c r="J183" s="879">
        <f>(I183*F183)+(I184*F184)</f>
        <v>4.4749999999999998E-2</v>
      </c>
      <c r="K183" s="879">
        <f>M183/J183</f>
        <v>3.3519553072625698</v>
      </c>
      <c r="M183" s="880">
        <v>0.15</v>
      </c>
      <c r="N183" s="83"/>
    </row>
    <row r="184" spans="1:17" hidden="1" x14ac:dyDescent="0.2">
      <c r="A184" s="887"/>
      <c r="B184" s="874" t="s">
        <v>386</v>
      </c>
      <c r="C184" s="874"/>
      <c r="D184" s="474">
        <v>3.5999999999999997E-2</v>
      </c>
      <c r="E184" s="474">
        <v>1E-3</v>
      </c>
      <c r="F184" s="474">
        <f>D184+E184</f>
        <v>3.6999999999999998E-2</v>
      </c>
      <c r="G184" s="459">
        <f>M183/F184</f>
        <v>4.0540540540540544</v>
      </c>
      <c r="H184" s="459"/>
      <c r="I184" s="459">
        <f>(G176*G175*2)/(G175*G175*2)</f>
        <v>0.91666666666666663</v>
      </c>
      <c r="J184" s="879"/>
      <c r="K184" s="879"/>
      <c r="M184" s="880"/>
      <c r="N184" s="83"/>
    </row>
    <row r="185" spans="1:17" hidden="1" x14ac:dyDescent="0.2">
      <c r="A185" s="887"/>
      <c r="B185" s="874" t="s">
        <v>7</v>
      </c>
      <c r="C185" s="874"/>
      <c r="D185" s="474">
        <v>0.15</v>
      </c>
      <c r="E185" s="474">
        <v>0</v>
      </c>
      <c r="F185" s="474">
        <f>D185+E185</f>
        <v>0.15</v>
      </c>
      <c r="G185" s="459"/>
      <c r="H185" s="459">
        <f>M185/F185</f>
        <v>0</v>
      </c>
      <c r="I185" s="459">
        <f>I183</f>
        <v>8.3333333333333329E-2</v>
      </c>
      <c r="J185" s="879">
        <f>(I185*F185)+(I186*F186)</f>
        <v>4.5499999999999992E-2</v>
      </c>
      <c r="K185" s="879">
        <f>M185/J185</f>
        <v>0</v>
      </c>
      <c r="M185" s="880">
        <v>0</v>
      </c>
      <c r="N185" s="83"/>
    </row>
    <row r="186" spans="1:17" hidden="1" x14ac:dyDescent="0.2">
      <c r="A186" s="887"/>
      <c r="B186" s="874" t="s">
        <v>386</v>
      </c>
      <c r="C186" s="874"/>
      <c r="D186" s="474">
        <f>VLOOKUP(B186,Q3:R101,2,FALSE)</f>
        <v>3.5999999999999997E-2</v>
      </c>
      <c r="E186" s="474">
        <v>0</v>
      </c>
      <c r="F186" s="474">
        <f>D186+E186</f>
        <v>3.5999999999999997E-2</v>
      </c>
      <c r="G186" s="459">
        <f>M185/F186</f>
        <v>0</v>
      </c>
      <c r="H186" s="459"/>
      <c r="I186" s="459">
        <f>I184</f>
        <v>0.91666666666666663</v>
      </c>
      <c r="J186" s="879"/>
      <c r="K186" s="879"/>
      <c r="M186" s="880"/>
      <c r="N186" s="83"/>
    </row>
    <row r="187" spans="1:17" hidden="1" x14ac:dyDescent="0.2">
      <c r="A187" s="367"/>
      <c r="B187" s="874" t="s">
        <v>544</v>
      </c>
      <c r="C187" s="874"/>
      <c r="D187" s="474">
        <f>VLOOKUP(B187,Q4:R102,2,FALSE)</f>
        <v>0.1</v>
      </c>
      <c r="E187" s="474">
        <v>0.02</v>
      </c>
      <c r="F187" s="474">
        <f>E187+D187</f>
        <v>0.12000000000000001</v>
      </c>
      <c r="G187" s="459">
        <f>M187/F187</f>
        <v>1.2499999999999998</v>
      </c>
      <c r="H187" s="459">
        <f>M187/F187</f>
        <v>1.2499999999999998</v>
      </c>
      <c r="I187" s="456"/>
      <c r="J187" s="477">
        <f>F187</f>
        <v>0.12000000000000001</v>
      </c>
      <c r="K187" s="477">
        <f>M187/J187</f>
        <v>1.2499999999999998</v>
      </c>
      <c r="M187" s="474">
        <v>0.15</v>
      </c>
      <c r="N187" s="83"/>
    </row>
    <row r="188" spans="1:17" hidden="1" x14ac:dyDescent="0.2">
      <c r="A188" s="367"/>
      <c r="B188" s="874" t="s">
        <v>499</v>
      </c>
      <c r="C188" s="874"/>
      <c r="D188" s="474">
        <v>0.15</v>
      </c>
      <c r="E188" s="474">
        <v>0</v>
      </c>
      <c r="F188" s="474">
        <f>E188+D188</f>
        <v>0.15</v>
      </c>
      <c r="G188" s="459">
        <f>M188/F188</f>
        <v>0</v>
      </c>
      <c r="H188" s="459">
        <f>M188/F188</f>
        <v>0</v>
      </c>
      <c r="I188" s="456"/>
      <c r="J188" s="477">
        <f>F188</f>
        <v>0.15</v>
      </c>
      <c r="K188" s="477">
        <f>M188/J188</f>
        <v>0</v>
      </c>
      <c r="M188" s="474">
        <v>0</v>
      </c>
      <c r="N188" s="83"/>
    </row>
    <row r="189" spans="1:17" hidden="1" x14ac:dyDescent="0.2">
      <c r="A189" s="367"/>
      <c r="B189" s="874" t="s">
        <v>124</v>
      </c>
      <c r="C189" s="874"/>
      <c r="D189" s="474"/>
      <c r="E189" s="474"/>
      <c r="F189" s="474"/>
      <c r="G189" s="459">
        <f>IF(M189&gt;0,0.16,0)</f>
        <v>0</v>
      </c>
      <c r="H189" s="459">
        <f>IF(M189&gt;0,0.16,0)</f>
        <v>0</v>
      </c>
      <c r="I189" s="456"/>
      <c r="J189" s="459"/>
      <c r="K189" s="477">
        <f>IF(M189&gt;0,0.16,0)</f>
        <v>0</v>
      </c>
      <c r="M189" s="474">
        <v>0</v>
      </c>
      <c r="N189" s="83"/>
    </row>
    <row r="190" spans="1:17" hidden="1" x14ac:dyDescent="0.2">
      <c r="A190" s="367"/>
      <c r="B190" s="874" t="s">
        <v>402</v>
      </c>
      <c r="C190" s="874"/>
      <c r="D190" s="474">
        <v>0.26</v>
      </c>
      <c r="E190" s="474">
        <v>0</v>
      </c>
      <c r="F190" s="474">
        <f>D190+E190</f>
        <v>0.26</v>
      </c>
      <c r="G190" s="459">
        <f>M190/F190</f>
        <v>3.8461538461538464E-2</v>
      </c>
      <c r="H190" s="459">
        <f>M190/F190</f>
        <v>3.8461538461538464E-2</v>
      </c>
      <c r="I190" s="456"/>
      <c r="J190" s="459">
        <f>F190</f>
        <v>0.26</v>
      </c>
      <c r="K190" s="477">
        <f>M190/J190</f>
        <v>3.8461538461538464E-2</v>
      </c>
      <c r="M190" s="474">
        <v>0.01</v>
      </c>
      <c r="N190" s="83"/>
    </row>
    <row r="191" spans="1:17" hidden="1" x14ac:dyDescent="0.2">
      <c r="A191" s="86"/>
      <c r="F191" s="349"/>
      <c r="G191" s="459">
        <f>SUM(G183:G190)</f>
        <v>5.3425155925155927</v>
      </c>
      <c r="H191" s="459">
        <f>SUM(H183:H190)</f>
        <v>2.4423076923076916</v>
      </c>
      <c r="I191" s="895">
        <f>SUM(K183:K190)</f>
        <v>4.6404168457241077</v>
      </c>
      <c r="J191" s="896"/>
      <c r="K191" s="897"/>
      <c r="N191" s="83"/>
    </row>
    <row r="192" spans="1:17" ht="12.75" hidden="1" customHeight="1" x14ac:dyDescent="0.2">
      <c r="A192" s="86"/>
      <c r="C192" s="343"/>
      <c r="D192" s="377"/>
      <c r="E192" s="377"/>
      <c r="F192" s="377"/>
      <c r="G192" s="879">
        <f>ROUND((G180*G191)+(H180*H191),3)</f>
        <v>5.101</v>
      </c>
      <c r="H192" s="879"/>
      <c r="I192" s="898"/>
      <c r="J192" s="899"/>
      <c r="K192" s="900"/>
      <c r="N192" s="83"/>
    </row>
    <row r="193" spans="1:18" ht="12.75" hidden="1" customHeight="1" x14ac:dyDescent="0.2">
      <c r="A193" s="86"/>
      <c r="C193" s="378"/>
      <c r="D193" s="379"/>
      <c r="E193" s="377"/>
      <c r="F193" s="377"/>
      <c r="G193" s="380"/>
      <c r="H193" s="380"/>
      <c r="I193" s="380"/>
      <c r="J193" s="380"/>
      <c r="K193" s="380"/>
      <c r="M193" s="343"/>
      <c r="N193" s="83"/>
    </row>
    <row r="194" spans="1:18" ht="12.75" hidden="1" customHeight="1" x14ac:dyDescent="0.2">
      <c r="A194" s="86"/>
      <c r="K194" s="349" t="s">
        <v>106</v>
      </c>
      <c r="M194" s="626">
        <f>SUM(M183:M190)*1000</f>
        <v>310</v>
      </c>
      <c r="N194" s="384" t="s">
        <v>120</v>
      </c>
    </row>
    <row r="195" spans="1:18" ht="12.75" hidden="1" customHeight="1" x14ac:dyDescent="0.2">
      <c r="A195" s="86"/>
      <c r="N195" s="83"/>
    </row>
    <row r="196" spans="1:18" ht="21" hidden="1" x14ac:dyDescent="0.2">
      <c r="A196" s="86"/>
      <c r="E196" s="901" t="s">
        <v>93</v>
      </c>
      <c r="F196" s="901"/>
      <c r="G196" s="901"/>
      <c r="H196" s="875">
        <f>ROUND(1/((G192+I191)/2+I172+I173),2)</f>
        <v>0.19</v>
      </c>
      <c r="I196" s="876"/>
      <c r="J196" s="877" t="s">
        <v>555</v>
      </c>
      <c r="K196" s="878"/>
      <c r="N196" s="83"/>
    </row>
    <row r="197" spans="1:18" ht="18.75" hidden="1" customHeight="1" x14ac:dyDescent="0.2">
      <c r="A197" s="87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</row>
    <row r="198" spans="1:18" ht="90" hidden="1" customHeight="1" x14ac:dyDescent="0.2">
      <c r="A198" s="2"/>
    </row>
    <row r="199" spans="1:18" ht="18.75" hidden="1" customHeight="1" x14ac:dyDescent="0.35">
      <c r="A199" s="78"/>
      <c r="B199" s="79"/>
      <c r="C199" s="79"/>
      <c r="D199" s="79"/>
      <c r="E199" s="79"/>
      <c r="F199" s="79"/>
      <c r="G199" s="79"/>
      <c r="H199" s="79"/>
      <c r="I199" s="79"/>
      <c r="J199" s="80"/>
      <c r="K199" s="80"/>
      <c r="L199" s="99"/>
      <c r="M199" s="99"/>
      <c r="N199" s="81"/>
      <c r="Q199" s="2" t="s">
        <v>422</v>
      </c>
      <c r="R199" s="2">
        <v>0.11</v>
      </c>
    </row>
    <row r="200" spans="1:18" ht="15.75" hidden="1" x14ac:dyDescent="0.2">
      <c r="A200" s="354"/>
      <c r="B200" s="387"/>
      <c r="C200" s="868" t="s">
        <v>519</v>
      </c>
      <c r="D200" s="868"/>
      <c r="E200" s="868"/>
      <c r="F200" s="868"/>
      <c r="G200" s="868"/>
      <c r="H200" s="868"/>
      <c r="I200" s="868"/>
      <c r="J200" s="868"/>
      <c r="K200" s="868"/>
      <c r="L200" s="868"/>
      <c r="M200" s="869"/>
      <c r="N200" s="83"/>
      <c r="Q200" s="2" t="s">
        <v>422</v>
      </c>
      <c r="R200" s="2">
        <v>0.11</v>
      </c>
    </row>
    <row r="201" spans="1:18" ht="11.25" hidden="1" customHeight="1" x14ac:dyDescent="0.2">
      <c r="A201" s="354"/>
      <c r="B201" s="355"/>
      <c r="C201" s="341"/>
      <c r="D201" s="356"/>
      <c r="E201" s="356"/>
      <c r="F201" s="356"/>
      <c r="G201" s="356"/>
      <c r="H201" s="356"/>
      <c r="I201" s="356"/>
      <c r="J201" s="356"/>
      <c r="N201" s="83"/>
    </row>
    <row r="202" spans="1:18" ht="15" hidden="1" x14ac:dyDescent="0.25">
      <c r="A202" s="354"/>
      <c r="B202" s="871" t="s">
        <v>307</v>
      </c>
      <c r="C202" s="871"/>
      <c r="D202" s="871"/>
      <c r="E202" s="871"/>
      <c r="F202" s="871"/>
      <c r="G202" s="871"/>
      <c r="H202" s="357" t="s">
        <v>308</v>
      </c>
      <c r="I202" s="872">
        <v>0.1</v>
      </c>
      <c r="J202" s="873"/>
      <c r="K202" s="399"/>
      <c r="N202" s="83"/>
    </row>
    <row r="203" spans="1:18" ht="15" hidden="1" x14ac:dyDescent="0.25">
      <c r="A203" s="354"/>
      <c r="B203" s="355"/>
      <c r="C203" s="341"/>
      <c r="D203" s="383"/>
      <c r="E203" s="383"/>
      <c r="F203" s="383"/>
      <c r="G203" s="383"/>
      <c r="H203" s="341" t="s">
        <v>301</v>
      </c>
      <c r="I203" s="872">
        <v>0.04</v>
      </c>
      <c r="J203" s="873"/>
      <c r="N203" s="83"/>
    </row>
    <row r="204" spans="1:18" ht="15" hidden="1" x14ac:dyDescent="0.25">
      <c r="A204" s="354"/>
      <c r="B204" s="355"/>
      <c r="C204" s="341"/>
      <c r="D204" s="383"/>
      <c r="E204" s="383"/>
      <c r="F204" s="383"/>
      <c r="G204" s="383"/>
      <c r="H204" s="341" t="s">
        <v>323</v>
      </c>
      <c r="I204" s="872">
        <v>0.2</v>
      </c>
      <c r="J204" s="873"/>
      <c r="N204" s="83"/>
    </row>
    <row r="205" spans="1:18" ht="7.5" hidden="1" customHeight="1" x14ac:dyDescent="0.25">
      <c r="A205" s="354"/>
      <c r="B205" s="355"/>
      <c r="C205" s="341"/>
      <c r="D205" s="341"/>
      <c r="E205" s="341"/>
      <c r="F205" s="341"/>
      <c r="G205" s="892"/>
      <c r="H205" s="892"/>
      <c r="I205" s="341"/>
      <c r="J205" s="359"/>
      <c r="N205" s="83"/>
    </row>
    <row r="206" spans="1:18" ht="15" hidden="1" x14ac:dyDescent="0.25">
      <c r="A206" s="354"/>
      <c r="B206" s="355"/>
      <c r="C206" s="882" t="s">
        <v>8</v>
      </c>
      <c r="D206" s="882"/>
      <c r="E206" s="882"/>
      <c r="F206" s="882"/>
      <c r="G206" s="880">
        <v>0.6</v>
      </c>
      <c r="H206" s="880"/>
      <c r="I206" s="341"/>
      <c r="J206" s="359"/>
      <c r="N206" s="83"/>
    </row>
    <row r="207" spans="1:18" ht="15" hidden="1" x14ac:dyDescent="0.25">
      <c r="A207" s="354"/>
      <c r="B207" s="891" t="s">
        <v>311</v>
      </c>
      <c r="C207" s="891"/>
      <c r="D207" s="891"/>
      <c r="E207" s="891"/>
      <c r="F207" s="891"/>
      <c r="G207" s="880">
        <f>G206-G208</f>
        <v>0.54999999999999993</v>
      </c>
      <c r="H207" s="880"/>
      <c r="I207" s="341"/>
      <c r="J207" s="359"/>
      <c r="N207" s="83"/>
    </row>
    <row r="208" spans="1:18" ht="15" hidden="1" x14ac:dyDescent="0.25">
      <c r="A208" s="354"/>
      <c r="B208" s="891"/>
      <c r="C208" s="891"/>
      <c r="D208" s="891"/>
      <c r="E208" s="891"/>
      <c r="F208" s="891"/>
      <c r="G208" s="880">
        <v>0.05</v>
      </c>
      <c r="H208" s="880"/>
      <c r="I208" s="341"/>
      <c r="J208" s="359"/>
      <c r="N208" s="83"/>
      <c r="Q208" s="2">
        <f>8.84-3.84-4.06-0.2</f>
        <v>0.74000000000000044</v>
      </c>
    </row>
    <row r="209" spans="1:14" ht="3.75" hidden="1" customHeight="1" x14ac:dyDescent="0.2">
      <c r="A209" s="881"/>
      <c r="B209" s="882"/>
      <c r="C209" s="883"/>
      <c r="D209" s="883"/>
      <c r="E209" s="883"/>
      <c r="F209" s="883"/>
      <c r="G209" s="884"/>
      <c r="H209" s="884"/>
      <c r="I209" s="360"/>
      <c r="J209" s="360"/>
      <c r="K209" s="360"/>
      <c r="N209" s="83"/>
    </row>
    <row r="210" spans="1:14" hidden="1" x14ac:dyDescent="0.2">
      <c r="A210" s="890"/>
      <c r="B210" s="891"/>
      <c r="C210" s="883"/>
      <c r="D210" s="883"/>
      <c r="E210" s="361"/>
      <c r="F210" s="361"/>
      <c r="G210" s="467" t="s">
        <v>0</v>
      </c>
      <c r="H210" s="467" t="s">
        <v>1</v>
      </c>
      <c r="I210" s="466"/>
      <c r="J210" s="364"/>
      <c r="K210" s="364"/>
      <c r="N210" s="83"/>
    </row>
    <row r="211" spans="1:14" hidden="1" x14ac:dyDescent="0.2">
      <c r="A211" s="887" t="s">
        <v>312</v>
      </c>
      <c r="B211" s="888"/>
      <c r="C211" s="888"/>
      <c r="D211" s="888"/>
      <c r="E211" s="888"/>
      <c r="F211" s="888"/>
      <c r="G211" s="468">
        <f>G207/G206</f>
        <v>0.91666666666666663</v>
      </c>
      <c r="H211" s="468">
        <f>G208/G206</f>
        <v>8.3333333333333343E-2</v>
      </c>
      <c r="I211" s="457"/>
      <c r="J211" s="364"/>
      <c r="K211" s="364"/>
      <c r="N211" s="83"/>
    </row>
    <row r="212" spans="1:14" ht="24" hidden="1" customHeight="1" x14ac:dyDescent="0.2">
      <c r="A212" s="367"/>
      <c r="B212" s="368"/>
      <c r="C212" s="368"/>
      <c r="D212" s="368"/>
      <c r="E212" s="368"/>
      <c r="F212" s="368"/>
      <c r="G212" s="889" t="s">
        <v>313</v>
      </c>
      <c r="H212" s="889"/>
      <c r="I212" s="889" t="s">
        <v>314</v>
      </c>
      <c r="J212" s="889"/>
      <c r="K212" s="889"/>
      <c r="N212" s="83"/>
    </row>
    <row r="213" spans="1:14" ht="24.75" hidden="1" customHeight="1" x14ac:dyDescent="0.2">
      <c r="A213" s="369"/>
      <c r="B213" s="907" t="s">
        <v>6</v>
      </c>
      <c r="C213" s="907"/>
      <c r="D213" s="470" t="s">
        <v>509</v>
      </c>
      <c r="E213" s="470" t="s">
        <v>303</v>
      </c>
      <c r="F213" s="470" t="s">
        <v>510</v>
      </c>
      <c r="G213" s="470" t="s">
        <v>419</v>
      </c>
      <c r="H213" s="470" t="s">
        <v>318</v>
      </c>
      <c r="I213" s="471" t="s">
        <v>4</v>
      </c>
      <c r="J213" s="470" t="s">
        <v>119</v>
      </c>
      <c r="K213" s="470" t="s">
        <v>321</v>
      </c>
      <c r="M213" s="458" t="s">
        <v>324</v>
      </c>
      <c r="N213" s="83"/>
    </row>
    <row r="214" spans="1:14" hidden="1" x14ac:dyDescent="0.2">
      <c r="A214" s="887"/>
      <c r="B214" s="874" t="s">
        <v>472</v>
      </c>
      <c r="C214" s="874"/>
      <c r="D214" s="474">
        <v>0.13</v>
      </c>
      <c r="E214" s="474">
        <v>0</v>
      </c>
      <c r="F214" s="474">
        <f>D214+E214</f>
        <v>0.13</v>
      </c>
      <c r="G214" s="459"/>
      <c r="H214" s="459">
        <f>M214/F214</f>
        <v>1.5384615384615385</v>
      </c>
      <c r="I214" s="465">
        <f>(G208*G206*2)/(G206*G206*2)</f>
        <v>8.3333333333333329E-2</v>
      </c>
      <c r="J214" s="879">
        <f>(I214*F214)+(I215*F215)</f>
        <v>4.9333333333333333E-2</v>
      </c>
      <c r="K214" s="879">
        <f>M214/J214</f>
        <v>4.0540540540540544</v>
      </c>
      <c r="M214" s="880">
        <v>0.2</v>
      </c>
      <c r="N214" s="83"/>
    </row>
    <row r="215" spans="1:14" hidden="1" x14ac:dyDescent="0.2">
      <c r="A215" s="887"/>
      <c r="B215" s="874" t="s">
        <v>826</v>
      </c>
      <c r="C215" s="874"/>
      <c r="D215" s="474">
        <f>VLOOKUP(B215,Q1:R130,2,FALSE)</f>
        <v>4.1000000000000002E-2</v>
      </c>
      <c r="E215" s="474">
        <v>1E-3</v>
      </c>
      <c r="F215" s="474">
        <f>D215+E215</f>
        <v>4.2000000000000003E-2</v>
      </c>
      <c r="G215" s="459">
        <f>M214/F215</f>
        <v>4.7619047619047619</v>
      </c>
      <c r="H215" s="459"/>
      <c r="I215" s="465">
        <f>(G207*G206*2)/(G206*G206*2)</f>
        <v>0.91666666666666663</v>
      </c>
      <c r="J215" s="879"/>
      <c r="K215" s="879"/>
      <c r="M215" s="880"/>
      <c r="N215" s="83"/>
    </row>
    <row r="216" spans="1:14" hidden="1" x14ac:dyDescent="0.2">
      <c r="A216" s="887"/>
      <c r="B216" s="874" t="s">
        <v>472</v>
      </c>
      <c r="C216" s="874"/>
      <c r="D216" s="474">
        <v>0.13</v>
      </c>
      <c r="E216" s="474">
        <v>0</v>
      </c>
      <c r="F216" s="474">
        <f>E216+D216</f>
        <v>0.13</v>
      </c>
      <c r="G216" s="459"/>
      <c r="H216" s="459">
        <f>M216/F216</f>
        <v>0</v>
      </c>
      <c r="I216" s="459">
        <f>I214</f>
        <v>8.3333333333333329E-2</v>
      </c>
      <c r="J216" s="879">
        <f>(I216*F216)+(I217*F217)</f>
        <v>4.9333333333333333E-2</v>
      </c>
      <c r="K216" s="879">
        <f>M216/J216</f>
        <v>0</v>
      </c>
      <c r="M216" s="880">
        <v>0</v>
      </c>
      <c r="N216" s="83"/>
    </row>
    <row r="217" spans="1:14" hidden="1" x14ac:dyDescent="0.2">
      <c r="A217" s="887"/>
      <c r="B217" s="874" t="s">
        <v>836</v>
      </c>
      <c r="C217" s="874"/>
      <c r="D217" s="474">
        <f>VLOOKUP(B217,Q1:R130,2,FALSE)</f>
        <v>4.1000000000000002E-2</v>
      </c>
      <c r="E217" s="474">
        <v>1E-3</v>
      </c>
      <c r="F217" s="474">
        <f>E217+D217</f>
        <v>4.2000000000000003E-2</v>
      </c>
      <c r="G217" s="459">
        <f>M216/F217</f>
        <v>0</v>
      </c>
      <c r="H217" s="459"/>
      <c r="I217" s="459">
        <f>I215</f>
        <v>0.91666666666666663</v>
      </c>
      <c r="J217" s="879"/>
      <c r="K217" s="879"/>
      <c r="M217" s="880"/>
      <c r="N217" s="83"/>
    </row>
    <row r="218" spans="1:14" hidden="1" x14ac:dyDescent="0.2">
      <c r="A218" s="367"/>
      <c r="B218" s="874" t="s">
        <v>826</v>
      </c>
      <c r="C218" s="874"/>
      <c r="D218" s="474">
        <f>VLOOKUP(B218,Q5:R112,2,FALSE)</f>
        <v>4.1000000000000002E-2</v>
      </c>
      <c r="E218" s="474">
        <v>1E-3</v>
      </c>
      <c r="F218" s="474">
        <f>D218+E218</f>
        <v>4.2000000000000003E-2</v>
      </c>
      <c r="G218" s="459">
        <f>M218/F218</f>
        <v>4.7619047619047619</v>
      </c>
      <c r="H218" s="459">
        <f>M218/F218</f>
        <v>4.7619047619047619</v>
      </c>
      <c r="I218" s="456"/>
      <c r="J218" s="459">
        <f>F218</f>
        <v>4.2000000000000003E-2</v>
      </c>
      <c r="K218" s="477">
        <f>M218/J218</f>
        <v>4.7619047619047619</v>
      </c>
      <c r="M218" s="474">
        <v>0.2</v>
      </c>
      <c r="N218" s="83"/>
    </row>
    <row r="219" spans="1:14" hidden="1" x14ac:dyDescent="0.2">
      <c r="A219" s="367"/>
      <c r="B219" s="874" t="s">
        <v>485</v>
      </c>
      <c r="C219" s="874"/>
      <c r="D219" s="474">
        <f>VLOOKUP(B219,Q3:R132,2,FALSE)</f>
        <v>5.2999999999999999E-2</v>
      </c>
      <c r="E219" s="474">
        <v>0</v>
      </c>
      <c r="F219" s="474">
        <f>D219+E219</f>
        <v>5.2999999999999999E-2</v>
      </c>
      <c r="G219" s="459">
        <f>M219/F219</f>
        <v>0</v>
      </c>
      <c r="H219" s="459">
        <f>M219/F219</f>
        <v>0</v>
      </c>
      <c r="I219" s="456"/>
      <c r="J219" s="459">
        <f>F219</f>
        <v>5.2999999999999999E-2</v>
      </c>
      <c r="K219" s="477">
        <f>M219/J219</f>
        <v>0</v>
      </c>
      <c r="M219" s="474">
        <v>0</v>
      </c>
      <c r="N219" s="83"/>
    </row>
    <row r="220" spans="1:14" hidden="1" x14ac:dyDescent="0.2">
      <c r="A220" s="367"/>
      <c r="B220" s="874" t="s">
        <v>600</v>
      </c>
      <c r="C220" s="874"/>
      <c r="D220" s="474">
        <f>VLOOKUP(B220,Q4:R175,2,FALSE)</f>
        <v>0.15</v>
      </c>
      <c r="E220" s="474">
        <v>0</v>
      </c>
      <c r="F220" s="474">
        <f>D220+E220</f>
        <v>0.15</v>
      </c>
      <c r="G220" s="459">
        <f>IF(M220&gt;0,0.16,0)</f>
        <v>0</v>
      </c>
      <c r="H220" s="459">
        <f>IF(M220&gt;0,0.16,0)</f>
        <v>0</v>
      </c>
      <c r="I220" s="456"/>
      <c r="J220" s="459">
        <f>F220</f>
        <v>0.15</v>
      </c>
      <c r="K220" s="477">
        <f>M220/J220</f>
        <v>0</v>
      </c>
      <c r="M220" s="474">
        <v>0</v>
      </c>
      <c r="N220" s="83"/>
    </row>
    <row r="221" spans="1:14" hidden="1" x14ac:dyDescent="0.2">
      <c r="A221" s="367"/>
      <c r="B221" s="874" t="s">
        <v>402</v>
      </c>
      <c r="C221" s="874"/>
      <c r="D221" s="474">
        <v>0.26</v>
      </c>
      <c r="E221" s="474">
        <v>0</v>
      </c>
      <c r="F221" s="474">
        <f>D221+E221</f>
        <v>0.26</v>
      </c>
      <c r="G221" s="459">
        <f>M221/F221</f>
        <v>9.6153846153846159E-2</v>
      </c>
      <c r="H221" s="459">
        <f>M221/F221</f>
        <v>9.6153846153846159E-2</v>
      </c>
      <c r="I221" s="456"/>
      <c r="J221" s="459">
        <f>F221</f>
        <v>0.26</v>
      </c>
      <c r="K221" s="477">
        <f>M221/J221</f>
        <v>9.6153846153846159E-2</v>
      </c>
      <c r="M221" s="474">
        <v>2.5000000000000001E-2</v>
      </c>
      <c r="N221" s="83"/>
    </row>
    <row r="222" spans="1:14" hidden="1" x14ac:dyDescent="0.2">
      <c r="A222" s="86"/>
      <c r="F222" s="349"/>
      <c r="G222" s="459">
        <f>SUM(G214:G221)</f>
        <v>9.6199633699633704</v>
      </c>
      <c r="H222" s="459">
        <f>SUM(H214:H221)</f>
        <v>6.396520146520146</v>
      </c>
      <c r="I222" s="895">
        <f>SUM(K214:K221)</f>
        <v>8.9121126621126621</v>
      </c>
      <c r="J222" s="896"/>
      <c r="K222" s="897"/>
      <c r="N222" s="83"/>
    </row>
    <row r="223" spans="1:14" ht="15.75" hidden="1" x14ac:dyDescent="0.25">
      <c r="A223" s="86"/>
      <c r="C223" s="343"/>
      <c r="D223" s="377"/>
      <c r="E223" s="377"/>
      <c r="F223" s="377"/>
      <c r="G223" s="823">
        <f>ROUND((G211*G222)+(H211*H222),3)</f>
        <v>9.3510000000000009</v>
      </c>
      <c r="H223" s="823"/>
      <c r="I223" s="898"/>
      <c r="J223" s="899"/>
      <c r="K223" s="900"/>
      <c r="M223" s="674">
        <f>SUM(M214:M221)</f>
        <v>0.42500000000000004</v>
      </c>
      <c r="N223" s="83" t="s">
        <v>14</v>
      </c>
    </row>
    <row r="224" spans="1:14" ht="4.5" hidden="1" customHeight="1" x14ac:dyDescent="0.2">
      <c r="A224" s="86"/>
      <c r="C224" s="378"/>
      <c r="D224" s="379"/>
      <c r="E224" s="377"/>
      <c r="F224" s="377"/>
      <c r="G224" s="380"/>
      <c r="H224" s="380"/>
      <c r="I224" s="380"/>
      <c r="J224" s="380"/>
      <c r="K224" s="380"/>
      <c r="M224" s="343"/>
      <c r="N224" s="83"/>
    </row>
    <row r="225" spans="1:18" ht="4.5" hidden="1" customHeight="1" x14ac:dyDescent="0.2">
      <c r="A225" s="86"/>
      <c r="N225" s="83"/>
    </row>
    <row r="226" spans="1:18" ht="21" hidden="1" x14ac:dyDescent="0.2">
      <c r="A226" s="86"/>
      <c r="E226" s="902" t="s">
        <v>93</v>
      </c>
      <c r="F226" s="902"/>
      <c r="G226" s="902"/>
      <c r="H226" s="903">
        <f>ROUND(1/((G223+I222)/2+I202+I203+I204),2)</f>
        <v>0.11</v>
      </c>
      <c r="I226" s="904"/>
      <c r="J226" s="905" t="s">
        <v>306</v>
      </c>
      <c r="K226" s="906"/>
      <c r="N226" s="83"/>
    </row>
    <row r="227" spans="1:18" ht="18.75" hidden="1" customHeight="1" x14ac:dyDescent="0.2">
      <c r="A227" s="87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9"/>
    </row>
    <row r="228" spans="1:18" ht="18.75" hidden="1" customHeight="1" x14ac:dyDescent="0.2">
      <c r="R228" s="434"/>
    </row>
    <row r="229" spans="1:18" ht="15" hidden="1" customHeight="1" x14ac:dyDescent="0.35">
      <c r="A229" s="78"/>
      <c r="B229" s="79"/>
      <c r="C229" s="79"/>
      <c r="D229" s="79"/>
      <c r="E229" s="79"/>
      <c r="F229" s="79"/>
      <c r="G229" s="79"/>
      <c r="H229" s="79"/>
      <c r="I229" s="79"/>
      <c r="J229" s="80"/>
      <c r="K229" s="80"/>
      <c r="L229" s="99"/>
      <c r="M229" s="99"/>
      <c r="N229" s="81"/>
    </row>
    <row r="230" spans="1:18" ht="15.75" hidden="1" x14ac:dyDescent="0.2">
      <c r="A230" s="354"/>
      <c r="B230" s="387"/>
      <c r="C230" s="868" t="s">
        <v>518</v>
      </c>
      <c r="D230" s="868"/>
      <c r="E230" s="868"/>
      <c r="F230" s="868"/>
      <c r="G230" s="868"/>
      <c r="H230" s="868"/>
      <c r="I230" s="868"/>
      <c r="J230" s="868"/>
      <c r="K230" s="868"/>
      <c r="L230" s="868"/>
      <c r="M230" s="869"/>
      <c r="N230" s="83"/>
    </row>
    <row r="231" spans="1:18" ht="5.25" hidden="1" customHeight="1" x14ac:dyDescent="0.2">
      <c r="A231" s="354"/>
      <c r="B231" s="355"/>
      <c r="C231" s="341"/>
      <c r="D231" s="356"/>
      <c r="E231" s="356"/>
      <c r="F231" s="356"/>
      <c r="G231" s="356"/>
      <c r="H231" s="356"/>
      <c r="I231" s="356"/>
      <c r="J231" s="356"/>
      <c r="N231" s="83"/>
    </row>
    <row r="232" spans="1:18" ht="15" hidden="1" x14ac:dyDescent="0.25">
      <c r="A232" s="354"/>
      <c r="B232" s="871" t="s">
        <v>307</v>
      </c>
      <c r="C232" s="871"/>
      <c r="D232" s="871"/>
      <c r="E232" s="871"/>
      <c r="F232" s="871"/>
      <c r="G232" s="871"/>
      <c r="H232" s="357" t="s">
        <v>308</v>
      </c>
      <c r="I232" s="872">
        <v>0.1</v>
      </c>
      <c r="J232" s="873"/>
      <c r="K232" s="399"/>
      <c r="N232" s="83"/>
    </row>
    <row r="233" spans="1:18" ht="15" hidden="1" x14ac:dyDescent="0.25">
      <c r="A233" s="354"/>
      <c r="B233" s="355"/>
      <c r="C233" s="341"/>
      <c r="D233" s="383"/>
      <c r="E233" s="383"/>
      <c r="F233" s="383"/>
      <c r="G233" s="383"/>
      <c r="H233" s="341" t="s">
        <v>301</v>
      </c>
      <c r="I233" s="872">
        <v>0.04</v>
      </c>
      <c r="J233" s="873"/>
      <c r="N233" s="83"/>
    </row>
    <row r="234" spans="1:18" ht="15" hidden="1" x14ac:dyDescent="0.25">
      <c r="A234" s="354"/>
      <c r="B234" s="355"/>
      <c r="C234" s="341"/>
      <c r="D234" s="383"/>
      <c r="E234" s="383"/>
      <c r="F234" s="383"/>
      <c r="G234" s="383"/>
      <c r="H234" s="341" t="s">
        <v>323</v>
      </c>
      <c r="I234" s="872">
        <v>0</v>
      </c>
      <c r="J234" s="873"/>
      <c r="N234" s="83"/>
    </row>
    <row r="235" spans="1:18" ht="6" hidden="1" customHeight="1" x14ac:dyDescent="0.25">
      <c r="A235" s="354"/>
      <c r="B235" s="355"/>
      <c r="C235" s="341"/>
      <c r="D235" s="341"/>
      <c r="E235" s="341"/>
      <c r="F235" s="341"/>
      <c r="G235" s="892"/>
      <c r="H235" s="892"/>
      <c r="I235" s="341"/>
      <c r="J235" s="359"/>
      <c r="N235" s="83"/>
    </row>
    <row r="236" spans="1:18" ht="15" hidden="1" x14ac:dyDescent="0.25">
      <c r="A236" s="354"/>
      <c r="B236" s="355"/>
      <c r="C236" s="882" t="s">
        <v>8</v>
      </c>
      <c r="D236" s="882"/>
      <c r="E236" s="882"/>
      <c r="F236" s="882"/>
      <c r="G236" s="880">
        <v>0.6</v>
      </c>
      <c r="H236" s="880"/>
      <c r="I236" s="341"/>
      <c r="J236" s="359"/>
      <c r="N236" s="83"/>
    </row>
    <row r="237" spans="1:18" ht="15" hidden="1" x14ac:dyDescent="0.25">
      <c r="A237" s="354"/>
      <c r="B237" s="891" t="s">
        <v>311</v>
      </c>
      <c r="C237" s="891"/>
      <c r="D237" s="891"/>
      <c r="E237" s="891"/>
      <c r="F237" s="891"/>
      <c r="G237" s="880">
        <f>G236-G238</f>
        <v>0.54</v>
      </c>
      <c r="H237" s="880"/>
      <c r="I237" s="341"/>
      <c r="J237" s="359"/>
      <c r="N237" s="83"/>
    </row>
    <row r="238" spans="1:18" ht="15" hidden="1" x14ac:dyDescent="0.25">
      <c r="A238" s="354"/>
      <c r="B238" s="891"/>
      <c r="C238" s="891"/>
      <c r="D238" s="891"/>
      <c r="E238" s="891"/>
      <c r="F238" s="891"/>
      <c r="G238" s="880">
        <v>0.06</v>
      </c>
      <c r="H238" s="880"/>
      <c r="I238" s="341"/>
      <c r="J238" s="359"/>
      <c r="N238" s="83"/>
      <c r="Q238" s="2">
        <f>8.84-3.84-4.06-0.2</f>
        <v>0.74000000000000044</v>
      </c>
    </row>
    <row r="239" spans="1:18" ht="5.45" hidden="1" customHeight="1" x14ac:dyDescent="0.2">
      <c r="A239" s="881"/>
      <c r="B239" s="882"/>
      <c r="C239" s="883"/>
      <c r="D239" s="883"/>
      <c r="E239" s="883"/>
      <c r="F239" s="883"/>
      <c r="G239" s="884"/>
      <c r="H239" s="884"/>
      <c r="I239" s="360"/>
      <c r="J239" s="360"/>
      <c r="K239" s="360"/>
      <c r="N239" s="83"/>
    </row>
    <row r="240" spans="1:18" hidden="1" x14ac:dyDescent="0.2">
      <c r="A240" s="890"/>
      <c r="B240" s="891"/>
      <c r="C240" s="883"/>
      <c r="D240" s="883"/>
      <c r="E240" s="361"/>
      <c r="F240" s="361"/>
      <c r="G240" s="467" t="s">
        <v>0</v>
      </c>
      <c r="H240" s="467" t="s">
        <v>1</v>
      </c>
      <c r="I240" s="466"/>
      <c r="J240" s="364"/>
      <c r="K240" s="364"/>
      <c r="N240" s="83"/>
    </row>
    <row r="241" spans="1:16" hidden="1" x14ac:dyDescent="0.2">
      <c r="A241" s="887" t="s">
        <v>312</v>
      </c>
      <c r="B241" s="888"/>
      <c r="C241" s="888"/>
      <c r="D241" s="888"/>
      <c r="E241" s="888"/>
      <c r="F241" s="888"/>
      <c r="G241" s="468">
        <f>G237/G236</f>
        <v>0.90000000000000013</v>
      </c>
      <c r="H241" s="468">
        <f>G238/G236</f>
        <v>0.1</v>
      </c>
      <c r="I241" s="457"/>
      <c r="J241" s="364"/>
      <c r="K241" s="364"/>
      <c r="N241" s="83"/>
    </row>
    <row r="242" spans="1:16" ht="24.75" hidden="1" customHeight="1" x14ac:dyDescent="0.2">
      <c r="A242" s="367"/>
      <c r="B242" s="368"/>
      <c r="C242" s="368"/>
      <c r="D242" s="368"/>
      <c r="E242" s="368"/>
      <c r="F242" s="368"/>
      <c r="G242" s="889" t="s">
        <v>313</v>
      </c>
      <c r="H242" s="889"/>
      <c r="I242" s="889" t="s">
        <v>314</v>
      </c>
      <c r="J242" s="889"/>
      <c r="K242" s="889"/>
      <c r="N242" s="83"/>
    </row>
    <row r="243" spans="1:16" ht="36.75" hidden="1" x14ac:dyDescent="0.2">
      <c r="A243" s="369"/>
      <c r="B243" s="907" t="s">
        <v>6</v>
      </c>
      <c r="C243" s="907"/>
      <c r="D243" s="470" t="s">
        <v>511</v>
      </c>
      <c r="E243" s="470" t="s">
        <v>303</v>
      </c>
      <c r="F243" s="470" t="s">
        <v>504</v>
      </c>
      <c r="G243" s="470" t="s">
        <v>419</v>
      </c>
      <c r="H243" s="470" t="s">
        <v>318</v>
      </c>
      <c r="I243" s="471" t="s">
        <v>4</v>
      </c>
      <c r="J243" s="470" t="s">
        <v>119</v>
      </c>
      <c r="K243" s="470" t="s">
        <v>321</v>
      </c>
      <c r="M243" s="458" t="s">
        <v>324</v>
      </c>
      <c r="N243" s="83"/>
    </row>
    <row r="244" spans="1:16" hidden="1" x14ac:dyDescent="0.2">
      <c r="A244" s="469"/>
      <c r="B244" s="874" t="s">
        <v>223</v>
      </c>
      <c r="C244" s="874"/>
      <c r="D244" s="474">
        <v>0.26</v>
      </c>
      <c r="E244" s="474">
        <v>0</v>
      </c>
      <c r="F244" s="474">
        <f t="shared" ref="F244:F250" si="13">D244+E244</f>
        <v>0.26</v>
      </c>
      <c r="G244" s="459">
        <f>M244/F244</f>
        <v>7.6923076923076927E-2</v>
      </c>
      <c r="H244" s="459">
        <f>M244/F244</f>
        <v>7.6923076923076927E-2</v>
      </c>
      <c r="I244" s="456"/>
      <c r="J244" s="459">
        <f>F244</f>
        <v>0.26</v>
      </c>
      <c r="K244" s="459">
        <f>M244/J244</f>
        <v>7.6923076923076927E-2</v>
      </c>
      <c r="M244" s="474">
        <v>0.02</v>
      </c>
      <c r="N244" s="83"/>
    </row>
    <row r="245" spans="1:16" hidden="1" x14ac:dyDescent="0.2">
      <c r="A245" s="469"/>
      <c r="B245" s="893" t="s">
        <v>124</v>
      </c>
      <c r="C245" s="894"/>
      <c r="D245" s="474">
        <v>0</v>
      </c>
      <c r="E245" s="474">
        <v>0</v>
      </c>
      <c r="F245" s="474">
        <f t="shared" si="13"/>
        <v>0</v>
      </c>
      <c r="G245" s="459"/>
      <c r="H245" s="459"/>
      <c r="I245" s="910"/>
      <c r="J245" s="911"/>
      <c r="K245" s="459"/>
      <c r="M245" s="474"/>
      <c r="N245" s="83"/>
      <c r="P245" s="2">
        <v>0.16</v>
      </c>
    </row>
    <row r="246" spans="1:16" hidden="1" x14ac:dyDescent="0.2">
      <c r="A246" s="469"/>
      <c r="B246" s="672" t="s">
        <v>634</v>
      </c>
      <c r="C246" s="673"/>
      <c r="D246" s="474">
        <v>0.13</v>
      </c>
      <c r="E246" s="474">
        <v>0</v>
      </c>
      <c r="F246" s="474">
        <f t="shared" si="13"/>
        <v>0.13</v>
      </c>
      <c r="G246" s="459">
        <f>M246/F246</f>
        <v>0</v>
      </c>
      <c r="H246" s="459">
        <f>M246/F246</f>
        <v>0</v>
      </c>
      <c r="I246" s="456"/>
      <c r="J246" s="459">
        <f>F246</f>
        <v>0.13</v>
      </c>
      <c r="K246" s="459">
        <f>M246/J246</f>
        <v>0</v>
      </c>
      <c r="M246" s="474">
        <v>0</v>
      </c>
      <c r="N246" s="83"/>
    </row>
    <row r="247" spans="1:16" hidden="1" x14ac:dyDescent="0.2">
      <c r="A247" s="469"/>
      <c r="B247" s="893" t="s">
        <v>442</v>
      </c>
      <c r="C247" s="894"/>
      <c r="D247" s="474">
        <v>1.7</v>
      </c>
      <c r="E247" s="474">
        <v>0</v>
      </c>
      <c r="F247" s="474">
        <f t="shared" si="13"/>
        <v>1.7</v>
      </c>
      <c r="G247" s="459">
        <f>M247/F247</f>
        <v>0</v>
      </c>
      <c r="H247" s="459">
        <f>M247/F247</f>
        <v>0</v>
      </c>
      <c r="I247" s="456"/>
      <c r="J247" s="459">
        <f>F247</f>
        <v>1.7</v>
      </c>
      <c r="K247" s="459">
        <f>M247/J247</f>
        <v>0</v>
      </c>
      <c r="M247" s="474">
        <v>0</v>
      </c>
      <c r="N247" s="83"/>
    </row>
    <row r="248" spans="1:16" hidden="1" x14ac:dyDescent="0.2">
      <c r="A248" s="469"/>
      <c r="B248" s="893" t="s">
        <v>600</v>
      </c>
      <c r="C248" s="894"/>
      <c r="D248" s="474">
        <v>0.15</v>
      </c>
      <c r="E248" s="474">
        <v>0</v>
      </c>
      <c r="F248" s="474">
        <f t="shared" si="13"/>
        <v>0.15</v>
      </c>
      <c r="G248" s="459">
        <f>M248/F248</f>
        <v>0</v>
      </c>
      <c r="H248" s="459">
        <f>M248/F248</f>
        <v>0</v>
      </c>
      <c r="I248" s="456"/>
      <c r="J248" s="459">
        <f>F248</f>
        <v>0.15</v>
      </c>
      <c r="K248" s="459">
        <f>M248/J248</f>
        <v>0</v>
      </c>
      <c r="M248" s="474">
        <v>0</v>
      </c>
      <c r="N248" s="83"/>
    </row>
    <row r="249" spans="1:16" hidden="1" x14ac:dyDescent="0.2">
      <c r="A249" s="887"/>
      <c r="B249" s="874" t="s">
        <v>7</v>
      </c>
      <c r="C249" s="874"/>
      <c r="D249" s="474">
        <v>0.13</v>
      </c>
      <c r="E249" s="474">
        <v>0</v>
      </c>
      <c r="F249" s="474">
        <f t="shared" si="13"/>
        <v>0.13</v>
      </c>
      <c r="G249" s="459"/>
      <c r="H249" s="459">
        <f>M249/F249</f>
        <v>1.5384615384615385</v>
      </c>
      <c r="I249" s="465">
        <f>(G238*G236*2)/(G236*G236*2)</f>
        <v>9.9999999999999992E-2</v>
      </c>
      <c r="J249" s="879">
        <f>(I249*F249)+(I250*F250)</f>
        <v>4.6299999999999994E-2</v>
      </c>
      <c r="K249" s="879">
        <f>M249/J249</f>
        <v>4.3196544276457889</v>
      </c>
      <c r="M249" s="880">
        <v>0.2</v>
      </c>
      <c r="N249" s="83"/>
    </row>
    <row r="250" spans="1:16" hidden="1" x14ac:dyDescent="0.2">
      <c r="A250" s="887"/>
      <c r="B250" s="874" t="s">
        <v>386</v>
      </c>
      <c r="C250" s="874"/>
      <c r="D250" s="474">
        <v>3.5999999999999997E-2</v>
      </c>
      <c r="E250" s="474">
        <v>1E-3</v>
      </c>
      <c r="F250" s="474">
        <f t="shared" si="13"/>
        <v>3.6999999999999998E-2</v>
      </c>
      <c r="G250" s="459">
        <f>M249/F250</f>
        <v>5.4054054054054061</v>
      </c>
      <c r="H250" s="459"/>
      <c r="I250" s="465">
        <f>(G237*G236*2)/(G236*G236*2)</f>
        <v>0.9</v>
      </c>
      <c r="J250" s="879"/>
      <c r="K250" s="879"/>
      <c r="M250" s="880"/>
      <c r="N250" s="83"/>
    </row>
    <row r="251" spans="1:16" hidden="1" x14ac:dyDescent="0.2">
      <c r="A251" s="887"/>
      <c r="B251" s="874" t="s">
        <v>414</v>
      </c>
      <c r="C251" s="874"/>
      <c r="D251" s="474">
        <v>0.13</v>
      </c>
      <c r="E251" s="474"/>
      <c r="F251" s="474">
        <f>E251+D251</f>
        <v>0.13</v>
      </c>
      <c r="G251" s="459"/>
      <c r="H251" s="459">
        <f>M251/F251</f>
        <v>0</v>
      </c>
      <c r="I251" s="465">
        <f>(G238*G236*2)/(G236*G236*2)</f>
        <v>9.9999999999999992E-2</v>
      </c>
      <c r="J251" s="879">
        <f>(I251*F251)+(I252*F252)</f>
        <v>4.7199999999999999E-2</v>
      </c>
      <c r="K251" s="879">
        <f>M251/J251</f>
        <v>0</v>
      </c>
      <c r="M251" s="880">
        <v>0</v>
      </c>
      <c r="N251" s="83"/>
    </row>
    <row r="252" spans="1:16" hidden="1" x14ac:dyDescent="0.2">
      <c r="A252" s="887"/>
      <c r="B252" s="874" t="s">
        <v>415</v>
      </c>
      <c r="C252" s="874"/>
      <c r="D252" s="474">
        <v>3.5999999999999997E-2</v>
      </c>
      <c r="E252" s="474">
        <v>2E-3</v>
      </c>
      <c r="F252" s="474">
        <f>E252+D252</f>
        <v>3.7999999999999999E-2</v>
      </c>
      <c r="G252" s="459">
        <f>M251/F252</f>
        <v>0</v>
      </c>
      <c r="H252" s="459"/>
      <c r="I252" s="465">
        <f>(G237*G236*2)/(G236*G236*2)</f>
        <v>0.9</v>
      </c>
      <c r="J252" s="879"/>
      <c r="K252" s="879"/>
      <c r="M252" s="880"/>
      <c r="N252" s="83"/>
    </row>
    <row r="253" spans="1:16" hidden="1" x14ac:dyDescent="0.2">
      <c r="A253" s="367"/>
      <c r="B253" s="672" t="s">
        <v>634</v>
      </c>
      <c r="C253" s="673"/>
      <c r="D253" s="474">
        <v>0.13</v>
      </c>
      <c r="E253" s="474">
        <v>0</v>
      </c>
      <c r="F253" s="474">
        <f>E253+D253</f>
        <v>0.13</v>
      </c>
      <c r="G253" s="459">
        <f>M253/F253</f>
        <v>0</v>
      </c>
      <c r="H253" s="459">
        <f>M253/F253</f>
        <v>0</v>
      </c>
      <c r="I253" s="456"/>
      <c r="J253" s="477">
        <f>F253</f>
        <v>0.13</v>
      </c>
      <c r="K253" s="477">
        <f>M253/J253</f>
        <v>0</v>
      </c>
      <c r="M253" s="474">
        <v>0</v>
      </c>
      <c r="N253" s="83"/>
    </row>
    <row r="254" spans="1:16" hidden="1" x14ac:dyDescent="0.2">
      <c r="A254" s="367"/>
      <c r="B254" s="874" t="s">
        <v>386</v>
      </c>
      <c r="C254" s="874"/>
      <c r="D254" s="474">
        <v>3.5999999999999997E-2</v>
      </c>
      <c r="E254" s="474">
        <v>1E-3</v>
      </c>
      <c r="F254" s="474">
        <f>D254+E254</f>
        <v>3.6999999999999998E-2</v>
      </c>
      <c r="G254" s="459">
        <f>M254/F254</f>
        <v>0</v>
      </c>
      <c r="H254" s="459">
        <f>M254/F254</f>
        <v>0</v>
      </c>
      <c r="I254" s="456"/>
      <c r="J254" s="459">
        <f>F254</f>
        <v>3.6999999999999998E-2</v>
      </c>
      <c r="K254" s="477">
        <f>M254/J254</f>
        <v>0</v>
      </c>
      <c r="M254" s="474">
        <v>0</v>
      </c>
      <c r="N254" s="83"/>
    </row>
    <row r="255" spans="1:16" hidden="1" x14ac:dyDescent="0.2">
      <c r="A255" s="367"/>
      <c r="B255" s="874" t="s">
        <v>402</v>
      </c>
      <c r="C255" s="874"/>
      <c r="D255" s="474">
        <v>0.26</v>
      </c>
      <c r="E255" s="474">
        <v>0</v>
      </c>
      <c r="F255" s="474">
        <f>D255+E255</f>
        <v>0.26</v>
      </c>
      <c r="G255" s="459">
        <f>M255/F255</f>
        <v>3.8461538461538464E-2</v>
      </c>
      <c r="H255" s="459">
        <f>M255/F255</f>
        <v>3.8461538461538464E-2</v>
      </c>
      <c r="I255" s="456"/>
      <c r="J255" s="459">
        <f>F255</f>
        <v>0.26</v>
      </c>
      <c r="K255" s="477">
        <f>M255/J255</f>
        <v>3.8461538461538464E-2</v>
      </c>
      <c r="M255" s="474">
        <v>0.01</v>
      </c>
      <c r="N255" s="83"/>
    </row>
    <row r="256" spans="1:16" hidden="1" x14ac:dyDescent="0.2">
      <c r="A256" s="86"/>
      <c r="F256" s="349"/>
      <c r="G256" s="459">
        <f>SUM(G244:G254)</f>
        <v>5.4823284823284828</v>
      </c>
      <c r="H256" s="459">
        <f>SUM(H244:H254)</f>
        <v>1.6153846153846154</v>
      </c>
      <c r="I256" s="895">
        <f>SUM(K244:K255)</f>
        <v>4.4350390430304039</v>
      </c>
      <c r="J256" s="896"/>
      <c r="K256" s="897"/>
      <c r="N256" s="83"/>
    </row>
    <row r="257" spans="1:16" ht="15.75" hidden="1" x14ac:dyDescent="0.25">
      <c r="A257" s="86"/>
      <c r="C257" s="343"/>
      <c r="D257" s="377"/>
      <c r="E257" s="377"/>
      <c r="F257" s="377"/>
      <c r="G257" s="879">
        <f>ROUND((G241*G256)+(H241*H256),3)</f>
        <v>5.0960000000000001</v>
      </c>
      <c r="H257" s="879"/>
      <c r="I257" s="898"/>
      <c r="J257" s="899"/>
      <c r="K257" s="900"/>
      <c r="M257" s="674">
        <f>SUM(M244:M255)</f>
        <v>0.23</v>
      </c>
      <c r="N257" s="83" t="s">
        <v>14</v>
      </c>
    </row>
    <row r="258" spans="1:16" ht="4.1500000000000004" hidden="1" customHeight="1" x14ac:dyDescent="0.2">
      <c r="A258" s="86"/>
      <c r="C258" s="378"/>
      <c r="D258" s="379"/>
      <c r="E258" s="377"/>
      <c r="F258" s="377"/>
      <c r="G258" s="380"/>
      <c r="H258" s="380"/>
      <c r="I258" s="380"/>
      <c r="J258" s="380"/>
      <c r="K258" s="380"/>
      <c r="M258" s="343"/>
      <c r="N258" s="83"/>
    </row>
    <row r="259" spans="1:16" ht="3" hidden="1" customHeight="1" x14ac:dyDescent="0.2">
      <c r="A259" s="86"/>
      <c r="N259" s="83"/>
    </row>
    <row r="260" spans="1:16" ht="21" hidden="1" x14ac:dyDescent="0.2">
      <c r="A260" s="86"/>
      <c r="E260" s="902" t="s">
        <v>93</v>
      </c>
      <c r="F260" s="902"/>
      <c r="G260" s="902"/>
      <c r="H260" s="903">
        <f>ROUNDDOWN(1/((G257+I256)/2+I232+I233+I234),2)*P260</f>
        <v>0.2</v>
      </c>
      <c r="I260" s="904"/>
      <c r="J260" s="905" t="s">
        <v>306</v>
      </c>
      <c r="K260" s="906"/>
      <c r="N260" s="83"/>
      <c r="P260" s="2">
        <v>1</v>
      </c>
    </row>
    <row r="261" spans="1:16" ht="11.25" hidden="1" customHeight="1" x14ac:dyDescent="0.2">
      <c r="A261" s="87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9"/>
    </row>
    <row r="262" spans="1:16" ht="11.25" customHeight="1" x14ac:dyDescent="0.2"/>
    <row r="264" spans="1:16" ht="10.9" customHeight="1" x14ac:dyDescent="0.2"/>
  </sheetData>
  <mergeCells count="486">
    <mergeCell ref="C27:H28"/>
    <mergeCell ref="J19:K19"/>
    <mergeCell ref="J41:K41"/>
    <mergeCell ref="J63:K63"/>
    <mergeCell ref="J86:K86"/>
    <mergeCell ref="J109:K109"/>
    <mergeCell ref="J134:K134"/>
    <mergeCell ref="B87:D87"/>
    <mergeCell ref="E87:G87"/>
    <mergeCell ref="E88:G88"/>
    <mergeCell ref="H88:I88"/>
    <mergeCell ref="J88:K88"/>
    <mergeCell ref="B79:D79"/>
    <mergeCell ref="E79:F79"/>
    <mergeCell ref="H79:I79"/>
    <mergeCell ref="J79:K79"/>
    <mergeCell ref="B80:D80"/>
    <mergeCell ref="E80:F80"/>
    <mergeCell ref="H80:I80"/>
    <mergeCell ref="J80:K80"/>
    <mergeCell ref="B81:D81"/>
    <mergeCell ref="E81:F81"/>
    <mergeCell ref="H81:I81"/>
    <mergeCell ref="J81:K81"/>
    <mergeCell ref="B84:D84"/>
    <mergeCell ref="E84:F84"/>
    <mergeCell ref="H84:I84"/>
    <mergeCell ref="J84:K84"/>
    <mergeCell ref="E76:F76"/>
    <mergeCell ref="H76:I76"/>
    <mergeCell ref="J76:K76"/>
    <mergeCell ref="B77:D77"/>
    <mergeCell ref="E77:F77"/>
    <mergeCell ref="H77:I77"/>
    <mergeCell ref="J77:K77"/>
    <mergeCell ref="B78:D78"/>
    <mergeCell ref="E78:F78"/>
    <mergeCell ref="H78:I78"/>
    <mergeCell ref="J78:K78"/>
    <mergeCell ref="B76:D76"/>
    <mergeCell ref="B82:D82"/>
    <mergeCell ref="E82:F82"/>
    <mergeCell ref="H82:I82"/>
    <mergeCell ref="J82:K82"/>
    <mergeCell ref="B83:D83"/>
    <mergeCell ref="E83:F83"/>
    <mergeCell ref="H83:I83"/>
    <mergeCell ref="J83:K83"/>
    <mergeCell ref="C69:M69"/>
    <mergeCell ref="C71:H73"/>
    <mergeCell ref="J71:K71"/>
    <mergeCell ref="J72:K72"/>
    <mergeCell ref="J73:K73"/>
    <mergeCell ref="J74:K74"/>
    <mergeCell ref="B75:D75"/>
    <mergeCell ref="E75:F75"/>
    <mergeCell ref="H75:I75"/>
    <mergeCell ref="J75:K75"/>
    <mergeCell ref="B187:C187"/>
    <mergeCell ref="B188:C188"/>
    <mergeCell ref="B189:C189"/>
    <mergeCell ref="B190:C190"/>
    <mergeCell ref="I191:K192"/>
    <mergeCell ref="G192:H192"/>
    <mergeCell ref="E196:G196"/>
    <mergeCell ref="H196:I196"/>
    <mergeCell ref="J196:K196"/>
    <mergeCell ref="B182:C182"/>
    <mergeCell ref="A183:A184"/>
    <mergeCell ref="B183:C183"/>
    <mergeCell ref="J183:J184"/>
    <mergeCell ref="K183:K184"/>
    <mergeCell ref="M183:M184"/>
    <mergeCell ref="B184:C184"/>
    <mergeCell ref="A185:A186"/>
    <mergeCell ref="B185:C185"/>
    <mergeCell ref="J185:J186"/>
    <mergeCell ref="K185:K186"/>
    <mergeCell ref="M185:M186"/>
    <mergeCell ref="B186:C186"/>
    <mergeCell ref="A178:B178"/>
    <mergeCell ref="C178:D178"/>
    <mergeCell ref="E178:F178"/>
    <mergeCell ref="G178:H178"/>
    <mergeCell ref="A179:B179"/>
    <mergeCell ref="C179:D179"/>
    <mergeCell ref="A180:F180"/>
    <mergeCell ref="G181:H181"/>
    <mergeCell ref="I181:K181"/>
    <mergeCell ref="C175:F175"/>
    <mergeCell ref="G175:H175"/>
    <mergeCell ref="B176:F177"/>
    <mergeCell ref="G176:H176"/>
    <mergeCell ref="G177:H177"/>
    <mergeCell ref="M155:M156"/>
    <mergeCell ref="B156:C156"/>
    <mergeCell ref="B152:C152"/>
    <mergeCell ref="I164:K164"/>
    <mergeCell ref="B157:C157"/>
    <mergeCell ref="H136:I136"/>
    <mergeCell ref="B110:D110"/>
    <mergeCell ref="E110:G110"/>
    <mergeCell ref="B135:D135"/>
    <mergeCell ref="C170:M170"/>
    <mergeCell ref="B172:G172"/>
    <mergeCell ref="I172:J172"/>
    <mergeCell ref="I173:J173"/>
    <mergeCell ref="J124:K124"/>
    <mergeCell ref="B131:D131"/>
    <mergeCell ref="E131:F131"/>
    <mergeCell ref="J125:K125"/>
    <mergeCell ref="J120:K120"/>
    <mergeCell ref="J136:K136"/>
    <mergeCell ref="I142:J142"/>
    <mergeCell ref="J155:J156"/>
    <mergeCell ref="K155:K156"/>
    <mergeCell ref="E135:G135"/>
    <mergeCell ref="J128:K128"/>
    <mergeCell ref="B129:D129"/>
    <mergeCell ref="E129:F129"/>
    <mergeCell ref="H129:I129"/>
    <mergeCell ref="J129:K129"/>
    <mergeCell ref="B126:D126"/>
    <mergeCell ref="C3:M3"/>
    <mergeCell ref="R111:R112"/>
    <mergeCell ref="C116:K116"/>
    <mergeCell ref="R136:R137"/>
    <mergeCell ref="C118:H118"/>
    <mergeCell ref="J118:K118"/>
    <mergeCell ref="J119:K119"/>
    <mergeCell ref="J121:K121"/>
    <mergeCell ref="B122:D122"/>
    <mergeCell ref="E122:F122"/>
    <mergeCell ref="H122:I122"/>
    <mergeCell ref="E136:G136"/>
    <mergeCell ref="B132:D132"/>
    <mergeCell ref="E132:F132"/>
    <mergeCell ref="H132:I132"/>
    <mergeCell ref="J132:K132"/>
    <mergeCell ref="B130:D130"/>
    <mergeCell ref="E130:F130"/>
    <mergeCell ref="H130:I130"/>
    <mergeCell ref="B36:D36"/>
    <mergeCell ref="E36:F36"/>
    <mergeCell ref="H36:I36"/>
    <mergeCell ref="J36:K36"/>
    <mergeCell ref="B37:D37"/>
    <mergeCell ref="E37:F37"/>
    <mergeCell ref="H37:I37"/>
    <mergeCell ref="J37:K37"/>
    <mergeCell ref="B125:D125"/>
    <mergeCell ref="E101:F101"/>
    <mergeCell ref="H101:I101"/>
    <mergeCell ref="J101:K101"/>
    <mergeCell ref="H105:I105"/>
    <mergeCell ref="B107:D107"/>
    <mergeCell ref="E107:F107"/>
    <mergeCell ref="H107:I107"/>
    <mergeCell ref="J107:K107"/>
    <mergeCell ref="J105:K105"/>
    <mergeCell ref="B103:D103"/>
    <mergeCell ref="E103:F103"/>
    <mergeCell ref="H103:I103"/>
    <mergeCell ref="B102:D102"/>
    <mergeCell ref="E102:F102"/>
    <mergeCell ref="H102:I102"/>
    <mergeCell ref="E54:F54"/>
    <mergeCell ref="H54:I54"/>
    <mergeCell ref="J54:K54"/>
    <mergeCell ref="B55:D55"/>
    <mergeCell ref="E55:F55"/>
    <mergeCell ref="E32:F32"/>
    <mergeCell ref="H32:I32"/>
    <mergeCell ref="H33:I33"/>
    <mergeCell ref="J33:K33"/>
    <mergeCell ref="B34:D34"/>
    <mergeCell ref="E34:F34"/>
    <mergeCell ref="H34:I34"/>
    <mergeCell ref="J34:K34"/>
    <mergeCell ref="B35:D35"/>
    <mergeCell ref="E35:F35"/>
    <mergeCell ref="H35:I35"/>
    <mergeCell ref="J35:K35"/>
    <mergeCell ref="J17:K17"/>
    <mergeCell ref="E14:F14"/>
    <mergeCell ref="B13:D13"/>
    <mergeCell ref="E13:F13"/>
    <mergeCell ref="H13:I13"/>
    <mergeCell ref="J13:K13"/>
    <mergeCell ref="H9:I9"/>
    <mergeCell ref="H11:I11"/>
    <mergeCell ref="E9:F9"/>
    <mergeCell ref="J9:K9"/>
    <mergeCell ref="E10:F10"/>
    <mergeCell ref="H10:I10"/>
    <mergeCell ref="J11:K11"/>
    <mergeCell ref="B10:D10"/>
    <mergeCell ref="J10:K10"/>
    <mergeCell ref="H21:I21"/>
    <mergeCell ref="E21:G21"/>
    <mergeCell ref="J21:K21"/>
    <mergeCell ref="H100:I100"/>
    <mergeCell ref="J100:K100"/>
    <mergeCell ref="B101:D101"/>
    <mergeCell ref="J122:K122"/>
    <mergeCell ref="B123:D123"/>
    <mergeCell ref="J27:K27"/>
    <mergeCell ref="J28:K28"/>
    <mergeCell ref="J29:K29"/>
    <mergeCell ref="B30:D30"/>
    <mergeCell ref="E30:F30"/>
    <mergeCell ref="H30:I30"/>
    <mergeCell ref="J30:K30"/>
    <mergeCell ref="B31:D31"/>
    <mergeCell ref="E31:F31"/>
    <mergeCell ref="H31:I31"/>
    <mergeCell ref="J31:K31"/>
    <mergeCell ref="J32:K32"/>
    <mergeCell ref="B33:D33"/>
    <mergeCell ref="E33:F33"/>
    <mergeCell ref="B32:D32"/>
    <mergeCell ref="H55:I55"/>
    <mergeCell ref="J5:K5"/>
    <mergeCell ref="J12:K12"/>
    <mergeCell ref="J14:K14"/>
    <mergeCell ref="J15:K15"/>
    <mergeCell ref="J6:K6"/>
    <mergeCell ref="J7:K7"/>
    <mergeCell ref="H8:I8"/>
    <mergeCell ref="E8:F8"/>
    <mergeCell ref="E11:F11"/>
    <mergeCell ref="E12:F12"/>
    <mergeCell ref="H12:I12"/>
    <mergeCell ref="H14:I14"/>
    <mergeCell ref="J8:K8"/>
    <mergeCell ref="B8:D8"/>
    <mergeCell ref="C5:H6"/>
    <mergeCell ref="B20:D20"/>
    <mergeCell ref="E20:G20"/>
    <mergeCell ref="B9:D9"/>
    <mergeCell ref="E17:F17"/>
    <mergeCell ref="B12:D12"/>
    <mergeCell ref="E15:F15"/>
    <mergeCell ref="B11:D11"/>
    <mergeCell ref="B15:D15"/>
    <mergeCell ref="B16:D16"/>
    <mergeCell ref="B14:D14"/>
    <mergeCell ref="E16:F16"/>
    <mergeCell ref="B17:D17"/>
    <mergeCell ref="H17:I17"/>
    <mergeCell ref="C230:M230"/>
    <mergeCell ref="B232:G232"/>
    <mergeCell ref="I232:J232"/>
    <mergeCell ref="I233:J233"/>
    <mergeCell ref="I234:J234"/>
    <mergeCell ref="G235:H235"/>
    <mergeCell ref="C236:F236"/>
    <mergeCell ref="G236:H236"/>
    <mergeCell ref="H15:I15"/>
    <mergeCell ref="H16:I16"/>
    <mergeCell ref="J16:K16"/>
    <mergeCell ref="J131:K131"/>
    <mergeCell ref="B128:D128"/>
    <mergeCell ref="E128:F128"/>
    <mergeCell ref="H128:I128"/>
    <mergeCell ref="E123:F123"/>
    <mergeCell ref="H123:I123"/>
    <mergeCell ref="J123:K123"/>
    <mergeCell ref="J102:K102"/>
    <mergeCell ref="B106:D106"/>
    <mergeCell ref="E106:F106"/>
    <mergeCell ref="H106:I106"/>
    <mergeCell ref="J106:K106"/>
    <mergeCell ref="E105:F105"/>
    <mergeCell ref="B237:F238"/>
    <mergeCell ref="G237:H237"/>
    <mergeCell ref="G238:H238"/>
    <mergeCell ref="A239:B239"/>
    <mergeCell ref="C239:D239"/>
    <mergeCell ref="E239:F239"/>
    <mergeCell ref="G239:H239"/>
    <mergeCell ref="A240:B240"/>
    <mergeCell ref="C240:D240"/>
    <mergeCell ref="A241:F241"/>
    <mergeCell ref="G242:H242"/>
    <mergeCell ref="I242:K242"/>
    <mergeCell ref="B243:C243"/>
    <mergeCell ref="B244:C244"/>
    <mergeCell ref="B245:C245"/>
    <mergeCell ref="B247:C247"/>
    <mergeCell ref="A249:A250"/>
    <mergeCell ref="B249:C249"/>
    <mergeCell ref="J249:J250"/>
    <mergeCell ref="K249:K250"/>
    <mergeCell ref="M249:M250"/>
    <mergeCell ref="B250:C250"/>
    <mergeCell ref="A251:A252"/>
    <mergeCell ref="B251:C251"/>
    <mergeCell ref="J251:J252"/>
    <mergeCell ref="K251:K252"/>
    <mergeCell ref="M251:M252"/>
    <mergeCell ref="B252:C252"/>
    <mergeCell ref="B254:C254"/>
    <mergeCell ref="B255:C255"/>
    <mergeCell ref="I256:K257"/>
    <mergeCell ref="G257:H257"/>
    <mergeCell ref="E260:G260"/>
    <mergeCell ref="H260:I260"/>
    <mergeCell ref="J260:K260"/>
    <mergeCell ref="I245:J245"/>
    <mergeCell ref="B248:C248"/>
    <mergeCell ref="B38:D38"/>
    <mergeCell ref="E38:F38"/>
    <mergeCell ref="H38:I38"/>
    <mergeCell ref="J38:K38"/>
    <mergeCell ref="B39:D39"/>
    <mergeCell ref="E39:F39"/>
    <mergeCell ref="H39:I39"/>
    <mergeCell ref="J39:K39"/>
    <mergeCell ref="E43:G43"/>
    <mergeCell ref="H43:I43"/>
    <mergeCell ref="J43:K43"/>
    <mergeCell ref="B53:D53"/>
    <mergeCell ref="E53:F53"/>
    <mergeCell ref="H53:I53"/>
    <mergeCell ref="J53:K53"/>
    <mergeCell ref="B54:D54"/>
    <mergeCell ref="C47:K47"/>
    <mergeCell ref="C49:H49"/>
    <mergeCell ref="J49:K49"/>
    <mergeCell ref="J50:K50"/>
    <mergeCell ref="J51:K51"/>
    <mergeCell ref="B52:D52"/>
    <mergeCell ref="E52:F52"/>
    <mergeCell ref="H52:I52"/>
    <mergeCell ref="J52:K52"/>
    <mergeCell ref="J55:K55"/>
    <mergeCell ref="B56:D56"/>
    <mergeCell ref="E56:F56"/>
    <mergeCell ref="H56:I56"/>
    <mergeCell ref="J56:K56"/>
    <mergeCell ref="B57:D57"/>
    <mergeCell ref="E57:F57"/>
    <mergeCell ref="H57:I57"/>
    <mergeCell ref="J57:K57"/>
    <mergeCell ref="B64:D64"/>
    <mergeCell ref="E64:G64"/>
    <mergeCell ref="B59:D59"/>
    <mergeCell ref="E59:F59"/>
    <mergeCell ref="H59:I59"/>
    <mergeCell ref="J59:K59"/>
    <mergeCell ref="E65:G65"/>
    <mergeCell ref="H65:I65"/>
    <mergeCell ref="J65:K65"/>
    <mergeCell ref="B58:D58"/>
    <mergeCell ref="E58:F58"/>
    <mergeCell ref="H58:I58"/>
    <mergeCell ref="J58:K58"/>
    <mergeCell ref="B60:D60"/>
    <mergeCell ref="E60:F60"/>
    <mergeCell ref="H60:I60"/>
    <mergeCell ref="J60:K60"/>
    <mergeCell ref="B61:D61"/>
    <mergeCell ref="E61:F61"/>
    <mergeCell ref="H61:I61"/>
    <mergeCell ref="J61:K61"/>
    <mergeCell ref="J94:K94"/>
    <mergeCell ref="J95:K95"/>
    <mergeCell ref="J97:K97"/>
    <mergeCell ref="B98:D98"/>
    <mergeCell ref="E98:F98"/>
    <mergeCell ref="H98:I98"/>
    <mergeCell ref="J98:K98"/>
    <mergeCell ref="B99:D99"/>
    <mergeCell ref="E99:F99"/>
    <mergeCell ref="H99:I99"/>
    <mergeCell ref="J103:K103"/>
    <mergeCell ref="B104:D104"/>
    <mergeCell ref="E125:F125"/>
    <mergeCell ref="H125:I125"/>
    <mergeCell ref="B124:D124"/>
    <mergeCell ref="E124:F124"/>
    <mergeCell ref="J99:K99"/>
    <mergeCell ref="B100:D100"/>
    <mergeCell ref="E100:F100"/>
    <mergeCell ref="B105:D105"/>
    <mergeCell ref="E104:F104"/>
    <mergeCell ref="H104:I104"/>
    <mergeCell ref="J104:K104"/>
    <mergeCell ref="E111:G111"/>
    <mergeCell ref="H111:I111"/>
    <mergeCell ref="J111:K111"/>
    <mergeCell ref="H124:I124"/>
    <mergeCell ref="H109:I109"/>
    <mergeCell ref="E126:F126"/>
    <mergeCell ref="H126:I126"/>
    <mergeCell ref="J126:K126"/>
    <mergeCell ref="B127:D127"/>
    <mergeCell ref="E127:F127"/>
    <mergeCell ref="J127:K127"/>
    <mergeCell ref="H131:I131"/>
    <mergeCell ref="H127:I127"/>
    <mergeCell ref="J130:K130"/>
    <mergeCell ref="B142:G142"/>
    <mergeCell ref="A153:A154"/>
    <mergeCell ref="B153:C153"/>
    <mergeCell ref="J153:J154"/>
    <mergeCell ref="I143:J143"/>
    <mergeCell ref="G144:H144"/>
    <mergeCell ref="C145:F145"/>
    <mergeCell ref="G145:H145"/>
    <mergeCell ref="B146:F147"/>
    <mergeCell ref="G146:H146"/>
    <mergeCell ref="B154:C154"/>
    <mergeCell ref="E226:G226"/>
    <mergeCell ref="H226:I226"/>
    <mergeCell ref="J226:K226"/>
    <mergeCell ref="B213:C213"/>
    <mergeCell ref="B219:C219"/>
    <mergeCell ref="B218:C218"/>
    <mergeCell ref="A149:B149"/>
    <mergeCell ref="A214:A215"/>
    <mergeCell ref="B214:C214"/>
    <mergeCell ref="J214:J215"/>
    <mergeCell ref="K214:K215"/>
    <mergeCell ref="G207:H207"/>
    <mergeCell ref="G208:H208"/>
    <mergeCell ref="A155:A156"/>
    <mergeCell ref="B155:C155"/>
    <mergeCell ref="B215:C215"/>
    <mergeCell ref="A216:A217"/>
    <mergeCell ref="B216:C216"/>
    <mergeCell ref="J216:J217"/>
    <mergeCell ref="K216:K217"/>
    <mergeCell ref="B217:C217"/>
    <mergeCell ref="A209:B209"/>
    <mergeCell ref="C209:D209"/>
    <mergeCell ref="I222:K223"/>
    <mergeCell ref="G223:H223"/>
    <mergeCell ref="G147:H147"/>
    <mergeCell ref="M214:M215"/>
    <mergeCell ref="M216:M217"/>
    <mergeCell ref="E209:F209"/>
    <mergeCell ref="G209:H209"/>
    <mergeCell ref="A210:B210"/>
    <mergeCell ref="C210:D210"/>
    <mergeCell ref="A211:F211"/>
    <mergeCell ref="G212:H212"/>
    <mergeCell ref="I212:K212"/>
    <mergeCell ref="C200:M200"/>
    <mergeCell ref="I204:J204"/>
    <mergeCell ref="G205:H205"/>
    <mergeCell ref="C206:F206"/>
    <mergeCell ref="G206:H206"/>
    <mergeCell ref="B207:F208"/>
    <mergeCell ref="B158:C158"/>
    <mergeCell ref="B159:C159"/>
    <mergeCell ref="B160:C160"/>
    <mergeCell ref="I161:K162"/>
    <mergeCell ref="G162:H162"/>
    <mergeCell ref="E166:G166"/>
    <mergeCell ref="G174:H174"/>
    <mergeCell ref="H41:I41"/>
    <mergeCell ref="H19:I19"/>
    <mergeCell ref="C25:M25"/>
    <mergeCell ref="C94:H96"/>
    <mergeCell ref="B202:G202"/>
    <mergeCell ref="I202:J202"/>
    <mergeCell ref="I203:J203"/>
    <mergeCell ref="B220:C220"/>
    <mergeCell ref="B221:C221"/>
    <mergeCell ref="C92:M92"/>
    <mergeCell ref="H166:I166"/>
    <mergeCell ref="J166:K166"/>
    <mergeCell ref="K153:K154"/>
    <mergeCell ref="M153:M154"/>
    <mergeCell ref="A148:B148"/>
    <mergeCell ref="C148:D148"/>
    <mergeCell ref="E148:F148"/>
    <mergeCell ref="G148:H148"/>
    <mergeCell ref="J96:K96"/>
    <mergeCell ref="C149:D149"/>
    <mergeCell ref="A150:F150"/>
    <mergeCell ref="G151:H151"/>
    <mergeCell ref="I151:K151"/>
    <mergeCell ref="C140:M140"/>
  </mergeCells>
  <dataValidations count="18">
    <dataValidation type="list" allowBlank="1" showInputMessage="1" showErrorMessage="1" sqref="B54:D54" xr:uid="{00000000-0002-0000-0100-000000000000}">
      <formula1>$Q$3:$Q$55</formula1>
    </dataValidation>
    <dataValidation type="list" allowBlank="1" showInputMessage="1" showErrorMessage="1" sqref="B55:D55" xr:uid="{00000000-0002-0000-0100-000001000000}">
      <formula1>$Q$2:$Q$79</formula1>
    </dataValidation>
    <dataValidation type="list" allowBlank="1" showInputMessage="1" showErrorMessage="1" sqref="J94:K94 J71:K71" xr:uid="{00000000-0002-0000-0100-000003000000}">
      <formula1>$P$92:$P$94</formula1>
    </dataValidation>
    <dataValidation type="list" allowBlank="1" showInputMessage="1" showErrorMessage="1" sqref="B99:D99 B76:D76" xr:uid="{00000000-0002-0000-0100-000004000000}">
      <formula1>$U$92:$U$101</formula1>
    </dataValidation>
    <dataValidation type="list" allowBlank="1" showInputMessage="1" showErrorMessage="1" sqref="B104:D104 B81:D81" xr:uid="{00000000-0002-0000-0100-000005000000}">
      <formula1>$W$92:$W$101</formula1>
    </dataValidation>
    <dataValidation type="list" allowBlank="1" showInputMessage="1" showErrorMessage="1" sqref="B35:D35 B58:D58" xr:uid="{00000000-0002-0000-0100-000006000000}">
      <formula1>$U$2:$U$15</formula1>
    </dataValidation>
    <dataValidation type="list" allowBlank="1" showInputMessage="1" showErrorMessage="1" sqref="H103:I103" xr:uid="{00000000-0002-0000-0100-000007000000}">
      <formula1>$R$92:$R$108</formula1>
    </dataValidation>
    <dataValidation type="list" allowBlank="1" showInputMessage="1" showErrorMessage="1" sqref="B77:D80 B100:D101" xr:uid="{00000000-0002-0000-0100-000008000000}">
      <formula1>$Q$2:$Q$109</formula1>
    </dataValidation>
    <dataValidation type="list" allowBlank="1" showInputMessage="1" showErrorMessage="1" sqref="B220:C220 B11:D11 B33:D33 B185:C185" xr:uid="{00000000-0002-0000-0100-000009000000}">
      <formula1>$Q$3:$Q$109</formula1>
    </dataValidation>
    <dataValidation type="list" allowBlank="1" showInputMessage="1" showErrorMessage="1" sqref="B184:C184" xr:uid="{00000000-0002-0000-0100-00000A000000}">
      <formula1>$Q$3:$Q$46</formula1>
    </dataValidation>
    <dataValidation type="list" allowBlank="1" showInputMessage="1" showErrorMessage="1" sqref="B156:C156 B186:C187" xr:uid="{00000000-0002-0000-0100-00000B000000}">
      <formula1>$Q$3:$Q$105</formula1>
    </dataValidation>
    <dataValidation type="list" allowBlank="1" showInputMessage="1" showErrorMessage="1" sqref="B217:C217 B219:C219" xr:uid="{00000000-0002-0000-0100-00000C000000}">
      <formula1>$Q$3:$Q$100</formula1>
    </dataValidation>
    <dataValidation type="list" allowBlank="1" showInputMessage="1" showErrorMessage="1" sqref="B157" xr:uid="{539C0EDC-0C4B-45B6-9487-88F218CCCE2A}">
      <formula1>$Q$3:$Q$99</formula1>
    </dataValidation>
    <dataValidation type="list" allowBlank="1" showInputMessage="1" showErrorMessage="1" sqref="B13:D13 B126:D128 B10:D10 B15:D15 B32:D32" xr:uid="{00000000-0002-0000-0100-000011000000}">
      <formula1>$Q$3:$Q$96</formula1>
    </dataValidation>
    <dataValidation type="list" allowBlank="1" showInputMessage="1" showErrorMessage="1" sqref="B36:D36" xr:uid="{00000000-0002-0000-0100-000012000000}">
      <formula1>$Q$2:$Q$120</formula1>
    </dataValidation>
    <dataValidation type="list" allowBlank="1" showInputMessage="1" showErrorMessage="1" sqref="B106:D106" xr:uid="{5F85B36E-CC91-4BAA-93B1-4749B5FBA46F}">
      <formula1>$Q$2:$Q$112</formula1>
    </dataValidation>
    <dataValidation type="list" allowBlank="1" showInputMessage="1" showErrorMessage="1" sqref="B215:C215 B218:C218" xr:uid="{F0F6649A-C029-4181-AFE8-0C39F6DD6B6A}">
      <formula1>$Q$3:$Q$140</formula1>
    </dataValidation>
    <dataValidation type="list" allowBlank="1" showInputMessage="1" showErrorMessage="1" sqref="B154:C154 B158:C158" xr:uid="{04218A76-0E85-4F38-90A1-847F0FC448DC}">
      <formula1>$Q$3:$Q$120</formula1>
    </dataValidation>
  </dataValidations>
  <printOptions horizontalCentered="1"/>
  <pageMargins left="0.70866141732283472" right="0.51181102362204722" top="0.74803149606299213" bottom="0.74803149606299213" header="0.31496062992125984" footer="0.31496062992125984"/>
  <pageSetup paperSize="9" orientation="portrait" horizontalDpi="200" verticalDpi="200" r:id="rId1"/>
  <headerFooter>
    <oddFooter>&amp;C&amp;A&amp;R&amp;F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51"/>
  <sheetViews>
    <sheetView showGridLines="0" workbookViewId="0">
      <selection activeCell="B4" sqref="B4"/>
    </sheetView>
  </sheetViews>
  <sheetFormatPr defaultColWidth="9.140625" defaultRowHeight="12.75" x14ac:dyDescent="0.2"/>
  <cols>
    <col min="1" max="1" width="3.140625" style="272" customWidth="1"/>
    <col min="2" max="2" width="8.140625" style="272" customWidth="1"/>
    <col min="3" max="4" width="7.7109375" style="272" customWidth="1"/>
    <col min="5" max="8" width="10.28515625" style="272" customWidth="1"/>
    <col min="9" max="9" width="1.5703125" style="272" customWidth="1"/>
    <col min="10" max="10" width="8.5703125" style="272" customWidth="1"/>
    <col min="11" max="11" width="5" style="272" customWidth="1"/>
    <col min="12" max="16384" width="9.140625" style="272"/>
  </cols>
  <sheetData>
    <row r="1" spans="1:11" ht="15.75" x14ac:dyDescent="0.25">
      <c r="H1" s="1198" t="s">
        <v>265</v>
      </c>
      <c r="I1" s="1198"/>
      <c r="J1" s="1198"/>
      <c r="K1" s="1198"/>
    </row>
    <row r="3" spans="1:11" x14ac:dyDescent="0.2">
      <c r="A3" s="287"/>
      <c r="B3" s="273"/>
      <c r="C3" s="273"/>
      <c r="D3" s="273"/>
      <c r="E3" s="273"/>
      <c r="F3" s="273"/>
      <c r="G3" s="273"/>
      <c r="H3" s="273"/>
      <c r="I3" s="273"/>
      <c r="J3" s="273"/>
      <c r="K3" s="274"/>
    </row>
    <row r="4" spans="1:11" ht="21" customHeight="1" x14ac:dyDescent="0.2">
      <c r="A4" s="288"/>
      <c r="B4" s="289" t="s">
        <v>258</v>
      </c>
      <c r="C4" s="1199" t="s">
        <v>275</v>
      </c>
      <c r="D4" s="1200"/>
      <c r="E4" s="1200"/>
      <c r="F4" s="1200"/>
      <c r="G4" s="1200"/>
      <c r="H4" s="1200"/>
      <c r="I4" s="1200"/>
      <c r="J4" s="1201"/>
      <c r="K4" s="275"/>
    </row>
    <row r="5" spans="1:11" x14ac:dyDescent="0.2">
      <c r="A5" s="290"/>
      <c r="B5" s="276"/>
      <c r="C5" s="276"/>
      <c r="D5" s="276"/>
      <c r="E5" s="276"/>
      <c r="F5" s="276"/>
      <c r="G5" s="276"/>
      <c r="H5" s="276"/>
      <c r="I5" s="276"/>
      <c r="J5" s="276"/>
      <c r="K5" s="275"/>
    </row>
    <row r="6" spans="1:11" ht="15" x14ac:dyDescent="0.25">
      <c r="A6" s="290"/>
      <c r="B6" s="1202" t="s">
        <v>278</v>
      </c>
      <c r="C6" s="1202"/>
      <c r="D6" s="1202"/>
      <c r="E6" s="1202"/>
      <c r="F6" s="276" t="s">
        <v>279</v>
      </c>
      <c r="G6" s="1203">
        <v>0.17</v>
      </c>
      <c r="H6" s="1204"/>
      <c r="I6" s="1205"/>
      <c r="J6" s="133"/>
      <c r="K6" s="275"/>
    </row>
    <row r="7" spans="1:11" ht="15" x14ac:dyDescent="0.25">
      <c r="A7" s="290"/>
      <c r="B7" s="276"/>
      <c r="C7" s="276"/>
      <c r="D7" s="276"/>
      <c r="E7" s="276"/>
      <c r="F7" s="276" t="s">
        <v>280</v>
      </c>
      <c r="G7" s="1206">
        <v>0.04</v>
      </c>
      <c r="H7" s="1207"/>
      <c r="I7" s="1208"/>
      <c r="J7" s="133"/>
      <c r="K7" s="275"/>
    </row>
    <row r="8" spans="1:11" x14ac:dyDescent="0.2">
      <c r="A8" s="291"/>
      <c r="B8" s="292"/>
      <c r="C8" s="292"/>
      <c r="D8" s="292"/>
      <c r="E8" s="292"/>
      <c r="F8" s="292"/>
      <c r="G8" s="292"/>
      <c r="H8" s="293"/>
      <c r="I8" s="293"/>
      <c r="J8" s="293"/>
      <c r="K8" s="294"/>
    </row>
    <row r="9" spans="1:11" x14ac:dyDescent="0.2">
      <c r="A9" s="291"/>
      <c r="B9" s="292"/>
      <c r="C9" s="292"/>
      <c r="D9" s="1209" t="s">
        <v>155</v>
      </c>
      <c r="E9" s="1209"/>
      <c r="F9" s="1209"/>
      <c r="G9" s="293" t="s">
        <v>145</v>
      </c>
      <c r="H9" s="295">
        <f>'6.lapa'!M19/1000</f>
        <v>5.0000000000000001E-4</v>
      </c>
      <c r="I9" s="293"/>
      <c r="J9" s="293"/>
      <c r="K9" s="294"/>
    </row>
    <row r="10" spans="1:11" ht="14.25" x14ac:dyDescent="0.2">
      <c r="A10" s="296"/>
      <c r="B10" s="297"/>
      <c r="C10" s="297"/>
      <c r="D10" s="1210" t="s">
        <v>281</v>
      </c>
      <c r="E10" s="1210"/>
      <c r="F10" s="1210"/>
      <c r="G10" s="298" t="s">
        <v>9</v>
      </c>
      <c r="H10" s="299">
        <v>39.299999999999997</v>
      </c>
      <c r="I10" s="298"/>
      <c r="K10" s="275"/>
    </row>
    <row r="11" spans="1:11" x14ac:dyDescent="0.2">
      <c r="A11" s="296"/>
      <c r="B11" s="300"/>
      <c r="C11" s="297"/>
      <c r="D11" s="1210" t="s">
        <v>157</v>
      </c>
      <c r="E11" s="1210"/>
      <c r="F11" s="1210"/>
      <c r="G11" s="301" t="s">
        <v>129</v>
      </c>
      <c r="H11" s="284">
        <v>28.6</v>
      </c>
      <c r="I11" s="301"/>
      <c r="K11" s="275"/>
    </row>
    <row r="12" spans="1:11" x14ac:dyDescent="0.2">
      <c r="A12" s="296"/>
      <c r="B12" s="300"/>
      <c r="C12" s="302"/>
      <c r="D12" s="1211" t="s">
        <v>158</v>
      </c>
      <c r="E12" s="1211"/>
      <c r="F12" s="1211"/>
      <c r="G12" s="301" t="s">
        <v>130</v>
      </c>
      <c r="H12" s="303">
        <f>ROUND(H10/(0.5*H11),2)</f>
        <v>2.75</v>
      </c>
      <c r="I12" s="301"/>
      <c r="K12" s="275"/>
    </row>
    <row r="13" spans="1:11" x14ac:dyDescent="0.2">
      <c r="A13" s="296"/>
      <c r="B13" s="300"/>
      <c r="C13" s="304"/>
      <c r="D13" s="300"/>
      <c r="E13" s="300"/>
      <c r="F13" s="300"/>
      <c r="G13" s="281"/>
      <c r="K13" s="275"/>
    </row>
    <row r="14" spans="1:11" x14ac:dyDescent="0.2">
      <c r="A14" s="296"/>
      <c r="B14" s="1210" t="s">
        <v>133</v>
      </c>
      <c r="C14" s="1210"/>
      <c r="D14" s="1210"/>
      <c r="E14" s="1210"/>
      <c r="F14" s="1210"/>
      <c r="G14" s="285" t="s">
        <v>10</v>
      </c>
      <c r="H14" s="305">
        <v>2</v>
      </c>
      <c r="I14" s="306"/>
      <c r="K14" s="275"/>
    </row>
    <row r="15" spans="1:11" x14ac:dyDescent="0.2">
      <c r="A15" s="279"/>
      <c r="G15" s="1212"/>
      <c r="H15" s="1212"/>
      <c r="I15" s="281"/>
      <c r="K15" s="275"/>
    </row>
    <row r="16" spans="1:11" ht="33" customHeight="1" x14ac:dyDescent="0.2">
      <c r="A16" s="282"/>
      <c r="B16" s="1197" t="s">
        <v>6</v>
      </c>
      <c r="C16" s="1197"/>
      <c r="D16" s="1197"/>
      <c r="E16" s="307" t="s">
        <v>282</v>
      </c>
      <c r="F16" s="307" t="s">
        <v>283</v>
      </c>
      <c r="G16" s="307" t="s">
        <v>284</v>
      </c>
      <c r="H16" s="307" t="s">
        <v>285</v>
      </c>
      <c r="I16" s="307"/>
      <c r="J16" s="307" t="s">
        <v>286</v>
      </c>
      <c r="K16" s="275"/>
    </row>
    <row r="17" spans="1:11" x14ac:dyDescent="0.2">
      <c r="A17" s="308">
        <v>1</v>
      </c>
      <c r="B17" s="1214" t="s">
        <v>223</v>
      </c>
      <c r="C17" s="1214"/>
      <c r="D17" s="1214"/>
      <c r="E17" s="283">
        <v>0.25</v>
      </c>
      <c r="F17" s="283">
        <v>0</v>
      </c>
      <c r="G17" s="277">
        <f t="shared" ref="G17:G23" si="0">E17+F17</f>
        <v>0.25</v>
      </c>
      <c r="H17" s="309">
        <f>ROUND(J17/G17,3)</f>
        <v>0.06</v>
      </c>
      <c r="I17" s="310"/>
      <c r="J17" s="283">
        <v>1.4999999999999999E-2</v>
      </c>
      <c r="K17" s="275"/>
    </row>
    <row r="18" spans="1:11" x14ac:dyDescent="0.2">
      <c r="A18" s="308">
        <v>2</v>
      </c>
      <c r="B18" s="1214" t="s">
        <v>224</v>
      </c>
      <c r="C18" s="1214"/>
      <c r="D18" s="1214"/>
      <c r="E18" s="283">
        <v>2</v>
      </c>
      <c r="F18" s="283">
        <v>0</v>
      </c>
      <c r="G18" s="277">
        <f t="shared" si="0"/>
        <v>2</v>
      </c>
      <c r="H18" s="309">
        <f t="shared" ref="H18:H23" si="1">ROUND(J18/G18,3)</f>
        <v>3.3000000000000002E-2</v>
      </c>
      <c r="I18" s="310"/>
      <c r="J18" s="283">
        <v>6.5000000000000002E-2</v>
      </c>
      <c r="K18" s="311"/>
    </row>
    <row r="19" spans="1:11" x14ac:dyDescent="0.2">
      <c r="A19" s="308">
        <v>3</v>
      </c>
      <c r="B19" s="1214" t="s">
        <v>276</v>
      </c>
      <c r="C19" s="1214"/>
      <c r="D19" s="1214"/>
      <c r="E19" s="283">
        <v>0.25</v>
      </c>
      <c r="F19" s="283">
        <v>1E-3</v>
      </c>
      <c r="G19" s="277">
        <f t="shared" si="0"/>
        <v>0.251</v>
      </c>
      <c r="H19" s="309">
        <f t="shared" si="1"/>
        <v>1.992</v>
      </c>
      <c r="I19" s="310"/>
      <c r="J19" s="283">
        <v>0.5</v>
      </c>
      <c r="K19" s="275"/>
    </row>
    <row r="20" spans="1:11" x14ac:dyDescent="0.2">
      <c r="A20" s="308">
        <v>4</v>
      </c>
      <c r="B20" s="1214" t="s">
        <v>11</v>
      </c>
      <c r="C20" s="1214"/>
      <c r="D20" s="1214"/>
      <c r="E20" s="283">
        <v>2</v>
      </c>
      <c r="F20" s="283">
        <v>0</v>
      </c>
      <c r="G20" s="277">
        <f t="shared" si="0"/>
        <v>2</v>
      </c>
      <c r="H20" s="309">
        <f t="shared" si="1"/>
        <v>0.05</v>
      </c>
      <c r="I20" s="310"/>
      <c r="J20" s="283">
        <v>0.1</v>
      </c>
      <c r="K20" s="275"/>
    </row>
    <row r="21" spans="1:11" hidden="1" x14ac:dyDescent="0.2">
      <c r="A21" s="308">
        <v>5</v>
      </c>
      <c r="B21" s="1214" t="s">
        <v>222</v>
      </c>
      <c r="C21" s="1214"/>
      <c r="D21" s="1214"/>
      <c r="E21" s="283">
        <v>3.3000000000000002E-2</v>
      </c>
      <c r="F21" s="283">
        <v>4.0000000000000001E-3</v>
      </c>
      <c r="G21" s="277">
        <f t="shared" si="0"/>
        <v>3.7000000000000005E-2</v>
      </c>
      <c r="H21" s="309">
        <f t="shared" si="1"/>
        <v>0</v>
      </c>
      <c r="I21" s="310"/>
      <c r="J21" s="283">
        <v>0</v>
      </c>
      <c r="K21" s="275"/>
    </row>
    <row r="22" spans="1:11" hidden="1" x14ac:dyDescent="0.2">
      <c r="A22" s="308">
        <v>6</v>
      </c>
      <c r="B22" s="1215"/>
      <c r="C22" s="1215"/>
      <c r="D22" s="1215"/>
      <c r="E22" s="312">
        <v>1</v>
      </c>
      <c r="F22" s="313">
        <v>0</v>
      </c>
      <c r="G22" s="314">
        <f t="shared" si="0"/>
        <v>1</v>
      </c>
      <c r="H22" s="309">
        <f t="shared" si="1"/>
        <v>0</v>
      </c>
      <c r="I22" s="310"/>
      <c r="J22" s="286"/>
      <c r="K22" s="275"/>
    </row>
    <row r="23" spans="1:11" hidden="1" x14ac:dyDescent="0.2">
      <c r="A23" s="308">
        <v>7</v>
      </c>
      <c r="B23" s="1215"/>
      <c r="C23" s="1215"/>
      <c r="D23" s="1215"/>
      <c r="E23" s="312">
        <v>1</v>
      </c>
      <c r="F23" s="313">
        <v>0</v>
      </c>
      <c r="G23" s="314">
        <f t="shared" si="0"/>
        <v>1</v>
      </c>
      <c r="H23" s="309">
        <f t="shared" si="1"/>
        <v>0</v>
      </c>
      <c r="I23" s="310"/>
      <c r="J23" s="286"/>
      <c r="K23" s="275"/>
    </row>
    <row r="24" spans="1:11" x14ac:dyDescent="0.2">
      <c r="A24" s="282"/>
      <c r="B24" s="1217"/>
      <c r="C24" s="1217"/>
      <c r="D24" s="1217"/>
      <c r="E24" s="1217"/>
      <c r="F24" s="1217"/>
      <c r="G24" s="1217"/>
      <c r="H24" s="281"/>
      <c r="I24" s="281"/>
      <c r="J24" s="278" t="s">
        <v>106</v>
      </c>
      <c r="K24" s="275"/>
    </row>
    <row r="25" spans="1:11" ht="15.75" x14ac:dyDescent="0.2">
      <c r="A25" s="282"/>
      <c r="B25" s="315"/>
      <c r="C25" s="315"/>
      <c r="D25" s="315"/>
      <c r="E25" s="315"/>
      <c r="F25" s="315"/>
      <c r="G25" s="315"/>
      <c r="H25" s="281"/>
      <c r="I25" s="281"/>
      <c r="J25" s="280">
        <f>ROUND(SUM(J17:J23)*1000,0)</f>
        <v>680</v>
      </c>
      <c r="K25" s="275" t="s">
        <v>120</v>
      </c>
    </row>
    <row r="26" spans="1:11" x14ac:dyDescent="0.2">
      <c r="A26" s="282"/>
      <c r="B26" s="315"/>
      <c r="C26" s="315"/>
      <c r="D26" s="315"/>
      <c r="E26" s="315"/>
      <c r="F26" s="315"/>
      <c r="G26" s="315"/>
      <c r="H26" s="281"/>
      <c r="I26" s="281"/>
      <c r="K26" s="275"/>
    </row>
    <row r="27" spans="1:11" ht="14.25" x14ac:dyDescent="0.2">
      <c r="A27" s="1218" t="s">
        <v>287</v>
      </c>
      <c r="B27" s="1211"/>
      <c r="C27" s="1211"/>
      <c r="D27" s="1211"/>
      <c r="E27" s="1211"/>
      <c r="F27" s="1211"/>
      <c r="G27" s="316" t="s">
        <v>288</v>
      </c>
      <c r="H27" s="317">
        <f>SUM(H17:H24)+G6+G7</f>
        <v>2.3449999999999998</v>
      </c>
      <c r="I27" s="281"/>
      <c r="K27" s="311"/>
    </row>
    <row r="28" spans="1:11" ht="14.25" x14ac:dyDescent="0.2">
      <c r="A28" s="282"/>
      <c r="B28" s="1211" t="s">
        <v>160</v>
      </c>
      <c r="C28" s="1211"/>
      <c r="D28" s="1211"/>
      <c r="E28" s="1211"/>
      <c r="F28" s="1211"/>
      <c r="G28" s="285" t="s">
        <v>289</v>
      </c>
      <c r="H28" s="318">
        <f>H9+(H14*H27)</f>
        <v>4.6904999999999992</v>
      </c>
      <c r="I28" s="281"/>
      <c r="K28" s="275"/>
    </row>
    <row r="29" spans="1:11" ht="15" x14ac:dyDescent="0.2">
      <c r="A29" s="282"/>
      <c r="B29" s="1216" t="s">
        <v>290</v>
      </c>
      <c r="C29" s="1216"/>
      <c r="D29" s="1216"/>
      <c r="E29" s="1216"/>
      <c r="F29" s="1216"/>
      <c r="G29" s="285" t="s">
        <v>291</v>
      </c>
      <c r="H29" s="319">
        <f>IF(H12&gt;H28,H14/((0.457*H12)+H28),(2*H14/((3.14*H12)+H28)))*(LN((3.14*H12/H28)+1))</f>
        <v>0.31342622977485585</v>
      </c>
      <c r="I29" s="1213"/>
      <c r="J29" s="1213"/>
      <c r="K29" s="320"/>
    </row>
    <row r="30" spans="1:11" x14ac:dyDescent="0.2">
      <c r="A30" s="282"/>
      <c r="B30" s="321"/>
      <c r="C30" s="321"/>
      <c r="D30" s="321"/>
      <c r="E30" s="321"/>
      <c r="F30" s="321"/>
      <c r="G30" s="285"/>
      <c r="H30" s="322"/>
      <c r="I30" s="323"/>
      <c r="J30" s="323"/>
      <c r="K30" s="320"/>
    </row>
    <row r="31" spans="1:11" hidden="1" x14ac:dyDescent="0.2">
      <c r="A31" s="282"/>
      <c r="B31" s="1219"/>
      <c r="C31" s="1219"/>
      <c r="D31" s="1219"/>
      <c r="E31" s="1219"/>
      <c r="F31" s="1219"/>
      <c r="G31" s="1219"/>
      <c r="H31" s="1219"/>
      <c r="I31" s="323"/>
      <c r="J31" s="323"/>
      <c r="K31" s="320"/>
    </row>
    <row r="32" spans="1:11" ht="15" hidden="1" customHeight="1" x14ac:dyDescent="0.2">
      <c r="A32" s="282"/>
      <c r="B32" s="1216" t="s">
        <v>161</v>
      </c>
      <c r="C32" s="1216"/>
      <c r="D32" s="1216"/>
      <c r="E32" s="1216"/>
      <c r="F32" s="1216"/>
      <c r="G32" s="285" t="s">
        <v>292</v>
      </c>
      <c r="H32" s="324">
        <v>0</v>
      </c>
      <c r="I32" s="323"/>
      <c r="J32" s="323"/>
      <c r="K32" s="320"/>
    </row>
    <row r="33" spans="1:11" ht="14.25" hidden="1" x14ac:dyDescent="0.2">
      <c r="A33" s="282"/>
      <c r="B33" s="1216" t="s">
        <v>163</v>
      </c>
      <c r="C33" s="1216"/>
      <c r="D33" s="1216"/>
      <c r="E33" s="1216"/>
      <c r="F33" s="1216"/>
      <c r="G33" s="285" t="s">
        <v>293</v>
      </c>
      <c r="H33" s="324">
        <v>0</v>
      </c>
      <c r="I33" s="323"/>
      <c r="J33" s="323"/>
      <c r="K33" s="320"/>
    </row>
    <row r="34" spans="1:11" ht="14.25" hidden="1" x14ac:dyDescent="0.2">
      <c r="A34" s="282"/>
      <c r="B34" s="1216" t="s">
        <v>164</v>
      </c>
      <c r="C34" s="1216"/>
      <c r="D34" s="1216"/>
      <c r="E34" s="1216"/>
      <c r="F34" s="1216"/>
      <c r="G34" s="285" t="s">
        <v>294</v>
      </c>
      <c r="H34" s="324">
        <v>2E-3</v>
      </c>
      <c r="I34" s="323"/>
      <c r="J34" s="323"/>
      <c r="K34" s="320"/>
    </row>
    <row r="35" spans="1:11" ht="15" hidden="1" x14ac:dyDescent="0.2">
      <c r="A35" s="282"/>
      <c r="B35" s="1216" t="s">
        <v>295</v>
      </c>
      <c r="C35" s="1216"/>
      <c r="D35" s="1216"/>
      <c r="E35" s="1216"/>
      <c r="F35" s="1216"/>
      <c r="G35" s="285" t="s">
        <v>296</v>
      </c>
      <c r="H35" s="319">
        <f>H32/(H33+H34)</f>
        <v>0</v>
      </c>
      <c r="I35" s="323"/>
      <c r="J35" s="323"/>
      <c r="K35" s="320"/>
    </row>
    <row r="36" spans="1:11" ht="15" hidden="1" x14ac:dyDescent="0.2">
      <c r="A36" s="282"/>
      <c r="B36" s="1216" t="s">
        <v>297</v>
      </c>
      <c r="C36" s="1216"/>
      <c r="D36" s="1216"/>
      <c r="E36" s="1216"/>
      <c r="F36" s="1216"/>
      <c r="G36" s="285" t="s">
        <v>169</v>
      </c>
      <c r="H36" s="319">
        <f>H35-(H32/H14)</f>
        <v>0</v>
      </c>
      <c r="I36" s="323"/>
      <c r="J36" s="323"/>
      <c r="K36" s="320"/>
    </row>
    <row r="37" spans="1:11" hidden="1" x14ac:dyDescent="0.2">
      <c r="A37" s="282"/>
      <c r="B37" s="1216" t="s">
        <v>170</v>
      </c>
      <c r="C37" s="1216"/>
      <c r="D37" s="1216"/>
      <c r="E37" s="1216"/>
      <c r="F37" s="1216"/>
      <c r="G37" s="285" t="s">
        <v>171</v>
      </c>
      <c r="H37" s="319">
        <f>H36*H14</f>
        <v>0</v>
      </c>
      <c r="I37" s="323"/>
      <c r="J37" s="323"/>
      <c r="K37" s="320"/>
    </row>
    <row r="38" spans="1:11" hidden="1" x14ac:dyDescent="0.2">
      <c r="A38" s="282"/>
      <c r="B38" s="1216" t="s">
        <v>173</v>
      </c>
      <c r="C38" s="1216"/>
      <c r="D38" s="1216"/>
      <c r="E38" s="1216"/>
      <c r="F38" s="1216"/>
      <c r="G38" s="285" t="s">
        <v>42</v>
      </c>
      <c r="H38" s="325">
        <v>0</v>
      </c>
      <c r="I38" s="323"/>
      <c r="J38" s="323"/>
      <c r="K38" s="320"/>
    </row>
    <row r="39" spans="1:11" hidden="1" x14ac:dyDescent="0.2">
      <c r="A39" s="282"/>
      <c r="B39" s="1216" t="s">
        <v>176</v>
      </c>
      <c r="C39" s="1216"/>
      <c r="D39" s="1216"/>
      <c r="E39" s="1216"/>
      <c r="F39" s="1216"/>
      <c r="G39" s="285" t="s">
        <v>172</v>
      </c>
      <c r="H39" s="319">
        <f>-H14/3.14*((LN((H38/H28)+1)-LN(((H38/(H28+H37))+1))))</f>
        <v>0</v>
      </c>
      <c r="I39" s="323"/>
      <c r="J39" s="323"/>
      <c r="K39" s="320"/>
    </row>
    <row r="40" spans="1:11" x14ac:dyDescent="0.2">
      <c r="A40" s="282"/>
      <c r="B40" s="321"/>
      <c r="C40" s="321"/>
      <c r="D40" s="321"/>
      <c r="E40" s="321"/>
      <c r="F40" s="321"/>
      <c r="G40" s="285"/>
      <c r="H40" s="322"/>
      <c r="I40" s="323"/>
      <c r="J40" s="323"/>
      <c r="K40" s="320"/>
    </row>
    <row r="41" spans="1:11" ht="14.25" x14ac:dyDescent="0.2">
      <c r="A41" s="282"/>
      <c r="B41" s="1216" t="s">
        <v>161</v>
      </c>
      <c r="C41" s="1216"/>
      <c r="D41" s="1216"/>
      <c r="E41" s="1216"/>
      <c r="F41" s="1216"/>
      <c r="G41" s="285" t="s">
        <v>292</v>
      </c>
      <c r="H41" s="326">
        <v>0.08</v>
      </c>
      <c r="I41" s="323"/>
      <c r="J41" s="323"/>
      <c r="K41" s="320"/>
    </row>
    <row r="42" spans="1:11" ht="14.25" x14ac:dyDescent="0.2">
      <c r="A42" s="282"/>
      <c r="B42" s="1216" t="s">
        <v>163</v>
      </c>
      <c r="C42" s="1216"/>
      <c r="D42" s="1216"/>
      <c r="E42" s="1216"/>
      <c r="F42" s="1216"/>
      <c r="G42" s="285" t="s">
        <v>293</v>
      </c>
      <c r="H42" s="326">
        <v>3.4000000000000002E-2</v>
      </c>
      <c r="I42" s="323"/>
      <c r="J42" s="323"/>
      <c r="K42" s="320"/>
    </row>
    <row r="43" spans="1:11" ht="14.25" x14ac:dyDescent="0.2">
      <c r="A43" s="282"/>
      <c r="B43" s="1216" t="s">
        <v>164</v>
      </c>
      <c r="C43" s="1216"/>
      <c r="D43" s="1216"/>
      <c r="E43" s="1216"/>
      <c r="F43" s="1216"/>
      <c r="G43" s="285" t="s">
        <v>294</v>
      </c>
      <c r="H43" s="326">
        <v>2E-3</v>
      </c>
      <c r="I43" s="323"/>
      <c r="J43" s="323"/>
      <c r="K43" s="320"/>
    </row>
    <row r="44" spans="1:11" ht="15" x14ac:dyDescent="0.2">
      <c r="A44" s="282"/>
      <c r="B44" s="1216" t="s">
        <v>295</v>
      </c>
      <c r="C44" s="1216"/>
      <c r="D44" s="1216"/>
      <c r="E44" s="1216"/>
      <c r="F44" s="1216"/>
      <c r="G44" s="285" t="s">
        <v>296</v>
      </c>
      <c r="H44" s="319">
        <f>H41/(H42+H43)</f>
        <v>2.2222222222222219</v>
      </c>
      <c r="I44" s="323"/>
      <c r="J44" s="323"/>
      <c r="K44" s="320"/>
    </row>
    <row r="45" spans="1:11" ht="15" x14ac:dyDescent="0.2">
      <c r="A45" s="282"/>
      <c r="B45" s="1216" t="s">
        <v>297</v>
      </c>
      <c r="C45" s="1216"/>
      <c r="D45" s="1216"/>
      <c r="E45" s="1216"/>
      <c r="F45" s="1216"/>
      <c r="G45" s="285" t="s">
        <v>169</v>
      </c>
      <c r="H45" s="319">
        <f>H44-(H41/H14)</f>
        <v>2.1822222222222218</v>
      </c>
      <c r="I45" s="323"/>
      <c r="J45" s="323"/>
      <c r="K45" s="320"/>
    </row>
    <row r="46" spans="1:11" x14ac:dyDescent="0.2">
      <c r="A46" s="282"/>
      <c r="B46" s="1216" t="s">
        <v>170</v>
      </c>
      <c r="C46" s="1216"/>
      <c r="D46" s="1216"/>
      <c r="E46" s="1216"/>
      <c r="F46" s="1216"/>
      <c r="G46" s="285" t="s">
        <v>171</v>
      </c>
      <c r="H46" s="319">
        <f>H45*H14</f>
        <v>4.3644444444444437</v>
      </c>
      <c r="I46" s="323"/>
      <c r="J46" s="323"/>
      <c r="K46" s="320"/>
    </row>
    <row r="47" spans="1:11" x14ac:dyDescent="0.2">
      <c r="A47" s="282"/>
      <c r="B47" s="1216" t="s">
        <v>218</v>
      </c>
      <c r="C47" s="1216"/>
      <c r="D47" s="1216"/>
      <c r="E47" s="1216"/>
      <c r="F47" s="1216"/>
      <c r="G47" s="285" t="s">
        <v>42</v>
      </c>
      <c r="H47" s="299">
        <v>1</v>
      </c>
      <c r="I47" s="323"/>
      <c r="J47" s="323"/>
      <c r="K47" s="320"/>
    </row>
    <row r="48" spans="1:11" x14ac:dyDescent="0.2">
      <c r="A48" s="282"/>
      <c r="B48" s="1216" t="s">
        <v>175</v>
      </c>
      <c r="C48" s="1216"/>
      <c r="D48" s="1216"/>
      <c r="E48" s="1216"/>
      <c r="F48" s="1216"/>
      <c r="G48" s="285" t="s">
        <v>172</v>
      </c>
      <c r="H48" s="319">
        <f>-H14/3.14*((LN((2*H47/H28)+1)-LN(((2*H47/(H28+H46))+1))))</f>
        <v>-9.9097191230091614E-2</v>
      </c>
      <c r="I48" s="323"/>
      <c r="J48" s="323"/>
      <c r="K48" s="320"/>
    </row>
    <row r="49" spans="1:11" x14ac:dyDescent="0.2">
      <c r="A49" s="282"/>
      <c r="B49" s="321"/>
      <c r="C49" s="321"/>
      <c r="D49" s="321"/>
      <c r="E49" s="321"/>
      <c r="F49" s="321"/>
      <c r="G49" s="285"/>
      <c r="H49" s="322"/>
      <c r="I49" s="323"/>
      <c r="J49" s="323"/>
      <c r="K49" s="320"/>
    </row>
    <row r="50" spans="1:11" ht="15.75" x14ac:dyDescent="0.2">
      <c r="A50" s="282"/>
      <c r="B50" s="321"/>
      <c r="C50" s="321"/>
      <c r="D50" s="321"/>
      <c r="E50" s="321"/>
      <c r="F50" s="321"/>
      <c r="G50" s="327" t="s">
        <v>93</v>
      </c>
      <c r="H50" s="328">
        <f>IF(H48&lt;H39,H29+((2*H48)/H12),H29+((2*H39)/H12))</f>
        <v>0.24135554524388014</v>
      </c>
      <c r="I50" s="1220" t="s">
        <v>298</v>
      </c>
      <c r="J50" s="1221"/>
      <c r="K50" s="320"/>
    </row>
    <row r="51" spans="1:11" x14ac:dyDescent="0.2">
      <c r="A51" s="329"/>
      <c r="B51" s="330"/>
      <c r="C51" s="330"/>
      <c r="D51" s="330"/>
      <c r="E51" s="330"/>
      <c r="F51" s="330"/>
      <c r="G51" s="331"/>
      <c r="H51" s="332"/>
      <c r="I51" s="333"/>
      <c r="J51" s="333"/>
      <c r="K51" s="334"/>
    </row>
  </sheetData>
  <mergeCells count="42">
    <mergeCell ref="I50:J50"/>
    <mergeCell ref="B37:F37"/>
    <mergeCell ref="B38:F38"/>
    <mergeCell ref="B39:F39"/>
    <mergeCell ref="B41:F41"/>
    <mergeCell ref="B42:F42"/>
    <mergeCell ref="B43:F43"/>
    <mergeCell ref="B44:F44"/>
    <mergeCell ref="B45:F45"/>
    <mergeCell ref="B46:F46"/>
    <mergeCell ref="B47:F47"/>
    <mergeCell ref="B48:F48"/>
    <mergeCell ref="B36:F36"/>
    <mergeCell ref="B23:D23"/>
    <mergeCell ref="B24:G24"/>
    <mergeCell ref="A27:F27"/>
    <mergeCell ref="B28:F28"/>
    <mergeCell ref="B29:F29"/>
    <mergeCell ref="B31:H31"/>
    <mergeCell ref="B32:F32"/>
    <mergeCell ref="B33:F33"/>
    <mergeCell ref="B34:F34"/>
    <mergeCell ref="B35:F35"/>
    <mergeCell ref="I29:J29"/>
    <mergeCell ref="B17:D17"/>
    <mergeCell ref="B18:D18"/>
    <mergeCell ref="B19:D19"/>
    <mergeCell ref="B20:D20"/>
    <mergeCell ref="B21:D21"/>
    <mergeCell ref="B22:D22"/>
    <mergeCell ref="B16:D16"/>
    <mergeCell ref="H1:K1"/>
    <mergeCell ref="C4:J4"/>
    <mergeCell ref="B6:E6"/>
    <mergeCell ref="G6:I6"/>
    <mergeCell ref="G7:I7"/>
    <mergeCell ref="D9:F9"/>
    <mergeCell ref="D10:F10"/>
    <mergeCell ref="D11:F11"/>
    <mergeCell ref="D12:F12"/>
    <mergeCell ref="B14:F14"/>
    <mergeCell ref="G15:H15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38"/>
  <sheetViews>
    <sheetView showGridLines="0" workbookViewId="0">
      <selection activeCell="P4" sqref="P4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6384" width="9.140625" style="2"/>
  </cols>
  <sheetData>
    <row r="1" spans="1:21" ht="20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1.75" customHeight="1" x14ac:dyDescent="0.2">
      <c r="A3" s="354"/>
      <c r="B3" s="355"/>
      <c r="C3" s="340" t="s">
        <v>267</v>
      </c>
      <c r="D3" s="1158" t="s">
        <v>372</v>
      </c>
      <c r="E3" s="868"/>
      <c r="F3" s="868"/>
      <c r="G3" s="868"/>
      <c r="H3" s="868"/>
      <c r="I3" s="868"/>
      <c r="J3" s="868"/>
      <c r="K3" s="868"/>
      <c r="L3" s="869"/>
      <c r="P3" s="83"/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</row>
    <row r="5" spans="1:21" ht="15" x14ac:dyDescent="0.25">
      <c r="A5" s="354"/>
      <c r="B5" s="355"/>
      <c r="C5" s="341"/>
      <c r="D5" s="942" t="s">
        <v>307</v>
      </c>
      <c r="E5" s="942"/>
      <c r="F5" s="942"/>
      <c r="G5" s="942"/>
      <c r="H5" s="942"/>
      <c r="I5" s="942"/>
      <c r="J5" s="357" t="s">
        <v>308</v>
      </c>
      <c r="K5" s="1182">
        <v>0.13</v>
      </c>
      <c r="L5" s="1183"/>
      <c r="M5" s="358"/>
      <c r="P5" s="83"/>
    </row>
    <row r="6" spans="1:21" ht="15" x14ac:dyDescent="0.25">
      <c r="A6" s="354"/>
      <c r="B6" s="355"/>
      <c r="C6" s="341"/>
      <c r="D6" s="341"/>
      <c r="E6" s="341"/>
      <c r="F6" s="341"/>
      <c r="G6" s="341"/>
      <c r="H6" s="341"/>
      <c r="I6" s="341"/>
      <c r="J6" s="357" t="s">
        <v>309</v>
      </c>
      <c r="K6" s="1184">
        <v>0.04</v>
      </c>
      <c r="L6" s="1185"/>
      <c r="P6" s="83"/>
    </row>
    <row r="7" spans="1:21" ht="14.25" hidden="1" customHeight="1" x14ac:dyDescent="0.2">
      <c r="A7" s="354"/>
      <c r="B7" s="355"/>
      <c r="C7" s="341"/>
      <c r="D7" s="341"/>
      <c r="E7" s="341"/>
      <c r="F7" s="341"/>
      <c r="G7" s="341"/>
      <c r="H7" s="341"/>
      <c r="I7" s="341"/>
      <c r="J7" s="357" t="s">
        <v>310</v>
      </c>
      <c r="K7" s="1184">
        <v>0</v>
      </c>
      <c r="L7" s="1222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</row>
    <row r="9" spans="1:21" ht="9.75" customHeight="1" x14ac:dyDescent="0.25">
      <c r="A9" s="354"/>
      <c r="B9" s="355"/>
      <c r="C9" s="341"/>
      <c r="D9" s="341"/>
      <c r="E9" s="341"/>
      <c r="F9" s="341"/>
      <c r="G9" s="1181" t="s">
        <v>112</v>
      </c>
      <c r="H9" s="1181"/>
      <c r="I9" s="1181" t="s">
        <v>113</v>
      </c>
      <c r="J9" s="1181"/>
      <c r="K9" s="341"/>
      <c r="L9" s="359"/>
      <c r="P9" s="83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1177"/>
      <c r="G10" s="1179">
        <v>0.6</v>
      </c>
      <c r="H10" s="1179"/>
      <c r="I10" s="1179">
        <v>0.6</v>
      </c>
      <c r="J10" s="1179"/>
      <c r="K10" s="341"/>
      <c r="L10" s="359"/>
      <c r="P10" s="83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1180"/>
      <c r="G11" s="1223">
        <v>0.52500000000000002</v>
      </c>
      <c r="H11" s="1223"/>
      <c r="I11" s="1223">
        <v>0.55000000000000004</v>
      </c>
      <c r="J11" s="1223"/>
      <c r="K11" s="341"/>
      <c r="L11" s="359"/>
      <c r="P11" s="83"/>
    </row>
    <row r="12" spans="1:21" ht="15" x14ac:dyDescent="0.25">
      <c r="A12" s="354"/>
      <c r="B12" s="355"/>
      <c r="C12" s="891"/>
      <c r="D12" s="891"/>
      <c r="E12" s="891"/>
      <c r="F12" s="1180"/>
      <c r="G12" s="1223">
        <v>7.4999999999999997E-2</v>
      </c>
      <c r="H12" s="1223"/>
      <c r="I12" s="1223">
        <v>0.05</v>
      </c>
      <c r="J12" s="1223"/>
      <c r="K12" s="341"/>
      <c r="L12" s="359"/>
      <c r="P12" s="83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</row>
    <row r="14" spans="1:21" ht="14.25" customHeight="1" x14ac:dyDescent="0.2">
      <c r="A14" s="890"/>
      <c r="B14" s="891"/>
      <c r="C14" s="883"/>
      <c r="D14" s="883"/>
      <c r="E14" s="361"/>
      <c r="F14" s="362"/>
      <c r="G14" s="342" t="s">
        <v>0</v>
      </c>
      <c r="H14" s="342" t="s">
        <v>1</v>
      </c>
      <c r="I14" s="342" t="s">
        <v>2</v>
      </c>
      <c r="J14" s="342" t="s">
        <v>3</v>
      </c>
      <c r="K14" s="363"/>
      <c r="L14" s="364"/>
      <c r="M14" s="364"/>
      <c r="P14" s="83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1172"/>
      <c r="G15" s="365">
        <f>(G11*I11)/(G10*I10)</f>
        <v>0.80208333333333348</v>
      </c>
      <c r="H15" s="365">
        <f>(G11*I12)/(G10*I10)</f>
        <v>7.2916666666666671E-2</v>
      </c>
      <c r="I15" s="365">
        <f>(G12*I11)/(G10*I10)</f>
        <v>0.11458333333333334</v>
      </c>
      <c r="J15" s="365">
        <f>(G12*I12)/(G10*I10)</f>
        <v>1.0416666666666666E-2</v>
      </c>
      <c r="K15" s="366"/>
      <c r="L15" s="364"/>
      <c r="M15" s="364"/>
      <c r="P15" s="83"/>
    </row>
    <row r="16" spans="1:21" ht="14.25" customHeight="1" x14ac:dyDescent="0.2">
      <c r="A16" s="367"/>
      <c r="B16" s="368"/>
      <c r="C16" s="368"/>
      <c r="D16" s="368"/>
      <c r="E16" s="368"/>
      <c r="F16" s="368"/>
      <c r="G16" s="1173" t="s">
        <v>313</v>
      </c>
      <c r="H16" s="1173"/>
      <c r="I16" s="1173"/>
      <c r="J16" s="1173"/>
      <c r="K16" s="1174" t="s">
        <v>314</v>
      </c>
      <c r="L16" s="1174"/>
      <c r="M16" s="1174"/>
      <c r="P16" s="83"/>
      <c r="U16" s="2">
        <v>0</v>
      </c>
    </row>
    <row r="17" spans="1:16" ht="25.5" x14ac:dyDescent="0.2">
      <c r="A17" s="369"/>
      <c r="B17" s="1175" t="s">
        <v>6</v>
      </c>
      <c r="C17" s="1176"/>
      <c r="D17" s="370" t="s">
        <v>315</v>
      </c>
      <c r="E17" s="370" t="s">
        <v>303</v>
      </c>
      <c r="F17" s="371" t="s">
        <v>316</v>
      </c>
      <c r="G17" s="370" t="s">
        <v>317</v>
      </c>
      <c r="H17" s="370" t="s">
        <v>318</v>
      </c>
      <c r="I17" s="370" t="s">
        <v>319</v>
      </c>
      <c r="J17" s="370" t="s">
        <v>320</v>
      </c>
      <c r="K17" s="342" t="s">
        <v>4</v>
      </c>
      <c r="L17" s="370" t="s">
        <v>119</v>
      </c>
      <c r="M17" s="370" t="s">
        <v>321</v>
      </c>
      <c r="O17" s="370" t="s">
        <v>322</v>
      </c>
      <c r="P17" s="83"/>
    </row>
    <row r="18" spans="1:16" hidden="1" x14ac:dyDescent="0.2">
      <c r="A18" s="1163"/>
      <c r="B18" s="1164" t="s">
        <v>277</v>
      </c>
      <c r="C18" s="1165"/>
      <c r="D18" s="345">
        <v>0.23</v>
      </c>
      <c r="E18" s="345">
        <v>0</v>
      </c>
      <c r="F18" s="373">
        <f>D18+E18</f>
        <v>0.23</v>
      </c>
      <c r="G18" s="374">
        <f>$O$18/$F$18</f>
        <v>0</v>
      </c>
      <c r="H18" s="374">
        <f>$O$18/$F$18</f>
        <v>0</v>
      </c>
      <c r="I18" s="374">
        <f>$O$18/$F$18</f>
        <v>0</v>
      </c>
      <c r="J18" s="374">
        <f>$O$18/$F$18</f>
        <v>0</v>
      </c>
      <c r="K18" s="375"/>
      <c r="L18" s="375">
        <f>F18</f>
        <v>0.23</v>
      </c>
      <c r="M18" s="375">
        <f>O18/L18</f>
        <v>0</v>
      </c>
      <c r="O18" s="372"/>
      <c r="P18" s="83"/>
    </row>
    <row r="19" spans="1:16" hidden="1" x14ac:dyDescent="0.2">
      <c r="A19" s="1163"/>
      <c r="B19" s="1164" t="s">
        <v>124</v>
      </c>
      <c r="C19" s="1165"/>
      <c r="D19" s="345"/>
      <c r="E19" s="345"/>
      <c r="F19" s="376"/>
      <c r="G19" s="374"/>
      <c r="H19" s="374"/>
      <c r="I19" s="374"/>
      <c r="J19" s="374"/>
      <c r="K19" s="375"/>
      <c r="L19" s="375"/>
      <c r="M19" s="375">
        <v>0</v>
      </c>
      <c r="O19" s="372"/>
      <c r="P19" s="83"/>
    </row>
    <row r="20" spans="1:16" hidden="1" x14ac:dyDescent="0.2">
      <c r="A20" s="1163"/>
      <c r="B20" s="1164" t="s">
        <v>123</v>
      </c>
      <c r="C20" s="1165"/>
      <c r="D20" s="345">
        <v>0.15</v>
      </c>
      <c r="E20" s="345">
        <v>0</v>
      </c>
      <c r="F20" s="373">
        <f t="shared" ref="F20:F31" si="0">D20+E20</f>
        <v>0.15</v>
      </c>
      <c r="G20" s="374"/>
      <c r="H20" s="374"/>
      <c r="I20" s="374">
        <f>O20/F20</f>
        <v>0</v>
      </c>
      <c r="J20" s="374">
        <f>O20/F20</f>
        <v>0</v>
      </c>
      <c r="K20" s="374">
        <f>(I12*I10*2)/(I10*I10*2)</f>
        <v>8.3333333333333329E-2</v>
      </c>
      <c r="L20" s="1169">
        <f>ROUND((K20*F20)+(K21*F21),3)</f>
        <v>4.4999999999999998E-2</v>
      </c>
      <c r="M20" s="1169">
        <f>O20/L20</f>
        <v>0</v>
      </c>
      <c r="O20" s="1170"/>
      <c r="P20" s="83"/>
    </row>
    <row r="21" spans="1:16" hidden="1" x14ac:dyDescent="0.2">
      <c r="A21" s="1163"/>
      <c r="B21" s="1164" t="s">
        <v>243</v>
      </c>
      <c r="C21" s="1165"/>
      <c r="D21" s="345">
        <v>3.3000000000000002E-2</v>
      </c>
      <c r="E21" s="345">
        <v>2E-3</v>
      </c>
      <c r="F21" s="373">
        <f t="shared" si="0"/>
        <v>3.5000000000000003E-2</v>
      </c>
      <c r="G21" s="374">
        <f>O20/F21</f>
        <v>0</v>
      </c>
      <c r="H21" s="374">
        <f>O20/F21</f>
        <v>0</v>
      </c>
      <c r="I21" s="374"/>
      <c r="J21" s="374"/>
      <c r="K21" s="374">
        <f>(I11*I10*2)/(I10*I10*2)</f>
        <v>0.91666666666666674</v>
      </c>
      <c r="L21" s="1169"/>
      <c r="M21" s="1169"/>
      <c r="O21" s="1171"/>
      <c r="P21" s="83"/>
    </row>
    <row r="22" spans="1:16" x14ac:dyDescent="0.2">
      <c r="A22" s="1163"/>
      <c r="B22" s="1164" t="s">
        <v>7</v>
      </c>
      <c r="C22" s="1165"/>
      <c r="D22" s="345">
        <v>0.15</v>
      </c>
      <c r="E22" s="345">
        <v>0</v>
      </c>
      <c r="F22" s="373">
        <f t="shared" si="0"/>
        <v>0.15</v>
      </c>
      <c r="G22" s="374"/>
      <c r="H22" s="374"/>
      <c r="I22" s="374">
        <f>O22/F22</f>
        <v>1</v>
      </c>
      <c r="J22" s="374">
        <f>O22/F22</f>
        <v>1</v>
      </c>
      <c r="K22" s="374">
        <f>(I12*G10*2)/(I10*G10*2)</f>
        <v>8.3333333333333329E-2</v>
      </c>
      <c r="L22" s="1169">
        <f>ROUND((K22*F22)+(K23*F23),3)</f>
        <v>4.7E-2</v>
      </c>
      <c r="M22" s="1169">
        <f>ROUND(O22/L22,3)</f>
        <v>3.1909999999999998</v>
      </c>
      <c r="O22" s="1170">
        <v>0.15</v>
      </c>
      <c r="P22" s="83"/>
    </row>
    <row r="23" spans="1:16" x14ac:dyDescent="0.2">
      <c r="A23" s="1163"/>
      <c r="B23" s="1164" t="s">
        <v>262</v>
      </c>
      <c r="C23" s="1165"/>
      <c r="D23" s="345">
        <v>3.5999999999999997E-2</v>
      </c>
      <c r="E23" s="345">
        <v>2E-3</v>
      </c>
      <c r="F23" s="373">
        <f t="shared" si="0"/>
        <v>3.7999999999999999E-2</v>
      </c>
      <c r="G23" s="374">
        <f>O22/F23</f>
        <v>3.9473684210526314</v>
      </c>
      <c r="H23" s="374">
        <f>O22/F23</f>
        <v>3.9473684210526314</v>
      </c>
      <c r="I23" s="374"/>
      <c r="J23" s="374"/>
      <c r="K23" s="374">
        <f>(I11*G10*2)/(I10*G10*2)</f>
        <v>0.91666666666666674</v>
      </c>
      <c r="L23" s="1169"/>
      <c r="M23" s="1169"/>
      <c r="O23" s="1171"/>
      <c r="P23" s="83"/>
    </row>
    <row r="24" spans="1:16" x14ac:dyDescent="0.2">
      <c r="A24" s="1163"/>
      <c r="B24" s="1164" t="s">
        <v>7</v>
      </c>
      <c r="C24" s="1165"/>
      <c r="D24" s="345">
        <v>0.15</v>
      </c>
      <c r="E24" s="345">
        <v>0</v>
      </c>
      <c r="F24" s="373">
        <f t="shared" si="0"/>
        <v>0.15</v>
      </c>
      <c r="G24" s="374"/>
      <c r="H24" s="374">
        <f>O24/F24</f>
        <v>0.33333333333333337</v>
      </c>
      <c r="I24" s="374"/>
      <c r="J24" s="374">
        <f>$O$24/$F$24</f>
        <v>0.33333333333333337</v>
      </c>
      <c r="K24" s="374">
        <f>(G12*G10*2)/(G10*G10*2)</f>
        <v>0.125</v>
      </c>
      <c r="L24" s="1169">
        <f>ROUND((K24*F24)+(K25*F25),3)</f>
        <v>5.1999999999999998E-2</v>
      </c>
      <c r="M24" s="1169">
        <f>ROUND(O24/L24,3)</f>
        <v>0.96199999999999997</v>
      </c>
      <c r="O24" s="1170">
        <v>0.05</v>
      </c>
      <c r="P24" s="83"/>
    </row>
    <row r="25" spans="1:16" x14ac:dyDescent="0.2">
      <c r="A25" s="1163"/>
      <c r="B25" s="1164" t="s">
        <v>262</v>
      </c>
      <c r="C25" s="1165"/>
      <c r="D25" s="345">
        <v>3.5999999999999997E-2</v>
      </c>
      <c r="E25" s="345">
        <v>2E-3</v>
      </c>
      <c r="F25" s="373">
        <f t="shared" si="0"/>
        <v>3.7999999999999999E-2</v>
      </c>
      <c r="G25" s="374">
        <f>O24/F25</f>
        <v>1.3157894736842106</v>
      </c>
      <c r="H25" s="374"/>
      <c r="I25" s="374">
        <f>O24/F25</f>
        <v>1.3157894736842106</v>
      </c>
      <c r="J25" s="374"/>
      <c r="K25" s="374">
        <f>(G11*G10*2)/(G10*G10*2)</f>
        <v>0.875</v>
      </c>
      <c r="L25" s="1169"/>
      <c r="M25" s="1169"/>
      <c r="O25" s="1171"/>
      <c r="P25" s="83"/>
    </row>
    <row r="26" spans="1:16" x14ac:dyDescent="0.2">
      <c r="A26" s="1163"/>
      <c r="B26" s="1164" t="s">
        <v>262</v>
      </c>
      <c r="C26" s="1165"/>
      <c r="D26" s="345">
        <v>3.5999999999999997E-2</v>
      </c>
      <c r="E26" s="345">
        <v>2E-3</v>
      </c>
      <c r="F26" s="373">
        <f t="shared" si="0"/>
        <v>3.7999999999999999E-2</v>
      </c>
      <c r="G26" s="374">
        <f>$O$26/$F$26</f>
        <v>1.3157894736842106</v>
      </c>
      <c r="H26" s="374">
        <f>$O$26/$F$26</f>
        <v>1.3157894736842106</v>
      </c>
      <c r="I26" s="374">
        <f>$O$26/$F$26</f>
        <v>1.3157894736842106</v>
      </c>
      <c r="J26" s="374">
        <f>$O$26/$F$26</f>
        <v>1.3157894736842106</v>
      </c>
      <c r="K26" s="374"/>
      <c r="L26" s="1169">
        <f>F26</f>
        <v>3.7999999999999999E-2</v>
      </c>
      <c r="M26" s="1187">
        <f>ROUND((O26/L26),3)</f>
        <v>1.3160000000000001</v>
      </c>
      <c r="O26" s="345">
        <v>0.05</v>
      </c>
      <c r="P26" s="83"/>
    </row>
    <row r="27" spans="1:16" hidden="1" x14ac:dyDescent="0.2">
      <c r="A27" s="1163"/>
      <c r="B27" s="1164"/>
      <c r="C27" s="1165"/>
      <c r="D27" s="345">
        <v>1</v>
      </c>
      <c r="E27" s="345">
        <v>0</v>
      </c>
      <c r="F27" s="373">
        <f t="shared" si="0"/>
        <v>1</v>
      </c>
      <c r="G27" s="374">
        <f>$O$27/$F$27</f>
        <v>0</v>
      </c>
      <c r="H27" s="374">
        <f>$O$27/$F$27</f>
        <v>0</v>
      </c>
      <c r="I27" s="374">
        <f>$O$27/$F$27</f>
        <v>0</v>
      </c>
      <c r="J27" s="374">
        <f>$O$27/$F$27</f>
        <v>0</v>
      </c>
      <c r="K27" s="375"/>
      <c r="L27" s="1169"/>
      <c r="M27" s="1188"/>
      <c r="O27" s="372"/>
      <c r="P27" s="83"/>
    </row>
    <row r="28" spans="1:16" x14ac:dyDescent="0.2">
      <c r="A28" s="1163"/>
      <c r="B28" s="1164" t="s">
        <v>368</v>
      </c>
      <c r="C28" s="1165"/>
      <c r="D28" s="345">
        <v>0.23</v>
      </c>
      <c r="E28" s="345">
        <v>0</v>
      </c>
      <c r="F28" s="373">
        <f t="shared" si="0"/>
        <v>0.23</v>
      </c>
      <c r="G28" s="374">
        <f>$O$28/$F$28</f>
        <v>0.10869565217391304</v>
      </c>
      <c r="H28" s="374">
        <f>$O$28/$F$28</f>
        <v>0.10869565217391304</v>
      </c>
      <c r="I28" s="374">
        <f>$O$28/$F$28</f>
        <v>0.10869565217391304</v>
      </c>
      <c r="J28" s="374">
        <f>$O$28/$F$28</f>
        <v>0.10869565217391304</v>
      </c>
      <c r="K28" s="375"/>
      <c r="L28" s="375">
        <f>F28</f>
        <v>0.23</v>
      </c>
      <c r="M28" s="1189">
        <f>ROUND(O28/L28,3)</f>
        <v>0.109</v>
      </c>
      <c r="O28" s="372">
        <v>2.5000000000000001E-2</v>
      </c>
      <c r="P28" s="83"/>
    </row>
    <row r="29" spans="1:16" hidden="1" x14ac:dyDescent="0.2">
      <c r="A29" s="1163"/>
      <c r="B29" s="1164"/>
      <c r="C29" s="1165"/>
      <c r="D29" s="345">
        <v>1</v>
      </c>
      <c r="E29" s="345">
        <v>0</v>
      </c>
      <c r="F29" s="373">
        <f t="shared" si="0"/>
        <v>1</v>
      </c>
      <c r="G29" s="374">
        <f>$O$29/$F$29</f>
        <v>0</v>
      </c>
      <c r="H29" s="374">
        <f>$O$29/$F$29</f>
        <v>0</v>
      </c>
      <c r="I29" s="374">
        <f>$O$29/$F$29</f>
        <v>0</v>
      </c>
      <c r="J29" s="374">
        <f>$O$29/$F$29</f>
        <v>0</v>
      </c>
      <c r="K29" s="375"/>
      <c r="L29" s="375">
        <v>1</v>
      </c>
      <c r="M29" s="1190"/>
      <c r="O29" s="372"/>
      <c r="P29" s="83"/>
    </row>
    <row r="30" spans="1:16" hidden="1" x14ac:dyDescent="0.2">
      <c r="A30" s="1163"/>
      <c r="B30" s="1164"/>
      <c r="C30" s="1165"/>
      <c r="D30" s="345">
        <v>1</v>
      </c>
      <c r="E30" s="345">
        <v>0</v>
      </c>
      <c r="F30" s="373">
        <f t="shared" si="0"/>
        <v>1</v>
      </c>
      <c r="G30" s="374">
        <f>$O$30/$F$30</f>
        <v>0</v>
      </c>
      <c r="H30" s="374">
        <f>$O$30/$F$30</f>
        <v>0</v>
      </c>
      <c r="I30" s="374">
        <f>$O$30/$F$30</f>
        <v>0</v>
      </c>
      <c r="J30" s="374">
        <f>$O$30/$F$30</f>
        <v>0</v>
      </c>
      <c r="K30" s="375"/>
      <c r="L30" s="375">
        <v>1</v>
      </c>
      <c r="M30" s="1189">
        <f>O30/L30</f>
        <v>0</v>
      </c>
      <c r="O30" s="372"/>
      <c r="P30" s="83"/>
    </row>
    <row r="31" spans="1:16" hidden="1" x14ac:dyDescent="0.2">
      <c r="A31" s="1163"/>
      <c r="B31" s="1164"/>
      <c r="C31" s="1165"/>
      <c r="D31" s="345">
        <v>1</v>
      </c>
      <c r="E31" s="345">
        <v>0</v>
      </c>
      <c r="F31" s="373">
        <f t="shared" si="0"/>
        <v>1</v>
      </c>
      <c r="G31" s="374">
        <f>$O$31/$F$31</f>
        <v>0</v>
      </c>
      <c r="H31" s="374">
        <f>$O$31/$F$31</f>
        <v>0</v>
      </c>
      <c r="I31" s="374">
        <f>$O$31/$F$31</f>
        <v>0</v>
      </c>
      <c r="J31" s="374">
        <f>$O$31/$F$31</f>
        <v>0</v>
      </c>
      <c r="K31" s="375"/>
      <c r="L31" s="375">
        <v>1</v>
      </c>
      <c r="M31" s="1190"/>
      <c r="O31" s="372"/>
      <c r="P31" s="83"/>
    </row>
    <row r="32" spans="1:16" x14ac:dyDescent="0.2">
      <c r="A32" s="86"/>
      <c r="F32" s="349"/>
      <c r="G32" s="374">
        <f>SUM(G18:G31)+$K$5+$K$6+$K$7</f>
        <v>6.8576430205949661</v>
      </c>
      <c r="H32" s="374">
        <f>SUM(H18:H31)+$K$5+$K$6+$K$7</f>
        <v>5.8751868802440885</v>
      </c>
      <c r="I32" s="374">
        <f>SUM(I18:I31)+$K$5+$K$6+$K$7</f>
        <v>3.9102745995423343</v>
      </c>
      <c r="J32" s="374">
        <f>SUM(J18:J31)+$K$5+$K$6+$K$7</f>
        <v>2.9278184591914571</v>
      </c>
      <c r="K32" s="1166"/>
      <c r="L32" s="1167"/>
      <c r="M32" s="1168"/>
      <c r="P32" s="83"/>
    </row>
    <row r="33" spans="1:16" x14ac:dyDescent="0.2">
      <c r="A33" s="86"/>
      <c r="C33" s="343"/>
      <c r="D33" s="377"/>
      <c r="E33" s="377"/>
      <c r="F33" s="377"/>
      <c r="G33" s="1191">
        <f>ROUND(1/((G15/G32)+(H15/H32)+(I15/I32)+(J15/J32)),3)</f>
        <v>6.1639999999999997</v>
      </c>
      <c r="H33" s="1192"/>
      <c r="I33" s="1192"/>
      <c r="J33" s="1193"/>
      <c r="K33" s="1194">
        <f>SUM(M18:M31)+K5+K6+K7</f>
        <v>5.7479999999999993</v>
      </c>
      <c r="L33" s="1195"/>
      <c r="M33" s="1196"/>
      <c r="P33" s="83"/>
    </row>
    <row r="34" spans="1:16" ht="15.75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</row>
    <row r="35" spans="1:16" ht="15.75" x14ac:dyDescent="0.2">
      <c r="A35" s="86"/>
      <c r="O35" s="381">
        <f>SUM(O18:O31)*1000</f>
        <v>275</v>
      </c>
      <c r="P35" s="382" t="s">
        <v>120</v>
      </c>
    </row>
    <row r="36" spans="1:16" x14ac:dyDescent="0.2">
      <c r="A36" s="86"/>
      <c r="P36" s="83"/>
    </row>
    <row r="37" spans="1:16" ht="15.75" x14ac:dyDescent="0.2">
      <c r="A37" s="86"/>
      <c r="F37" s="902" t="s">
        <v>93</v>
      </c>
      <c r="G37" s="902"/>
      <c r="H37" s="902"/>
      <c r="I37" s="1224">
        <f>ROUND(1/((G33+K33)/2),3)</f>
        <v>0.16800000000000001</v>
      </c>
      <c r="J37" s="1225"/>
      <c r="K37" s="905" t="s">
        <v>306</v>
      </c>
      <c r="L37" s="906"/>
      <c r="P37" s="83"/>
    </row>
    <row r="38" spans="1:16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</row>
  </sheetData>
  <mergeCells count="66">
    <mergeCell ref="F37:H37"/>
    <mergeCell ref="I37:J37"/>
    <mergeCell ref="K37:L37"/>
    <mergeCell ref="A30:A31"/>
    <mergeCell ref="B30:C30"/>
    <mergeCell ref="M30:M31"/>
    <mergeCell ref="B31:C31"/>
    <mergeCell ref="K32:M32"/>
    <mergeCell ref="G33:J33"/>
    <mergeCell ref="K33:M33"/>
    <mergeCell ref="A28:A29"/>
    <mergeCell ref="B28:C28"/>
    <mergeCell ref="M28:M29"/>
    <mergeCell ref="B29:C29"/>
    <mergeCell ref="A24:A25"/>
    <mergeCell ref="B24:C24"/>
    <mergeCell ref="L24:L25"/>
    <mergeCell ref="M24:M25"/>
    <mergeCell ref="A26:A27"/>
    <mergeCell ref="B26:C26"/>
    <mergeCell ref="L26:L27"/>
    <mergeCell ref="M26:M27"/>
    <mergeCell ref="B27:C27"/>
    <mergeCell ref="O24:O25"/>
    <mergeCell ref="B25:C25"/>
    <mergeCell ref="A22:A23"/>
    <mergeCell ref="B22:C22"/>
    <mergeCell ref="L22:L23"/>
    <mergeCell ref="M22:M23"/>
    <mergeCell ref="O22:O23"/>
    <mergeCell ref="B23:C23"/>
    <mergeCell ref="A20:A21"/>
    <mergeCell ref="B20:C20"/>
    <mergeCell ref="L20:L21"/>
    <mergeCell ref="M20:M21"/>
    <mergeCell ref="O20:O21"/>
    <mergeCell ref="B21:C21"/>
    <mergeCell ref="A15:F15"/>
    <mergeCell ref="G16:J16"/>
    <mergeCell ref="K16:M16"/>
    <mergeCell ref="B17:C17"/>
    <mergeCell ref="A18:A19"/>
    <mergeCell ref="B18:C18"/>
    <mergeCell ref="B19:C19"/>
    <mergeCell ref="A13:B13"/>
    <mergeCell ref="C13:D13"/>
    <mergeCell ref="E13:F13"/>
    <mergeCell ref="G13:J13"/>
    <mergeCell ref="A14:B14"/>
    <mergeCell ref="C14:D14"/>
    <mergeCell ref="G9:H9"/>
    <mergeCell ref="I9:J9"/>
    <mergeCell ref="C10:F10"/>
    <mergeCell ref="G10:H10"/>
    <mergeCell ref="I10:J10"/>
    <mergeCell ref="C11:F12"/>
    <mergeCell ref="G11:H11"/>
    <mergeCell ref="I11:J11"/>
    <mergeCell ref="G12:H12"/>
    <mergeCell ref="I12:J12"/>
    <mergeCell ref="K7:L7"/>
    <mergeCell ref="M1:P1"/>
    <mergeCell ref="D3:L3"/>
    <mergeCell ref="D5:I5"/>
    <mergeCell ref="K5:L5"/>
    <mergeCell ref="K6:L6"/>
  </mergeCells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showGridLines="0" workbookViewId="0">
      <selection activeCell="N15" sqref="N15"/>
    </sheetView>
  </sheetViews>
  <sheetFormatPr defaultColWidth="9.140625" defaultRowHeight="12.75" x14ac:dyDescent="0.2"/>
  <cols>
    <col min="1" max="1" width="3.140625" style="2" customWidth="1"/>
    <col min="2" max="2" width="8.140625" style="2" customWidth="1"/>
    <col min="3" max="4" width="7.7109375" style="2" customWidth="1"/>
    <col min="5" max="8" width="10.28515625" style="2" customWidth="1"/>
    <col min="9" max="9" width="1.5703125" style="2" customWidth="1"/>
    <col min="10" max="10" width="8.5703125" style="2" customWidth="1"/>
    <col min="11" max="11" width="5" style="2" customWidth="1"/>
    <col min="12" max="16384" width="9.140625" style="2"/>
  </cols>
  <sheetData>
    <row r="1" spans="1:11" ht="10.5" customHeight="1" x14ac:dyDescent="0.25">
      <c r="H1" s="862"/>
      <c r="I1" s="862"/>
      <c r="J1" s="862"/>
      <c r="K1" s="862"/>
    </row>
    <row r="2" spans="1:11" ht="7.5" customHeight="1" x14ac:dyDescent="0.2"/>
    <row r="3" spans="1:11" x14ac:dyDescent="0.2">
      <c r="A3" s="385"/>
      <c r="B3" s="99"/>
      <c r="C3" s="99"/>
      <c r="D3" s="99"/>
      <c r="E3" s="99"/>
      <c r="F3" s="99"/>
      <c r="G3" s="99"/>
      <c r="H3" s="99"/>
      <c r="I3" s="99"/>
      <c r="J3" s="99"/>
      <c r="K3" s="81"/>
    </row>
    <row r="4" spans="1:11" ht="21" customHeight="1" x14ac:dyDescent="0.2">
      <c r="A4" s="386"/>
      <c r="B4" s="387" t="s">
        <v>369</v>
      </c>
      <c r="C4" s="1158" t="s">
        <v>370</v>
      </c>
      <c r="D4" s="868"/>
      <c r="E4" s="868"/>
      <c r="F4" s="868"/>
      <c r="G4" s="868"/>
      <c r="H4" s="868"/>
      <c r="I4" s="868"/>
      <c r="J4" s="869"/>
      <c r="K4" s="83"/>
    </row>
    <row r="5" spans="1:11" x14ac:dyDescent="0.2">
      <c r="A5" s="354"/>
      <c r="B5" s="341"/>
      <c r="C5" s="341"/>
      <c r="D5" s="341"/>
      <c r="E5" s="341"/>
      <c r="F5" s="341"/>
      <c r="G5" s="341"/>
      <c r="H5" s="341"/>
      <c r="I5" s="341"/>
      <c r="J5" s="341"/>
      <c r="K5" s="83"/>
    </row>
    <row r="6" spans="1:11" ht="15" x14ac:dyDescent="0.25">
      <c r="A6" s="354"/>
      <c r="B6" s="932" t="s">
        <v>299</v>
      </c>
      <c r="C6" s="932"/>
      <c r="D6" s="932"/>
      <c r="E6" s="932"/>
      <c r="F6" s="341" t="s">
        <v>300</v>
      </c>
      <c r="G6" s="1182">
        <v>0.17</v>
      </c>
      <c r="H6" s="1226"/>
      <c r="I6" s="1186"/>
      <c r="J6" s="388"/>
      <c r="K6" s="83"/>
    </row>
    <row r="7" spans="1:11" ht="15" x14ac:dyDescent="0.25">
      <c r="A7" s="354"/>
      <c r="B7" s="341"/>
      <c r="C7" s="341"/>
      <c r="D7" s="341"/>
      <c r="E7" s="341"/>
      <c r="F7" s="341" t="s">
        <v>301</v>
      </c>
      <c r="G7" s="1184">
        <v>0.04</v>
      </c>
      <c r="H7" s="1227"/>
      <c r="I7" s="1222"/>
      <c r="J7" s="388"/>
      <c r="K7" s="83"/>
    </row>
    <row r="8" spans="1:11" x14ac:dyDescent="0.2">
      <c r="A8" s="389"/>
      <c r="B8" s="390"/>
      <c r="C8" s="390"/>
      <c r="D8" s="390"/>
      <c r="E8" s="390"/>
      <c r="F8" s="390"/>
      <c r="G8" s="390"/>
      <c r="H8" s="391"/>
      <c r="I8" s="391"/>
      <c r="J8" s="391"/>
      <c r="K8" s="392"/>
    </row>
    <row r="9" spans="1:11" x14ac:dyDescent="0.2">
      <c r="A9" s="389"/>
      <c r="B9" s="390"/>
      <c r="C9" s="390"/>
      <c r="D9" s="1120" t="s">
        <v>155</v>
      </c>
      <c r="E9" s="1120"/>
      <c r="F9" s="1120"/>
      <c r="G9" s="391" t="s">
        <v>145</v>
      </c>
      <c r="H9" s="393">
        <f>'6.lapa'!M19/1000</f>
        <v>5.0000000000000001E-4</v>
      </c>
      <c r="I9" s="391"/>
      <c r="J9" s="391"/>
      <c r="K9" s="392"/>
    </row>
    <row r="10" spans="1:11" ht="14.25" x14ac:dyDescent="0.2">
      <c r="A10" s="394"/>
      <c r="B10" s="395"/>
      <c r="C10" s="395"/>
      <c r="D10" s="946" t="s">
        <v>325</v>
      </c>
      <c r="E10" s="946"/>
      <c r="F10" s="946"/>
      <c r="G10" s="396" t="s">
        <v>9</v>
      </c>
      <c r="H10" s="397">
        <v>44.3</v>
      </c>
      <c r="I10" s="396"/>
      <c r="K10" s="83"/>
    </row>
    <row r="11" spans="1:11" x14ac:dyDescent="0.2">
      <c r="A11" s="394"/>
      <c r="B11" s="398"/>
      <c r="C11" s="395"/>
      <c r="D11" s="946" t="s">
        <v>157</v>
      </c>
      <c r="E11" s="946"/>
      <c r="F11" s="946"/>
      <c r="G11" s="399" t="s">
        <v>129</v>
      </c>
      <c r="H11" s="347">
        <v>16.7</v>
      </c>
      <c r="I11" s="399"/>
      <c r="K11" s="83"/>
    </row>
    <row r="12" spans="1:11" x14ac:dyDescent="0.2">
      <c r="A12" s="394"/>
      <c r="B12" s="398"/>
      <c r="C12" s="400"/>
      <c r="D12" s="948" t="s">
        <v>158</v>
      </c>
      <c r="E12" s="948"/>
      <c r="F12" s="948"/>
      <c r="G12" s="399" t="s">
        <v>130</v>
      </c>
      <c r="H12" s="401">
        <f>ROUND(H10/(0.5*H11),2)</f>
        <v>5.31</v>
      </c>
      <c r="I12" s="399"/>
      <c r="K12" s="83"/>
    </row>
    <row r="13" spans="1:11" x14ac:dyDescent="0.2">
      <c r="A13" s="394"/>
      <c r="B13" s="398"/>
      <c r="C13" s="404"/>
      <c r="D13" s="398"/>
      <c r="E13" s="398"/>
      <c r="F13" s="398"/>
      <c r="G13" s="335"/>
      <c r="K13" s="83"/>
    </row>
    <row r="14" spans="1:11" x14ac:dyDescent="0.2">
      <c r="A14" s="394"/>
      <c r="B14" s="946" t="s">
        <v>133</v>
      </c>
      <c r="C14" s="946"/>
      <c r="D14" s="946"/>
      <c r="E14" s="946"/>
      <c r="F14" s="946"/>
      <c r="G14" s="418" t="s">
        <v>10</v>
      </c>
      <c r="H14" s="402">
        <v>2</v>
      </c>
      <c r="I14" s="403"/>
      <c r="K14" s="83"/>
    </row>
    <row r="15" spans="1:11" x14ac:dyDescent="0.2">
      <c r="A15" s="86"/>
      <c r="G15" s="762"/>
      <c r="H15" s="762"/>
      <c r="I15" s="335"/>
      <c r="K15" s="83"/>
    </row>
    <row r="16" spans="1:11" ht="33" customHeight="1" x14ac:dyDescent="0.2">
      <c r="A16" s="339"/>
      <c r="B16" s="961" t="s">
        <v>6</v>
      </c>
      <c r="C16" s="961"/>
      <c r="D16" s="961"/>
      <c r="E16" s="405" t="s">
        <v>326</v>
      </c>
      <c r="F16" s="405" t="s">
        <v>327</v>
      </c>
      <c r="G16" s="405" t="s">
        <v>328</v>
      </c>
      <c r="H16" s="405" t="s">
        <v>329</v>
      </c>
      <c r="I16" s="405"/>
      <c r="J16" s="405" t="s">
        <v>330</v>
      </c>
      <c r="K16" s="83"/>
    </row>
    <row r="17" spans="1:11" x14ac:dyDescent="0.2">
      <c r="A17" s="367"/>
      <c r="B17" s="990" t="s">
        <v>223</v>
      </c>
      <c r="C17" s="990"/>
      <c r="D17" s="990"/>
      <c r="E17" s="346">
        <v>0.25</v>
      </c>
      <c r="F17" s="346">
        <v>0</v>
      </c>
      <c r="G17" s="374">
        <f t="shared" ref="G17:G23" si="0">E17+F17</f>
        <v>0.25</v>
      </c>
      <c r="H17" s="375">
        <f>ROUND(J17/G17,3)</f>
        <v>0.12</v>
      </c>
      <c r="I17" s="406"/>
      <c r="J17" s="346">
        <v>0.03</v>
      </c>
      <c r="K17" s="83"/>
    </row>
    <row r="18" spans="1:11" x14ac:dyDescent="0.2">
      <c r="A18" s="367"/>
      <c r="B18" s="990" t="s">
        <v>224</v>
      </c>
      <c r="C18" s="990"/>
      <c r="D18" s="990"/>
      <c r="E18" s="346">
        <v>1.7</v>
      </c>
      <c r="F18" s="346">
        <v>0</v>
      </c>
      <c r="G18" s="374">
        <f t="shared" si="0"/>
        <v>1.7</v>
      </c>
      <c r="H18" s="375">
        <f t="shared" ref="H18:H23" si="1">ROUND(J18/G18,3)</f>
        <v>3.5000000000000003E-2</v>
      </c>
      <c r="I18" s="406"/>
      <c r="J18" s="346">
        <v>0.06</v>
      </c>
      <c r="K18" s="407"/>
    </row>
    <row r="19" spans="1:11" x14ac:dyDescent="0.2">
      <c r="A19" s="367"/>
      <c r="B19" s="990" t="s">
        <v>371</v>
      </c>
      <c r="C19" s="990"/>
      <c r="D19" s="990"/>
      <c r="E19" s="346">
        <v>3.3000000000000002E-2</v>
      </c>
      <c r="F19" s="346">
        <v>2E-3</v>
      </c>
      <c r="G19" s="374">
        <f t="shared" si="0"/>
        <v>3.5000000000000003E-2</v>
      </c>
      <c r="H19" s="375">
        <f t="shared" si="1"/>
        <v>2.8570000000000002</v>
      </c>
      <c r="I19" s="406"/>
      <c r="J19" s="346">
        <v>0.1</v>
      </c>
      <c r="K19" s="83"/>
    </row>
    <row r="20" spans="1:11" x14ac:dyDescent="0.2">
      <c r="A20" s="367"/>
      <c r="B20" s="990" t="s">
        <v>366</v>
      </c>
      <c r="C20" s="990"/>
      <c r="D20" s="990"/>
      <c r="E20" s="346">
        <v>2</v>
      </c>
      <c r="F20" s="346">
        <v>0</v>
      </c>
      <c r="G20" s="374">
        <f t="shared" si="0"/>
        <v>2</v>
      </c>
      <c r="H20" s="375">
        <f t="shared" si="1"/>
        <v>0.06</v>
      </c>
      <c r="I20" s="406"/>
      <c r="J20" s="346">
        <v>0.12</v>
      </c>
      <c r="K20" s="83"/>
    </row>
    <row r="21" spans="1:11" hidden="1" x14ac:dyDescent="0.2">
      <c r="A21" s="367"/>
      <c r="B21" s="990" t="s">
        <v>222</v>
      </c>
      <c r="C21" s="990"/>
      <c r="D21" s="990"/>
      <c r="E21" s="346">
        <v>3.3000000000000002E-2</v>
      </c>
      <c r="F21" s="346">
        <v>4.0000000000000001E-3</v>
      </c>
      <c r="G21" s="374">
        <f t="shared" si="0"/>
        <v>3.7000000000000005E-2</v>
      </c>
      <c r="H21" s="375">
        <f t="shared" si="1"/>
        <v>0</v>
      </c>
      <c r="I21" s="406"/>
      <c r="J21" s="346">
        <v>0</v>
      </c>
      <c r="K21" s="83"/>
    </row>
    <row r="22" spans="1:11" hidden="1" x14ac:dyDescent="0.2">
      <c r="A22" s="367"/>
      <c r="B22" s="1000"/>
      <c r="C22" s="1000"/>
      <c r="D22" s="1000"/>
      <c r="E22" s="408">
        <v>1</v>
      </c>
      <c r="F22" s="409">
        <v>0</v>
      </c>
      <c r="G22" s="410">
        <f t="shared" si="0"/>
        <v>1</v>
      </c>
      <c r="H22" s="375">
        <f t="shared" si="1"/>
        <v>0</v>
      </c>
      <c r="I22" s="406"/>
      <c r="J22" s="353"/>
      <c r="K22" s="83"/>
    </row>
    <row r="23" spans="1:11" hidden="1" x14ac:dyDescent="0.2">
      <c r="A23" s="367"/>
      <c r="B23" s="1000"/>
      <c r="C23" s="1000"/>
      <c r="D23" s="1000"/>
      <c r="E23" s="408">
        <v>1</v>
      </c>
      <c r="F23" s="409">
        <v>0</v>
      </c>
      <c r="G23" s="410">
        <f t="shared" si="0"/>
        <v>1</v>
      </c>
      <c r="H23" s="375">
        <f t="shared" si="1"/>
        <v>0</v>
      </c>
      <c r="I23" s="406"/>
      <c r="J23" s="353"/>
      <c r="K23" s="83"/>
    </row>
    <row r="24" spans="1:11" x14ac:dyDescent="0.2">
      <c r="A24" s="339"/>
      <c r="B24" s="977"/>
      <c r="C24" s="977"/>
      <c r="D24" s="977"/>
      <c r="E24" s="977"/>
      <c r="F24" s="977"/>
      <c r="G24" s="977"/>
      <c r="H24" s="335"/>
      <c r="I24" s="335"/>
      <c r="J24" s="343" t="s">
        <v>106</v>
      </c>
      <c r="K24" s="83"/>
    </row>
    <row r="25" spans="1:11" ht="15.75" x14ac:dyDescent="0.2">
      <c r="A25" s="339"/>
      <c r="B25" s="411"/>
      <c r="C25" s="411"/>
      <c r="D25" s="411"/>
      <c r="E25" s="411"/>
      <c r="F25" s="411"/>
      <c r="G25" s="411"/>
      <c r="H25" s="335"/>
      <c r="I25" s="335"/>
      <c r="J25" s="381">
        <f>ROUND(SUM(J17:J23)*1000,0)</f>
        <v>310</v>
      </c>
      <c r="K25" s="83" t="s">
        <v>120</v>
      </c>
    </row>
    <row r="26" spans="1:11" x14ac:dyDescent="0.2">
      <c r="A26" s="339"/>
      <c r="B26" s="411"/>
      <c r="C26" s="411"/>
      <c r="D26" s="411"/>
      <c r="E26" s="411"/>
      <c r="F26" s="411"/>
      <c r="G26" s="411"/>
      <c r="H26" s="335"/>
      <c r="I26" s="335"/>
      <c r="K26" s="83"/>
    </row>
    <row r="27" spans="1:11" ht="14.25" x14ac:dyDescent="0.2">
      <c r="A27" s="951" t="s">
        <v>331</v>
      </c>
      <c r="B27" s="948"/>
      <c r="C27" s="948"/>
      <c r="D27" s="948"/>
      <c r="E27" s="948"/>
      <c r="F27" s="948"/>
      <c r="G27" s="412" t="s">
        <v>332</v>
      </c>
      <c r="H27" s="432">
        <f>SUM(H17:H24)+G6+G7</f>
        <v>3.282</v>
      </c>
      <c r="I27" s="335"/>
      <c r="K27" s="407"/>
    </row>
    <row r="28" spans="1:11" ht="14.25" x14ac:dyDescent="0.2">
      <c r="A28" s="339"/>
      <c r="B28" s="948" t="s">
        <v>160</v>
      </c>
      <c r="C28" s="948"/>
      <c r="D28" s="948"/>
      <c r="E28" s="948"/>
      <c r="F28" s="948"/>
      <c r="G28" s="418" t="s">
        <v>333</v>
      </c>
      <c r="H28" s="413">
        <f>H9+(H14*H27)</f>
        <v>6.5644999999999998</v>
      </c>
      <c r="I28" s="335"/>
      <c r="K28" s="83"/>
    </row>
    <row r="29" spans="1:11" ht="15" x14ac:dyDescent="0.2">
      <c r="A29" s="339"/>
      <c r="B29" s="836" t="s">
        <v>334</v>
      </c>
      <c r="C29" s="836"/>
      <c r="D29" s="836"/>
      <c r="E29" s="836"/>
      <c r="F29" s="836"/>
      <c r="G29" s="418" t="s">
        <v>335</v>
      </c>
      <c r="H29" s="414">
        <f>IF(H12&gt;H28,H14/((0.457*H12)+H28),(2*H14/((3.14*H12)+H28)))*(LN((3.14*H12/H28)+1))</f>
        <v>0.21759422720005819</v>
      </c>
      <c r="I29" s="952"/>
      <c r="J29" s="952"/>
      <c r="K29" s="415"/>
    </row>
    <row r="30" spans="1:11" x14ac:dyDescent="0.2">
      <c r="A30" s="339"/>
      <c r="B30" s="416"/>
      <c r="C30" s="416"/>
      <c r="D30" s="416"/>
      <c r="E30" s="416"/>
      <c r="F30" s="416"/>
      <c r="G30" s="418"/>
      <c r="H30" s="380"/>
      <c r="I30" s="417"/>
      <c r="J30" s="417"/>
      <c r="K30" s="415"/>
    </row>
    <row r="31" spans="1:11" hidden="1" x14ac:dyDescent="0.2">
      <c r="A31" s="339"/>
      <c r="B31" s="953"/>
      <c r="C31" s="953"/>
      <c r="D31" s="953"/>
      <c r="E31" s="953"/>
      <c r="F31" s="953"/>
      <c r="G31" s="953"/>
      <c r="H31" s="953"/>
      <c r="I31" s="417"/>
      <c r="J31" s="417"/>
      <c r="K31" s="415"/>
    </row>
    <row r="32" spans="1:11" ht="14.25" hidden="1" x14ac:dyDescent="0.2">
      <c r="A32" s="339"/>
      <c r="B32" s="836" t="s">
        <v>161</v>
      </c>
      <c r="C32" s="836"/>
      <c r="D32" s="836"/>
      <c r="E32" s="836"/>
      <c r="F32" s="836"/>
      <c r="G32" s="418" t="s">
        <v>336</v>
      </c>
      <c r="H32" s="419">
        <v>0</v>
      </c>
      <c r="I32" s="417"/>
      <c r="J32" s="417"/>
      <c r="K32" s="415"/>
    </row>
    <row r="33" spans="1:11" ht="14.25" hidden="1" x14ac:dyDescent="0.2">
      <c r="A33" s="339"/>
      <c r="B33" s="836" t="s">
        <v>163</v>
      </c>
      <c r="C33" s="836"/>
      <c r="D33" s="836"/>
      <c r="E33" s="836"/>
      <c r="F33" s="836"/>
      <c r="G33" s="418" t="s">
        <v>337</v>
      </c>
      <c r="H33" s="419">
        <v>1</v>
      </c>
      <c r="I33" s="417"/>
      <c r="J33" s="417"/>
      <c r="K33" s="415"/>
    </row>
    <row r="34" spans="1:11" ht="14.25" hidden="1" x14ac:dyDescent="0.2">
      <c r="A34" s="339"/>
      <c r="B34" s="836" t="s">
        <v>164</v>
      </c>
      <c r="C34" s="836"/>
      <c r="D34" s="836"/>
      <c r="E34" s="836"/>
      <c r="F34" s="836"/>
      <c r="G34" s="418" t="s">
        <v>338</v>
      </c>
      <c r="H34" s="419">
        <v>0</v>
      </c>
      <c r="I34" s="417"/>
      <c r="J34" s="417"/>
      <c r="K34" s="415"/>
    </row>
    <row r="35" spans="1:11" ht="15" hidden="1" x14ac:dyDescent="0.2">
      <c r="A35" s="339"/>
      <c r="B35" s="836" t="s">
        <v>339</v>
      </c>
      <c r="C35" s="836"/>
      <c r="D35" s="836"/>
      <c r="E35" s="836"/>
      <c r="F35" s="836"/>
      <c r="G35" s="418" t="s">
        <v>340</v>
      </c>
      <c r="H35" s="414">
        <f>H32/(H33+H34)</f>
        <v>0</v>
      </c>
      <c r="I35" s="417"/>
      <c r="J35" s="417"/>
      <c r="K35" s="415"/>
    </row>
    <row r="36" spans="1:11" ht="15" hidden="1" x14ac:dyDescent="0.2">
      <c r="A36" s="339"/>
      <c r="B36" s="836" t="s">
        <v>341</v>
      </c>
      <c r="C36" s="836"/>
      <c r="D36" s="836"/>
      <c r="E36" s="836"/>
      <c r="F36" s="836"/>
      <c r="G36" s="418" t="s">
        <v>169</v>
      </c>
      <c r="H36" s="414">
        <f>H35-(H32/H14)</f>
        <v>0</v>
      </c>
      <c r="I36" s="417"/>
      <c r="J36" s="417"/>
      <c r="K36" s="415"/>
    </row>
    <row r="37" spans="1:11" hidden="1" x14ac:dyDescent="0.2">
      <c r="A37" s="339"/>
      <c r="B37" s="836" t="s">
        <v>170</v>
      </c>
      <c r="C37" s="836"/>
      <c r="D37" s="836"/>
      <c r="E37" s="836"/>
      <c r="F37" s="836"/>
      <c r="G37" s="418" t="s">
        <v>171</v>
      </c>
      <c r="H37" s="414">
        <f>H36*H14</f>
        <v>0</v>
      </c>
      <c r="I37" s="417"/>
      <c r="J37" s="417"/>
      <c r="K37" s="415"/>
    </row>
    <row r="38" spans="1:11" hidden="1" x14ac:dyDescent="0.2">
      <c r="A38" s="339"/>
      <c r="B38" s="836" t="s">
        <v>173</v>
      </c>
      <c r="C38" s="836"/>
      <c r="D38" s="836"/>
      <c r="E38" s="836"/>
      <c r="F38" s="836"/>
      <c r="G38" s="418" t="s">
        <v>42</v>
      </c>
      <c r="H38" s="420">
        <v>0</v>
      </c>
      <c r="I38" s="417"/>
      <c r="J38" s="417"/>
      <c r="K38" s="415"/>
    </row>
    <row r="39" spans="1:11" hidden="1" x14ac:dyDescent="0.2">
      <c r="A39" s="339"/>
      <c r="B39" s="836" t="s">
        <v>176</v>
      </c>
      <c r="C39" s="836"/>
      <c r="D39" s="836"/>
      <c r="E39" s="836"/>
      <c r="F39" s="836"/>
      <c r="G39" s="418" t="s">
        <v>172</v>
      </c>
      <c r="H39" s="414">
        <f>-H14/3.14*((LN((H38/H28)+1)-LN(((H38/(H28+H37))+1))))</f>
        <v>0</v>
      </c>
      <c r="I39" s="417"/>
      <c r="J39" s="417"/>
      <c r="K39" s="415"/>
    </row>
    <row r="40" spans="1:11" hidden="1" x14ac:dyDescent="0.2">
      <c r="A40" s="339"/>
      <c r="B40" s="416"/>
      <c r="C40" s="416"/>
      <c r="D40" s="416"/>
      <c r="E40" s="416"/>
      <c r="F40" s="416"/>
      <c r="G40" s="418"/>
      <c r="H40" s="380"/>
      <c r="I40" s="417"/>
      <c r="J40" s="417"/>
      <c r="K40" s="415"/>
    </row>
    <row r="41" spans="1:11" ht="14.25" x14ac:dyDescent="0.2">
      <c r="A41" s="339"/>
      <c r="B41" s="836" t="s">
        <v>161</v>
      </c>
      <c r="C41" s="836"/>
      <c r="D41" s="836"/>
      <c r="E41" s="836"/>
      <c r="F41" s="836"/>
      <c r="G41" s="418" t="s">
        <v>336</v>
      </c>
      <c r="H41" s="421">
        <v>0.13</v>
      </c>
      <c r="I41" s="417"/>
      <c r="J41" s="417"/>
      <c r="K41" s="415"/>
    </row>
    <row r="42" spans="1:11" ht="14.25" x14ac:dyDescent="0.2">
      <c r="A42" s="339"/>
      <c r="B42" s="836" t="s">
        <v>163</v>
      </c>
      <c r="C42" s="836"/>
      <c r="D42" s="836"/>
      <c r="E42" s="836"/>
      <c r="F42" s="836"/>
      <c r="G42" s="418" t="s">
        <v>337</v>
      </c>
      <c r="H42" s="421">
        <v>3.7999999999999999E-2</v>
      </c>
      <c r="I42" s="417"/>
      <c r="J42" s="417"/>
      <c r="K42" s="415"/>
    </row>
    <row r="43" spans="1:11" ht="14.25" x14ac:dyDescent="0.2">
      <c r="A43" s="339"/>
      <c r="B43" s="836" t="s">
        <v>164</v>
      </c>
      <c r="C43" s="836"/>
      <c r="D43" s="836"/>
      <c r="E43" s="836"/>
      <c r="F43" s="836"/>
      <c r="G43" s="418" t="s">
        <v>338</v>
      </c>
      <c r="H43" s="421">
        <v>2E-3</v>
      </c>
      <c r="I43" s="417"/>
      <c r="J43" s="417"/>
      <c r="K43" s="415"/>
    </row>
    <row r="44" spans="1:11" ht="15" x14ac:dyDescent="0.2">
      <c r="A44" s="339"/>
      <c r="B44" s="836" t="s">
        <v>339</v>
      </c>
      <c r="C44" s="836"/>
      <c r="D44" s="836"/>
      <c r="E44" s="836"/>
      <c r="F44" s="836"/>
      <c r="G44" s="418" t="s">
        <v>340</v>
      </c>
      <c r="H44" s="414">
        <f>H41/(H42+H43)</f>
        <v>3.25</v>
      </c>
      <c r="I44" s="417"/>
      <c r="J44" s="417"/>
      <c r="K44" s="415"/>
    </row>
    <row r="45" spans="1:11" ht="15" x14ac:dyDescent="0.2">
      <c r="A45" s="339"/>
      <c r="B45" s="836" t="s">
        <v>341</v>
      </c>
      <c r="C45" s="836"/>
      <c r="D45" s="836"/>
      <c r="E45" s="836"/>
      <c r="F45" s="836"/>
      <c r="G45" s="418" t="s">
        <v>169</v>
      </c>
      <c r="H45" s="414">
        <f>H44-(H41/H14)</f>
        <v>3.1850000000000001</v>
      </c>
      <c r="I45" s="417"/>
      <c r="J45" s="417"/>
      <c r="K45" s="415"/>
    </row>
    <row r="46" spans="1:11" x14ac:dyDescent="0.2">
      <c r="A46" s="339"/>
      <c r="B46" s="836" t="s">
        <v>170</v>
      </c>
      <c r="C46" s="836"/>
      <c r="D46" s="836"/>
      <c r="E46" s="836"/>
      <c r="F46" s="836"/>
      <c r="G46" s="418" t="s">
        <v>171</v>
      </c>
      <c r="H46" s="414">
        <f>H45*H14</f>
        <v>6.37</v>
      </c>
      <c r="I46" s="417"/>
      <c r="J46" s="417"/>
      <c r="K46" s="415"/>
    </row>
    <row r="47" spans="1:11" x14ac:dyDescent="0.2">
      <c r="A47" s="339"/>
      <c r="B47" s="836" t="s">
        <v>218</v>
      </c>
      <c r="C47" s="836"/>
      <c r="D47" s="836"/>
      <c r="E47" s="836"/>
      <c r="F47" s="836"/>
      <c r="G47" s="418" t="s">
        <v>42</v>
      </c>
      <c r="H47" s="397">
        <v>1</v>
      </c>
      <c r="I47" s="417"/>
      <c r="J47" s="417"/>
      <c r="K47" s="415"/>
    </row>
    <row r="48" spans="1:11" x14ac:dyDescent="0.2">
      <c r="A48" s="339"/>
      <c r="B48" s="836" t="s">
        <v>175</v>
      </c>
      <c r="C48" s="836"/>
      <c r="D48" s="836"/>
      <c r="E48" s="836"/>
      <c r="F48" s="836"/>
      <c r="G48" s="418" t="s">
        <v>172</v>
      </c>
      <c r="H48" s="414">
        <f>-H14/3.14*((LN((2*H47/H28)+1)-LN(((2*H47/(H28+H46))+1))))</f>
        <v>-7.7817577669423835E-2</v>
      </c>
      <c r="I48" s="417"/>
      <c r="J48" s="417"/>
      <c r="K48" s="415"/>
    </row>
    <row r="49" spans="1:11" x14ac:dyDescent="0.2">
      <c r="A49" s="339"/>
      <c r="B49" s="416"/>
      <c r="C49" s="416"/>
      <c r="D49" s="416"/>
      <c r="E49" s="416"/>
      <c r="F49" s="416"/>
      <c r="G49" s="418"/>
      <c r="H49" s="380"/>
      <c r="I49" s="417"/>
      <c r="J49" s="417"/>
      <c r="K49" s="415"/>
    </row>
    <row r="50" spans="1:11" ht="15.75" x14ac:dyDescent="0.2">
      <c r="A50" s="339"/>
      <c r="B50" s="416"/>
      <c r="C50" s="416"/>
      <c r="D50" s="416"/>
      <c r="E50" s="416"/>
      <c r="F50" s="416"/>
      <c r="G50" s="422" t="s">
        <v>93</v>
      </c>
      <c r="H50" s="423">
        <f>IF(H48&lt;H39,H29+((2*H48)/H12),H29+((2*H39)/H12))</f>
        <v>0.18828440510234676</v>
      </c>
      <c r="I50" s="1109" t="s">
        <v>342</v>
      </c>
      <c r="J50" s="1110"/>
      <c r="K50" s="415"/>
    </row>
    <row r="51" spans="1:11" x14ac:dyDescent="0.2">
      <c r="A51" s="352"/>
      <c r="B51" s="424"/>
      <c r="C51" s="424"/>
      <c r="D51" s="424"/>
      <c r="E51" s="424"/>
      <c r="F51" s="424"/>
      <c r="G51" s="425"/>
      <c r="H51" s="426"/>
      <c r="I51" s="427"/>
      <c r="J51" s="427"/>
      <c r="K51" s="428"/>
    </row>
  </sheetData>
  <mergeCells count="42">
    <mergeCell ref="B16:D16"/>
    <mergeCell ref="H1:K1"/>
    <mergeCell ref="C4:J4"/>
    <mergeCell ref="B6:E6"/>
    <mergeCell ref="G6:I6"/>
    <mergeCell ref="G7:I7"/>
    <mergeCell ref="D9:F9"/>
    <mergeCell ref="D10:F10"/>
    <mergeCell ref="D11:F11"/>
    <mergeCell ref="D12:F12"/>
    <mergeCell ref="B14:F14"/>
    <mergeCell ref="G15:H15"/>
    <mergeCell ref="I29:J29"/>
    <mergeCell ref="B17:D17"/>
    <mergeCell ref="B18:D18"/>
    <mergeCell ref="B19:D19"/>
    <mergeCell ref="B20:D20"/>
    <mergeCell ref="B21:D21"/>
    <mergeCell ref="B22:D22"/>
    <mergeCell ref="B36:F36"/>
    <mergeCell ref="B23:D23"/>
    <mergeCell ref="B24:G24"/>
    <mergeCell ref="A27:F27"/>
    <mergeCell ref="B28:F28"/>
    <mergeCell ref="B29:F29"/>
    <mergeCell ref="B31:H31"/>
    <mergeCell ref="B32:F32"/>
    <mergeCell ref="B33:F33"/>
    <mergeCell ref="B34:F34"/>
    <mergeCell ref="B35:F35"/>
    <mergeCell ref="I50:J50"/>
    <mergeCell ref="B37:F37"/>
    <mergeCell ref="B38:F38"/>
    <mergeCell ref="B39:F39"/>
    <mergeCell ref="B41:F41"/>
    <mergeCell ref="B42:F42"/>
    <mergeCell ref="B43:F43"/>
    <mergeCell ref="B44:F44"/>
    <mergeCell ref="B45:F45"/>
    <mergeCell ref="B46:F46"/>
    <mergeCell ref="B47:F47"/>
    <mergeCell ref="B48:F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38"/>
  <sheetViews>
    <sheetView showGridLines="0" workbookViewId="0">
      <selection activeCell="R20" sqref="R20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6384" width="9.140625" style="2"/>
  </cols>
  <sheetData>
    <row r="1" spans="1:21" ht="20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1.75" customHeight="1" x14ac:dyDescent="0.2">
      <c r="A3" s="354"/>
      <c r="B3" s="355"/>
      <c r="C3" s="340" t="s">
        <v>361</v>
      </c>
      <c r="D3" s="1158" t="s">
        <v>358</v>
      </c>
      <c r="E3" s="868"/>
      <c r="F3" s="868"/>
      <c r="G3" s="868"/>
      <c r="H3" s="868"/>
      <c r="I3" s="868"/>
      <c r="J3" s="868"/>
      <c r="K3" s="868"/>
      <c r="L3" s="869"/>
      <c r="P3" s="83"/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</row>
    <row r="5" spans="1:21" ht="15" x14ac:dyDescent="0.25">
      <c r="A5" s="354"/>
      <c r="B5" s="355"/>
      <c r="C5" s="341"/>
      <c r="D5" s="942" t="s">
        <v>307</v>
      </c>
      <c r="E5" s="942"/>
      <c r="F5" s="942"/>
      <c r="G5" s="942"/>
      <c r="H5" s="942"/>
      <c r="I5" s="942"/>
      <c r="J5" s="357" t="s">
        <v>308</v>
      </c>
      <c r="K5" s="1182">
        <v>0.1</v>
      </c>
      <c r="L5" s="1183"/>
      <c r="M5" s="358"/>
      <c r="P5" s="83"/>
    </row>
    <row r="6" spans="1:21" ht="15" x14ac:dyDescent="0.25">
      <c r="A6" s="354"/>
      <c r="B6" s="355"/>
      <c r="C6" s="341"/>
      <c r="D6" s="341"/>
      <c r="E6" s="341"/>
      <c r="F6" s="341"/>
      <c r="G6" s="341"/>
      <c r="H6" s="341"/>
      <c r="I6" s="341"/>
      <c r="J6" s="357" t="s">
        <v>309</v>
      </c>
      <c r="K6" s="1184">
        <v>0.04</v>
      </c>
      <c r="L6" s="1185"/>
      <c r="P6" s="83"/>
    </row>
    <row r="7" spans="1:21" ht="14.25" customHeight="1" x14ac:dyDescent="0.2">
      <c r="A7" s="354"/>
      <c r="B7" s="355"/>
      <c r="C7" s="341"/>
      <c r="D7" s="341"/>
      <c r="E7" s="341"/>
      <c r="F7" s="341"/>
      <c r="G7" s="341"/>
      <c r="H7" s="341"/>
      <c r="I7" s="341"/>
      <c r="J7" s="357" t="s">
        <v>310</v>
      </c>
      <c r="K7" s="1184">
        <v>0.06</v>
      </c>
      <c r="L7" s="1222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</row>
    <row r="9" spans="1:21" ht="9.75" customHeight="1" x14ac:dyDescent="0.25">
      <c r="A9" s="354"/>
      <c r="B9" s="355"/>
      <c r="C9" s="341"/>
      <c r="D9" s="341"/>
      <c r="E9" s="341"/>
      <c r="F9" s="341"/>
      <c r="G9" s="1181" t="s">
        <v>112</v>
      </c>
      <c r="H9" s="1181"/>
      <c r="I9" s="1181" t="s">
        <v>113</v>
      </c>
      <c r="J9" s="1181"/>
      <c r="K9" s="341"/>
      <c r="L9" s="359"/>
      <c r="P9" s="83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1177"/>
      <c r="G10" s="1223">
        <v>0.8</v>
      </c>
      <c r="H10" s="1223"/>
      <c r="I10" s="1223">
        <v>0.6</v>
      </c>
      <c r="J10" s="1223"/>
      <c r="K10" s="341"/>
      <c r="L10" s="359"/>
      <c r="P10" s="83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1180"/>
      <c r="G11" s="1223">
        <v>0.6</v>
      </c>
      <c r="H11" s="1223"/>
      <c r="I11" s="1223">
        <v>0.5</v>
      </c>
      <c r="J11" s="1223"/>
      <c r="K11" s="341"/>
      <c r="L11" s="359"/>
      <c r="P11" s="83"/>
    </row>
    <row r="12" spans="1:21" ht="15" x14ac:dyDescent="0.25">
      <c r="A12" s="354"/>
      <c r="B12" s="355"/>
      <c r="C12" s="891"/>
      <c r="D12" s="891"/>
      <c r="E12" s="891"/>
      <c r="F12" s="1180"/>
      <c r="G12" s="1223">
        <v>0.2</v>
      </c>
      <c r="H12" s="1223"/>
      <c r="I12" s="1223">
        <v>0.1</v>
      </c>
      <c r="J12" s="1223"/>
      <c r="K12" s="341"/>
      <c r="L12" s="359"/>
      <c r="P12" s="83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</row>
    <row r="14" spans="1:21" ht="14.25" customHeight="1" x14ac:dyDescent="0.2">
      <c r="A14" s="890"/>
      <c r="B14" s="891"/>
      <c r="C14" s="883"/>
      <c r="D14" s="883"/>
      <c r="E14" s="361"/>
      <c r="F14" s="362"/>
      <c r="G14" s="342" t="s">
        <v>0</v>
      </c>
      <c r="H14" s="342" t="s">
        <v>1</v>
      </c>
      <c r="I14" s="342" t="s">
        <v>2</v>
      </c>
      <c r="J14" s="342" t="s">
        <v>3</v>
      </c>
      <c r="K14" s="363"/>
      <c r="L14" s="364"/>
      <c r="M14" s="364"/>
      <c r="P14" s="83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1172"/>
      <c r="G15" s="365">
        <f>(G11*I11)/(G10*I10)</f>
        <v>0.625</v>
      </c>
      <c r="H15" s="365">
        <f>(G11*I12)/(G10*I10)</f>
        <v>0.125</v>
      </c>
      <c r="I15" s="365">
        <f>(G12*I11)/(G10*I10)</f>
        <v>0.20833333333333334</v>
      </c>
      <c r="J15" s="365">
        <f>(G12*I12)/(G10*I10)</f>
        <v>4.1666666666666678E-2</v>
      </c>
      <c r="K15" s="366"/>
      <c r="L15" s="364"/>
      <c r="M15" s="364"/>
      <c r="P15" s="83"/>
    </row>
    <row r="16" spans="1:21" ht="14.25" customHeight="1" x14ac:dyDescent="0.2">
      <c r="A16" s="367"/>
      <c r="B16" s="368"/>
      <c r="C16" s="368"/>
      <c r="D16" s="368"/>
      <c r="E16" s="368"/>
      <c r="F16" s="368"/>
      <c r="G16" s="1173" t="s">
        <v>313</v>
      </c>
      <c r="H16" s="1173"/>
      <c r="I16" s="1173"/>
      <c r="J16" s="1173"/>
      <c r="K16" s="1174" t="s">
        <v>314</v>
      </c>
      <c r="L16" s="1174"/>
      <c r="M16" s="1174"/>
      <c r="P16" s="83"/>
      <c r="U16" s="2">
        <v>0</v>
      </c>
    </row>
    <row r="17" spans="1:16" ht="25.5" x14ac:dyDescent="0.2">
      <c r="A17" s="369"/>
      <c r="B17" s="1175" t="s">
        <v>6</v>
      </c>
      <c r="C17" s="1176"/>
      <c r="D17" s="370" t="s">
        <v>315</v>
      </c>
      <c r="E17" s="370" t="s">
        <v>303</v>
      </c>
      <c r="F17" s="371" t="s">
        <v>316</v>
      </c>
      <c r="G17" s="370" t="s">
        <v>317</v>
      </c>
      <c r="H17" s="370" t="s">
        <v>318</v>
      </c>
      <c r="I17" s="370" t="s">
        <v>319</v>
      </c>
      <c r="J17" s="370" t="s">
        <v>320</v>
      </c>
      <c r="K17" s="342" t="s">
        <v>4</v>
      </c>
      <c r="L17" s="370" t="s">
        <v>119</v>
      </c>
      <c r="M17" s="370" t="s">
        <v>321</v>
      </c>
      <c r="O17" s="370" t="s">
        <v>322</v>
      </c>
      <c r="P17" s="83"/>
    </row>
    <row r="18" spans="1:16" x14ac:dyDescent="0.2">
      <c r="A18" s="1163"/>
      <c r="B18" s="1164" t="s">
        <v>365</v>
      </c>
      <c r="C18" s="1165"/>
      <c r="D18" s="372">
        <v>0.15</v>
      </c>
      <c r="E18" s="345">
        <v>0</v>
      </c>
      <c r="F18" s="373">
        <f>D18+E18</f>
        <v>0.15</v>
      </c>
      <c r="G18" s="374">
        <f>$O$18/$F$18</f>
        <v>0.26666666666666666</v>
      </c>
      <c r="H18" s="374">
        <f>$O$18/$F$18</f>
        <v>0.26666666666666666</v>
      </c>
      <c r="I18" s="374">
        <f>$O$18/$F$18</f>
        <v>0.26666666666666666</v>
      </c>
      <c r="J18" s="374">
        <f>$O$18/$F$18</f>
        <v>0.26666666666666666</v>
      </c>
      <c r="K18" s="375"/>
      <c r="L18" s="375">
        <f>F18</f>
        <v>0.15</v>
      </c>
      <c r="M18" s="375">
        <f>O18/L18</f>
        <v>0.26666666666666666</v>
      </c>
      <c r="O18" s="372">
        <v>0.04</v>
      </c>
      <c r="P18" s="83"/>
    </row>
    <row r="19" spans="1:16" hidden="1" x14ac:dyDescent="0.2">
      <c r="A19" s="1163"/>
      <c r="B19" s="1164" t="s">
        <v>124</v>
      </c>
      <c r="C19" s="1165"/>
      <c r="D19" s="372"/>
      <c r="E19" s="345"/>
      <c r="F19" s="376"/>
      <c r="G19" s="374"/>
      <c r="H19" s="374"/>
      <c r="I19" s="374"/>
      <c r="J19" s="374"/>
      <c r="K19" s="375"/>
      <c r="L19" s="375"/>
      <c r="M19" s="375">
        <v>0</v>
      </c>
      <c r="O19" s="372">
        <v>0</v>
      </c>
      <c r="P19" s="83"/>
    </row>
    <row r="20" spans="1:16" x14ac:dyDescent="0.2">
      <c r="A20" s="1163"/>
      <c r="B20" s="1164" t="s">
        <v>123</v>
      </c>
      <c r="C20" s="1165"/>
      <c r="D20" s="372">
        <v>0.15</v>
      </c>
      <c r="E20" s="345">
        <v>0</v>
      </c>
      <c r="F20" s="373">
        <f t="shared" ref="F20:F31" si="0">D20+E20</f>
        <v>0.15</v>
      </c>
      <c r="G20" s="374"/>
      <c r="H20" s="374"/>
      <c r="I20" s="374">
        <f>O20/F20</f>
        <v>0.66666666666666674</v>
      </c>
      <c r="J20" s="374">
        <f>O20/F20</f>
        <v>0.66666666666666674</v>
      </c>
      <c r="K20" s="374">
        <f>(I12*I10*2)/(I10*I10*2)</f>
        <v>0.16666666666666666</v>
      </c>
      <c r="L20" s="1169">
        <f>ROUND((K20*F20)+(K21*F21),3)</f>
        <v>5.7000000000000002E-2</v>
      </c>
      <c r="M20" s="1169">
        <f>O20/L20</f>
        <v>1.7543859649122808</v>
      </c>
      <c r="O20" s="1170">
        <v>0.1</v>
      </c>
      <c r="P20" s="83"/>
    </row>
    <row r="21" spans="1:16" x14ac:dyDescent="0.2">
      <c r="A21" s="1163"/>
      <c r="B21" s="1164" t="s">
        <v>262</v>
      </c>
      <c r="C21" s="1165"/>
      <c r="D21" s="372">
        <v>3.5999999999999997E-2</v>
      </c>
      <c r="E21" s="345">
        <v>2E-3</v>
      </c>
      <c r="F21" s="373">
        <f t="shared" si="0"/>
        <v>3.7999999999999999E-2</v>
      </c>
      <c r="G21" s="374">
        <f>O20/F21</f>
        <v>2.6315789473684212</v>
      </c>
      <c r="H21" s="374">
        <f>O20/F21</f>
        <v>2.6315789473684212</v>
      </c>
      <c r="I21" s="374"/>
      <c r="J21" s="374"/>
      <c r="K21" s="374">
        <f>(I11*I10*2)/(I10*I10*2)</f>
        <v>0.83333333333333337</v>
      </c>
      <c r="L21" s="1169"/>
      <c r="M21" s="1169"/>
      <c r="O21" s="1171"/>
      <c r="P21" s="83"/>
    </row>
    <row r="22" spans="1:16" x14ac:dyDescent="0.2">
      <c r="A22" s="1163"/>
      <c r="B22" s="1164" t="s">
        <v>7</v>
      </c>
      <c r="C22" s="1165"/>
      <c r="D22" s="372">
        <v>0.15</v>
      </c>
      <c r="E22" s="345">
        <v>0</v>
      </c>
      <c r="F22" s="373">
        <f t="shared" si="0"/>
        <v>0.15</v>
      </c>
      <c r="G22" s="374"/>
      <c r="H22" s="374"/>
      <c r="I22" s="374">
        <f>O22/F22</f>
        <v>1.3333333333333335</v>
      </c>
      <c r="J22" s="374">
        <f>O22/F22</f>
        <v>1.3333333333333335</v>
      </c>
      <c r="K22" s="374">
        <f>(I12*G10*2)/(I10*G10*2)</f>
        <v>0.16666666666666671</v>
      </c>
      <c r="L22" s="1169">
        <f>ROUND((K22*F22)+(K23*F23),3)</f>
        <v>5.7000000000000002E-2</v>
      </c>
      <c r="M22" s="1169">
        <f>ROUND(O22/L22,3)</f>
        <v>3.5089999999999999</v>
      </c>
      <c r="O22" s="1170">
        <v>0.2</v>
      </c>
      <c r="P22" s="83"/>
    </row>
    <row r="23" spans="1:16" x14ac:dyDescent="0.2">
      <c r="A23" s="1163"/>
      <c r="B23" s="1164" t="s">
        <v>262</v>
      </c>
      <c r="C23" s="1165"/>
      <c r="D23" s="372">
        <v>3.5999999999999997E-2</v>
      </c>
      <c r="E23" s="345">
        <v>2E-3</v>
      </c>
      <c r="F23" s="373">
        <f t="shared" si="0"/>
        <v>3.7999999999999999E-2</v>
      </c>
      <c r="G23" s="374">
        <f>O22/F23</f>
        <v>5.2631578947368425</v>
      </c>
      <c r="H23" s="374">
        <f>O22/F23</f>
        <v>5.2631578947368425</v>
      </c>
      <c r="I23" s="374"/>
      <c r="J23" s="374"/>
      <c r="K23" s="374">
        <f>(I11*G10*2)/(I10*G10*2)</f>
        <v>0.83333333333333337</v>
      </c>
      <c r="L23" s="1169"/>
      <c r="M23" s="1169"/>
      <c r="O23" s="1171"/>
      <c r="P23" s="83"/>
    </row>
    <row r="24" spans="1:16" hidden="1" x14ac:dyDescent="0.2">
      <c r="A24" s="1163"/>
      <c r="B24" s="1164" t="s">
        <v>7</v>
      </c>
      <c r="C24" s="1165"/>
      <c r="D24" s="372">
        <v>0.15</v>
      </c>
      <c r="E24" s="345">
        <v>0</v>
      </c>
      <c r="F24" s="373">
        <f t="shared" si="0"/>
        <v>0.15</v>
      </c>
      <c r="G24" s="374"/>
      <c r="H24" s="374">
        <f>O24/F24</f>
        <v>0</v>
      </c>
      <c r="I24" s="374"/>
      <c r="J24" s="374">
        <f>$O$24/$F$24</f>
        <v>0</v>
      </c>
      <c r="K24" s="374">
        <f>(G12*G10*2)/(G10*G10*2)</f>
        <v>0.25</v>
      </c>
      <c r="L24" s="1169">
        <f>ROUND((K24*F24)+(K25*F25),3)</f>
        <v>6.6000000000000003E-2</v>
      </c>
      <c r="M24" s="1169">
        <f>ROUND(O24/L24,3)</f>
        <v>0</v>
      </c>
      <c r="O24" s="1170"/>
      <c r="P24" s="83"/>
    </row>
    <row r="25" spans="1:16" hidden="1" x14ac:dyDescent="0.2">
      <c r="A25" s="1163"/>
      <c r="B25" s="1164" t="s">
        <v>262</v>
      </c>
      <c r="C25" s="1165"/>
      <c r="D25" s="372">
        <v>3.5999999999999997E-2</v>
      </c>
      <c r="E25" s="345">
        <v>2E-3</v>
      </c>
      <c r="F25" s="373">
        <f t="shared" si="0"/>
        <v>3.7999999999999999E-2</v>
      </c>
      <c r="G25" s="374">
        <f>O24/F25</f>
        <v>0</v>
      </c>
      <c r="H25" s="374"/>
      <c r="I25" s="374">
        <f>O24/F25</f>
        <v>0</v>
      </c>
      <c r="J25" s="374"/>
      <c r="K25" s="374">
        <f>(G11*G10*2)/(G10*G10*2)</f>
        <v>0.74999999999999978</v>
      </c>
      <c r="L25" s="1169"/>
      <c r="M25" s="1169"/>
      <c r="O25" s="1171"/>
      <c r="P25" s="83"/>
    </row>
    <row r="26" spans="1:16" hidden="1" x14ac:dyDescent="0.2">
      <c r="A26" s="1163"/>
      <c r="B26" s="1164" t="s">
        <v>243</v>
      </c>
      <c r="C26" s="1165"/>
      <c r="D26" s="372">
        <v>3.3000000000000002E-2</v>
      </c>
      <c r="E26" s="345">
        <v>2E-3</v>
      </c>
      <c r="F26" s="373">
        <f t="shared" si="0"/>
        <v>3.5000000000000003E-2</v>
      </c>
      <c r="G26" s="374">
        <f>O26/F26</f>
        <v>0</v>
      </c>
      <c r="H26" s="374">
        <f>$O$26/$F$26</f>
        <v>0</v>
      </c>
      <c r="I26" s="374">
        <f>$O$26/$F$26</f>
        <v>0</v>
      </c>
      <c r="J26" s="374">
        <f>$O$26/$F$26</f>
        <v>0</v>
      </c>
      <c r="K26" s="375"/>
      <c r="L26" s="1169">
        <v>1</v>
      </c>
      <c r="M26" s="1169">
        <f>ROUND(O26/L26,3)</f>
        <v>0</v>
      </c>
      <c r="O26" s="345">
        <v>0</v>
      </c>
      <c r="P26" s="83"/>
    </row>
    <row r="27" spans="1:16" hidden="1" x14ac:dyDescent="0.2">
      <c r="A27" s="1163"/>
      <c r="B27" s="1164" t="s">
        <v>362</v>
      </c>
      <c r="C27" s="1165"/>
      <c r="D27" s="372">
        <v>0.25</v>
      </c>
      <c r="E27" s="345">
        <v>0</v>
      </c>
      <c r="F27" s="373">
        <f t="shared" si="0"/>
        <v>0.25</v>
      </c>
      <c r="G27" s="374">
        <f>$O$27/$F$27</f>
        <v>0</v>
      </c>
      <c r="H27" s="374">
        <f>$O$27/$F$27</f>
        <v>0</v>
      </c>
      <c r="I27" s="374">
        <f>$O$27/$F$27</f>
        <v>0</v>
      </c>
      <c r="J27" s="374">
        <f>$O$27/$F$27</f>
        <v>0</v>
      </c>
      <c r="K27" s="375"/>
      <c r="L27" s="1169"/>
      <c r="M27" s="1169"/>
      <c r="O27" s="372">
        <v>0</v>
      </c>
      <c r="P27" s="83"/>
    </row>
    <row r="28" spans="1:16" hidden="1" x14ac:dyDescent="0.2">
      <c r="A28" s="1163">
        <v>5</v>
      </c>
      <c r="B28" s="1164"/>
      <c r="C28" s="1165"/>
      <c r="D28" s="372">
        <v>1</v>
      </c>
      <c r="E28" s="345">
        <v>0</v>
      </c>
      <c r="F28" s="373">
        <f t="shared" si="0"/>
        <v>1</v>
      </c>
      <c r="G28" s="374">
        <f>$O$28/$F$28</f>
        <v>0</v>
      </c>
      <c r="H28" s="374">
        <f>$O$28/$F$28</f>
        <v>0</v>
      </c>
      <c r="I28" s="374">
        <f>$O$28/$F$28</f>
        <v>0</v>
      </c>
      <c r="J28" s="374">
        <f>$O$28/$F$28</f>
        <v>0</v>
      </c>
      <c r="K28" s="375"/>
      <c r="L28" s="375">
        <f>F28</f>
        <v>1</v>
      </c>
      <c r="M28" s="414">
        <v>4.8000000000000001E-2</v>
      </c>
      <c r="O28" s="372">
        <v>0</v>
      </c>
      <c r="P28" s="83"/>
    </row>
    <row r="29" spans="1:16" hidden="1" x14ac:dyDescent="0.2">
      <c r="A29" s="1163"/>
      <c r="B29" s="1164" t="s">
        <v>243</v>
      </c>
      <c r="C29" s="1165"/>
      <c r="D29" s="372">
        <v>3.3000000000000002E-2</v>
      </c>
      <c r="E29" s="345">
        <v>2E-3</v>
      </c>
      <c r="F29" s="373">
        <f t="shared" si="0"/>
        <v>3.5000000000000003E-2</v>
      </c>
      <c r="G29" s="374">
        <f>$O$29/$F$29</f>
        <v>0</v>
      </c>
      <c r="H29" s="374">
        <f>$O$29/$F$29</f>
        <v>0</v>
      </c>
      <c r="I29" s="374">
        <f>$O$29/$F$29</f>
        <v>0</v>
      </c>
      <c r="J29" s="374">
        <f>$O$29/$F$29</f>
        <v>0</v>
      </c>
      <c r="K29" s="375"/>
      <c r="L29" s="374">
        <f>F29</f>
        <v>3.5000000000000003E-2</v>
      </c>
      <c r="M29" s="374">
        <f>O29/L29</f>
        <v>0</v>
      </c>
      <c r="O29" s="372"/>
      <c r="P29" s="83"/>
    </row>
    <row r="30" spans="1:16" x14ac:dyDescent="0.2">
      <c r="A30" s="1163"/>
      <c r="B30" s="1164" t="s">
        <v>365</v>
      </c>
      <c r="C30" s="1165"/>
      <c r="D30" s="435">
        <v>0.15</v>
      </c>
      <c r="E30" s="345">
        <v>0</v>
      </c>
      <c r="F30" s="373">
        <f t="shared" si="0"/>
        <v>0.15</v>
      </c>
      <c r="G30" s="374">
        <f>$O$30/$F$30</f>
        <v>0.13333333333333333</v>
      </c>
      <c r="H30" s="374">
        <f>$O$30/$F$30</f>
        <v>0.13333333333333333</v>
      </c>
      <c r="I30" s="374">
        <f>$O$30/$F$30</f>
        <v>0.13333333333333333</v>
      </c>
      <c r="J30" s="374">
        <f>$O$30/$F$30</f>
        <v>0.13333333333333333</v>
      </c>
      <c r="K30" s="375"/>
      <c r="L30" s="374">
        <f>F30</f>
        <v>0.15</v>
      </c>
      <c r="M30" s="375">
        <f>O30/L30</f>
        <v>0.13333333333333333</v>
      </c>
      <c r="O30" s="372">
        <v>0.02</v>
      </c>
      <c r="P30" s="83"/>
    </row>
    <row r="31" spans="1:16" hidden="1" x14ac:dyDescent="0.2">
      <c r="A31" s="1163"/>
      <c r="B31" s="1164"/>
      <c r="C31" s="1165"/>
      <c r="D31" s="372">
        <v>1</v>
      </c>
      <c r="E31" s="345">
        <v>0</v>
      </c>
      <c r="F31" s="373">
        <f t="shared" si="0"/>
        <v>1</v>
      </c>
      <c r="G31" s="374">
        <f>$O$31/$F$31</f>
        <v>0</v>
      </c>
      <c r="H31" s="374">
        <f>$O$31/$F$31</f>
        <v>0</v>
      </c>
      <c r="I31" s="374">
        <f>$O$31/$F$31</f>
        <v>0</v>
      </c>
      <c r="J31" s="374">
        <f>$O$31/$F$31</f>
        <v>0</v>
      </c>
      <c r="K31" s="375"/>
      <c r="L31" s="375">
        <v>1</v>
      </c>
      <c r="M31" s="432"/>
      <c r="O31" s="372"/>
      <c r="P31" s="83"/>
    </row>
    <row r="32" spans="1:16" x14ac:dyDescent="0.2">
      <c r="A32" s="86"/>
      <c r="F32" s="349"/>
      <c r="G32" s="374">
        <f>SUM(G18:G31)+$K$5+$K$6+$K$7</f>
        <v>8.4947368421052616</v>
      </c>
      <c r="H32" s="374">
        <f>SUM(H18:H31)+$K$5+$K$6+$K$7</f>
        <v>8.4947368421052616</v>
      </c>
      <c r="I32" s="374">
        <f>SUM(I18:I31)+$K$5+$K$6+$K$7</f>
        <v>2.6</v>
      </c>
      <c r="J32" s="374">
        <f>SUM(J18:J31)+$K$5+$K$6+$K$7</f>
        <v>2.6</v>
      </c>
      <c r="K32" s="1166"/>
      <c r="L32" s="1167"/>
      <c r="M32" s="1168"/>
      <c r="P32" s="83"/>
    </row>
    <row r="33" spans="1:16" x14ac:dyDescent="0.2">
      <c r="A33" s="86"/>
      <c r="C33" s="343"/>
      <c r="D33" s="377"/>
      <c r="E33" s="377"/>
      <c r="F33" s="377"/>
      <c r="G33" s="1191">
        <f>ROUND(1/((G15/G32)+(H15/H32)+(I15/I32)+(J15/J32)),3)</f>
        <v>5.4219999999999997</v>
      </c>
      <c r="H33" s="1192"/>
      <c r="I33" s="1192"/>
      <c r="J33" s="1193"/>
      <c r="K33" s="1194">
        <f>SUM(M18:M31)+K5+K6+K7</f>
        <v>5.91138596491228</v>
      </c>
      <c r="L33" s="1195"/>
      <c r="M33" s="1196"/>
      <c r="P33" s="83"/>
    </row>
    <row r="34" spans="1:16" ht="15.75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</row>
    <row r="35" spans="1:16" ht="15.75" x14ac:dyDescent="0.2">
      <c r="A35" s="86"/>
      <c r="O35" s="381">
        <f>SUM(O18:O31)*1000</f>
        <v>360.00000000000006</v>
      </c>
      <c r="P35" s="382" t="s">
        <v>120</v>
      </c>
    </row>
    <row r="36" spans="1:16" x14ac:dyDescent="0.2">
      <c r="A36" s="86"/>
      <c r="P36" s="83"/>
    </row>
    <row r="37" spans="1:16" ht="15.75" x14ac:dyDescent="0.2">
      <c r="A37" s="86"/>
      <c r="F37" s="902" t="s">
        <v>93</v>
      </c>
      <c r="G37" s="902"/>
      <c r="H37" s="902"/>
      <c r="I37" s="1094">
        <f>ROUND(1/((G33+K33)/2),3)</f>
        <v>0.17599999999999999</v>
      </c>
      <c r="J37" s="1095"/>
      <c r="K37" s="905" t="s">
        <v>306</v>
      </c>
      <c r="L37" s="906"/>
      <c r="P37" s="83"/>
    </row>
    <row r="38" spans="1:16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</row>
  </sheetData>
  <mergeCells count="64">
    <mergeCell ref="K7:L7"/>
    <mergeCell ref="M1:P1"/>
    <mergeCell ref="D3:L3"/>
    <mergeCell ref="D5:I5"/>
    <mergeCell ref="K5:L5"/>
    <mergeCell ref="K6:L6"/>
    <mergeCell ref="C11:F12"/>
    <mergeCell ref="G11:H11"/>
    <mergeCell ref="I11:J11"/>
    <mergeCell ref="G12:H12"/>
    <mergeCell ref="I12:J12"/>
    <mergeCell ref="G9:H9"/>
    <mergeCell ref="I9:J9"/>
    <mergeCell ref="C10:F10"/>
    <mergeCell ref="G10:H10"/>
    <mergeCell ref="I10:J10"/>
    <mergeCell ref="A13:B13"/>
    <mergeCell ref="C13:D13"/>
    <mergeCell ref="E13:F13"/>
    <mergeCell ref="G13:J13"/>
    <mergeCell ref="A14:B14"/>
    <mergeCell ref="C14:D14"/>
    <mergeCell ref="A15:F15"/>
    <mergeCell ref="G16:J16"/>
    <mergeCell ref="K16:M16"/>
    <mergeCell ref="B17:C17"/>
    <mergeCell ref="A18:A19"/>
    <mergeCell ref="B18:C18"/>
    <mergeCell ref="B19:C19"/>
    <mergeCell ref="A20:A21"/>
    <mergeCell ref="B20:C20"/>
    <mergeCell ref="L20:L21"/>
    <mergeCell ref="M20:M21"/>
    <mergeCell ref="O20:O21"/>
    <mergeCell ref="B21:C21"/>
    <mergeCell ref="A22:A23"/>
    <mergeCell ref="B22:C22"/>
    <mergeCell ref="L22:L23"/>
    <mergeCell ref="M22:M23"/>
    <mergeCell ref="O22:O23"/>
    <mergeCell ref="B23:C23"/>
    <mergeCell ref="L26:L27"/>
    <mergeCell ref="M26:M27"/>
    <mergeCell ref="B27:C27"/>
    <mergeCell ref="O24:O25"/>
    <mergeCell ref="B25:C25"/>
    <mergeCell ref="L24:L25"/>
    <mergeCell ref="M24:M25"/>
    <mergeCell ref="A28:A29"/>
    <mergeCell ref="B28:C28"/>
    <mergeCell ref="B29:C29"/>
    <mergeCell ref="A24:A25"/>
    <mergeCell ref="B24:C24"/>
    <mergeCell ref="A26:A27"/>
    <mergeCell ref="B26:C26"/>
    <mergeCell ref="F37:H37"/>
    <mergeCell ref="I37:J37"/>
    <mergeCell ref="K37:L37"/>
    <mergeCell ref="A30:A31"/>
    <mergeCell ref="B30:C30"/>
    <mergeCell ref="B31:C31"/>
    <mergeCell ref="K32:M32"/>
    <mergeCell ref="G33:J33"/>
    <mergeCell ref="K33:M33"/>
  </mergeCells>
  <pageMargins left="0.7" right="0.7" top="0.75" bottom="0.75" header="0.3" footer="0.3"/>
  <pageSetup paperSize="9" orientation="landscape" horizont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51"/>
  <sheetViews>
    <sheetView showGridLines="0" workbookViewId="0">
      <selection activeCell="G42" sqref="G42"/>
    </sheetView>
  </sheetViews>
  <sheetFormatPr defaultColWidth="9.140625" defaultRowHeight="12.75" x14ac:dyDescent="0.2"/>
  <cols>
    <col min="1" max="1" width="3.140625" style="2" customWidth="1"/>
    <col min="2" max="2" width="8.140625" style="2" customWidth="1"/>
    <col min="3" max="4" width="7.7109375" style="2" customWidth="1"/>
    <col min="5" max="8" width="10.28515625" style="2" customWidth="1"/>
    <col min="9" max="9" width="1.5703125" style="2" customWidth="1"/>
    <col min="10" max="10" width="8.5703125" style="2" customWidth="1"/>
    <col min="11" max="11" width="5" style="2" customWidth="1"/>
    <col min="12" max="16384" width="9.140625" style="2"/>
  </cols>
  <sheetData>
    <row r="1" spans="1:16" ht="10.5" customHeight="1" x14ac:dyDescent="0.25">
      <c r="H1" s="862"/>
      <c r="I1" s="862"/>
      <c r="J1" s="862"/>
      <c r="K1" s="862"/>
    </row>
    <row r="2" spans="1:16" ht="7.5" customHeight="1" x14ac:dyDescent="0.2"/>
    <row r="3" spans="1:16" x14ac:dyDescent="0.2">
      <c r="A3" s="385"/>
      <c r="B3" s="99"/>
      <c r="C3" s="99"/>
      <c r="D3" s="99"/>
      <c r="E3" s="99"/>
      <c r="F3" s="99"/>
      <c r="G3" s="99"/>
      <c r="H3" s="99"/>
      <c r="I3" s="99"/>
      <c r="J3" s="99"/>
      <c r="K3" s="81"/>
    </row>
    <row r="4" spans="1:16" ht="21" customHeight="1" x14ac:dyDescent="0.2">
      <c r="A4" s="386"/>
      <c r="B4" s="387" t="s">
        <v>352</v>
      </c>
      <c r="C4" s="1158" t="s">
        <v>353</v>
      </c>
      <c r="D4" s="868"/>
      <c r="E4" s="868"/>
      <c r="F4" s="868"/>
      <c r="G4" s="868"/>
      <c r="H4" s="868"/>
      <c r="I4" s="868"/>
      <c r="J4" s="869"/>
      <c r="K4" s="83"/>
    </row>
    <row r="5" spans="1:16" x14ac:dyDescent="0.2">
      <c r="A5" s="354"/>
      <c r="B5" s="341"/>
      <c r="C5" s="341"/>
      <c r="D5" s="341"/>
      <c r="E5" s="341"/>
      <c r="F5" s="341"/>
      <c r="G5" s="341"/>
      <c r="H5" s="341"/>
      <c r="I5" s="341"/>
      <c r="J5" s="341"/>
      <c r="K5" s="83"/>
      <c r="M5" s="2">
        <v>6</v>
      </c>
      <c r="N5" s="2">
        <v>11.8</v>
      </c>
      <c r="O5" s="2">
        <v>0.42</v>
      </c>
    </row>
    <row r="6" spans="1:16" ht="15" x14ac:dyDescent="0.25">
      <c r="A6" s="354"/>
      <c r="B6" s="932" t="s">
        <v>299</v>
      </c>
      <c r="C6" s="932"/>
      <c r="D6" s="932"/>
      <c r="E6" s="932"/>
      <c r="F6" s="341" t="s">
        <v>300</v>
      </c>
      <c r="G6" s="1182">
        <v>0.17</v>
      </c>
      <c r="H6" s="1226"/>
      <c r="I6" s="1186"/>
      <c r="J6" s="388"/>
      <c r="K6" s="83"/>
      <c r="M6" s="2">
        <v>3.7</v>
      </c>
      <c r="N6" s="2">
        <v>11.8</v>
      </c>
      <c r="O6" s="2">
        <v>19.649999999999999</v>
      </c>
    </row>
    <row r="7" spans="1:16" ht="15" x14ac:dyDescent="0.25">
      <c r="A7" s="354"/>
      <c r="B7" s="341"/>
      <c r="C7" s="341"/>
      <c r="D7" s="341"/>
      <c r="E7" s="341"/>
      <c r="F7" s="341" t="s">
        <v>301</v>
      </c>
      <c r="G7" s="1184">
        <v>0.04</v>
      </c>
      <c r="H7" s="1227"/>
      <c r="I7" s="1222"/>
      <c r="J7" s="388"/>
      <c r="K7" s="83"/>
      <c r="M7" s="2">
        <v>0.6</v>
      </c>
      <c r="N7" s="2">
        <v>6.9</v>
      </c>
      <c r="O7" s="2">
        <v>0.37</v>
      </c>
    </row>
    <row r="8" spans="1:16" x14ac:dyDescent="0.2">
      <c r="A8" s="389"/>
      <c r="B8" s="390"/>
      <c r="C8" s="390"/>
      <c r="D8" s="390"/>
      <c r="E8" s="390"/>
      <c r="F8" s="390"/>
      <c r="G8" s="390"/>
      <c r="H8" s="391"/>
      <c r="I8" s="391"/>
      <c r="J8" s="391"/>
      <c r="K8" s="392"/>
      <c r="M8" s="2">
        <v>4.9000000000000004</v>
      </c>
      <c r="N8" s="2">
        <v>6.9</v>
      </c>
    </row>
    <row r="9" spans="1:16" x14ac:dyDescent="0.2">
      <c r="A9" s="389"/>
      <c r="B9" s="390"/>
      <c r="C9" s="390"/>
      <c r="D9" s="1120" t="s">
        <v>155</v>
      </c>
      <c r="E9" s="1120"/>
      <c r="F9" s="1120"/>
      <c r="G9" s="391" t="s">
        <v>145</v>
      </c>
      <c r="H9" s="393">
        <f>'6.lapa'!M19/1000</f>
        <v>5.0000000000000001E-4</v>
      </c>
      <c r="I9" s="391"/>
      <c r="J9" s="391"/>
      <c r="K9" s="392"/>
      <c r="M9" s="2">
        <v>1.2</v>
      </c>
    </row>
    <row r="10" spans="1:16" ht="14.25" x14ac:dyDescent="0.2">
      <c r="A10" s="394"/>
      <c r="B10" s="395"/>
      <c r="C10" s="395"/>
      <c r="D10" s="946" t="s">
        <v>325</v>
      </c>
      <c r="E10" s="946"/>
      <c r="F10" s="946"/>
      <c r="G10" s="396" t="s">
        <v>9</v>
      </c>
      <c r="H10" s="397">
        <v>60.1</v>
      </c>
      <c r="I10" s="396"/>
      <c r="K10" s="83"/>
      <c r="M10" s="2">
        <v>7.7</v>
      </c>
      <c r="O10" s="2">
        <f>SUM(O5:O9)</f>
        <v>20.440000000000001</v>
      </c>
    </row>
    <row r="11" spans="1:16" x14ac:dyDescent="0.2">
      <c r="A11" s="394"/>
      <c r="B11" s="398"/>
      <c r="C11" s="395"/>
      <c r="D11" s="946" t="s">
        <v>157</v>
      </c>
      <c r="E11" s="946"/>
      <c r="F11" s="946"/>
      <c r="G11" s="399" t="s">
        <v>129</v>
      </c>
      <c r="H11" s="347">
        <v>26.25</v>
      </c>
      <c r="I11" s="399"/>
      <c r="K11" s="83"/>
      <c r="M11" s="2">
        <v>9.65</v>
      </c>
      <c r="O11" s="2">
        <f>O10*2</f>
        <v>40.880000000000003</v>
      </c>
      <c r="P11" s="2">
        <f>SUM(N11:O11)</f>
        <v>40.880000000000003</v>
      </c>
    </row>
    <row r="12" spans="1:16" x14ac:dyDescent="0.2">
      <c r="A12" s="394"/>
      <c r="B12" s="398"/>
      <c r="C12" s="400"/>
      <c r="D12" s="948" t="s">
        <v>158</v>
      </c>
      <c r="E12" s="948"/>
      <c r="F12" s="948"/>
      <c r="G12" s="399" t="s">
        <v>130</v>
      </c>
      <c r="H12" s="401">
        <f>ROUND(H10/(0.5*H11),2)</f>
        <v>4.58</v>
      </c>
      <c r="I12" s="399"/>
      <c r="K12" s="83"/>
      <c r="M12" s="2">
        <v>7.3</v>
      </c>
    </row>
    <row r="13" spans="1:16" x14ac:dyDescent="0.2">
      <c r="A13" s="394"/>
      <c r="B13" s="398"/>
      <c r="C13" s="404"/>
      <c r="D13" s="398"/>
      <c r="E13" s="398"/>
      <c r="F13" s="398"/>
      <c r="G13" s="335"/>
      <c r="K13" s="83"/>
      <c r="M13" s="2">
        <v>1.2</v>
      </c>
    </row>
    <row r="14" spans="1:16" x14ac:dyDescent="0.2">
      <c r="A14" s="394"/>
      <c r="B14" s="946" t="s">
        <v>133</v>
      </c>
      <c r="C14" s="946"/>
      <c r="D14" s="946"/>
      <c r="E14" s="946"/>
      <c r="F14" s="946"/>
      <c r="G14" s="418" t="s">
        <v>10</v>
      </c>
      <c r="H14" s="402">
        <v>2</v>
      </c>
      <c r="I14" s="403"/>
      <c r="K14" s="83"/>
      <c r="M14" s="2">
        <v>5.8</v>
      </c>
      <c r="N14" s="2">
        <f>SUM(N5:N13)</f>
        <v>37.4</v>
      </c>
    </row>
    <row r="15" spans="1:16" x14ac:dyDescent="0.2">
      <c r="A15" s="86"/>
      <c r="G15" s="762"/>
      <c r="H15" s="762"/>
      <c r="I15" s="335"/>
      <c r="K15" s="83"/>
      <c r="M15" s="2">
        <v>2.7</v>
      </c>
    </row>
    <row r="16" spans="1:16" ht="33" customHeight="1" x14ac:dyDescent="0.2">
      <c r="A16" s="339"/>
      <c r="B16" s="961" t="s">
        <v>6</v>
      </c>
      <c r="C16" s="961"/>
      <c r="D16" s="961"/>
      <c r="E16" s="405" t="s">
        <v>326</v>
      </c>
      <c r="F16" s="405" t="s">
        <v>327</v>
      </c>
      <c r="G16" s="405" t="s">
        <v>328</v>
      </c>
      <c r="H16" s="405" t="s">
        <v>329</v>
      </c>
      <c r="I16" s="405"/>
      <c r="J16" s="405" t="s">
        <v>330</v>
      </c>
      <c r="K16" s="83"/>
      <c r="M16" s="2">
        <v>6.5</v>
      </c>
    </row>
    <row r="17" spans="1:16" x14ac:dyDescent="0.2">
      <c r="A17" s="367"/>
      <c r="B17" s="990" t="s">
        <v>223</v>
      </c>
      <c r="C17" s="990"/>
      <c r="D17" s="990"/>
      <c r="E17" s="346">
        <v>0.25</v>
      </c>
      <c r="F17" s="346">
        <v>0</v>
      </c>
      <c r="G17" s="374">
        <f t="shared" ref="G17:G23" si="0">E17+F17</f>
        <v>0.25</v>
      </c>
      <c r="H17" s="375">
        <f>ROUND(J17/G17,3)</f>
        <v>0.06</v>
      </c>
      <c r="I17" s="406"/>
      <c r="J17" s="346">
        <v>1.4999999999999999E-2</v>
      </c>
      <c r="K17" s="83"/>
      <c r="M17" s="2">
        <v>1.5</v>
      </c>
      <c r="P17" s="2">
        <v>26.25</v>
      </c>
    </row>
    <row r="18" spans="1:16" x14ac:dyDescent="0.2">
      <c r="A18" s="367"/>
      <c r="B18" s="990" t="s">
        <v>224</v>
      </c>
      <c r="C18" s="990"/>
      <c r="D18" s="990"/>
      <c r="E18" s="346">
        <v>1.7</v>
      </c>
      <c r="F18" s="346">
        <v>0</v>
      </c>
      <c r="G18" s="374">
        <f t="shared" si="0"/>
        <v>1.7</v>
      </c>
      <c r="H18" s="375">
        <f t="shared" ref="H18:H23" si="1">ROUND(J18/G18,3)</f>
        <v>3.2000000000000001E-2</v>
      </c>
      <c r="I18" s="406"/>
      <c r="J18" s="346">
        <v>5.5E-2</v>
      </c>
      <c r="K18" s="407"/>
      <c r="M18" s="2">
        <v>9.65</v>
      </c>
      <c r="P18" s="2">
        <v>43.5</v>
      </c>
    </row>
    <row r="19" spans="1:16" x14ac:dyDescent="0.2">
      <c r="A19" s="367"/>
      <c r="B19" s="990" t="s">
        <v>222</v>
      </c>
      <c r="C19" s="990"/>
      <c r="D19" s="990"/>
      <c r="E19" s="346">
        <v>3.3000000000000002E-2</v>
      </c>
      <c r="F19" s="346">
        <v>2E-3</v>
      </c>
      <c r="G19" s="374">
        <f t="shared" si="0"/>
        <v>3.5000000000000003E-2</v>
      </c>
      <c r="H19" s="401">
        <f t="shared" si="1"/>
        <v>2</v>
      </c>
      <c r="I19" s="406"/>
      <c r="J19" s="346">
        <v>7.0000000000000007E-2</v>
      </c>
      <c r="K19" s="83"/>
      <c r="M19" s="2">
        <f>SUM(M5:M18)</f>
        <v>68.400000000000006</v>
      </c>
    </row>
    <row r="20" spans="1:16" x14ac:dyDescent="0.2">
      <c r="A20" s="367"/>
      <c r="B20" s="990" t="s">
        <v>11</v>
      </c>
      <c r="C20" s="990"/>
      <c r="D20" s="990"/>
      <c r="E20" s="346">
        <v>2</v>
      </c>
      <c r="F20" s="346">
        <v>0</v>
      </c>
      <c r="G20" s="374">
        <f t="shared" si="0"/>
        <v>2</v>
      </c>
      <c r="H20" s="375">
        <f t="shared" si="1"/>
        <v>2.5000000000000001E-2</v>
      </c>
      <c r="I20" s="406"/>
      <c r="J20" s="346">
        <v>0.05</v>
      </c>
      <c r="K20" s="83"/>
    </row>
    <row r="21" spans="1:16" hidden="1" x14ac:dyDescent="0.2">
      <c r="A21" s="367"/>
      <c r="B21" s="990" t="s">
        <v>222</v>
      </c>
      <c r="C21" s="990"/>
      <c r="D21" s="990"/>
      <c r="E21" s="346">
        <v>3.3000000000000002E-2</v>
      </c>
      <c r="F21" s="346">
        <v>4.0000000000000001E-3</v>
      </c>
      <c r="G21" s="374">
        <f t="shared" si="0"/>
        <v>3.7000000000000005E-2</v>
      </c>
      <c r="H21" s="375">
        <f t="shared" si="1"/>
        <v>0</v>
      </c>
      <c r="I21" s="406"/>
      <c r="J21" s="346">
        <v>0</v>
      </c>
      <c r="K21" s="83"/>
    </row>
    <row r="22" spans="1:16" hidden="1" x14ac:dyDescent="0.2">
      <c r="A22" s="367"/>
      <c r="B22" s="1000"/>
      <c r="C22" s="1000"/>
      <c r="D22" s="1000"/>
      <c r="E22" s="408">
        <v>1</v>
      </c>
      <c r="F22" s="409">
        <v>0</v>
      </c>
      <c r="G22" s="410">
        <f t="shared" si="0"/>
        <v>1</v>
      </c>
      <c r="H22" s="375">
        <f t="shared" si="1"/>
        <v>0</v>
      </c>
      <c r="I22" s="406"/>
      <c r="J22" s="353"/>
      <c r="K22" s="83"/>
    </row>
    <row r="23" spans="1:16" hidden="1" x14ac:dyDescent="0.2">
      <c r="A23" s="367"/>
      <c r="B23" s="1000"/>
      <c r="C23" s="1000"/>
      <c r="D23" s="1000"/>
      <c r="E23" s="408">
        <v>1</v>
      </c>
      <c r="F23" s="409">
        <v>0</v>
      </c>
      <c r="G23" s="410">
        <f t="shared" si="0"/>
        <v>1</v>
      </c>
      <c r="H23" s="375">
        <f t="shared" si="1"/>
        <v>0</v>
      </c>
      <c r="I23" s="406"/>
      <c r="J23" s="353"/>
      <c r="K23" s="83"/>
    </row>
    <row r="24" spans="1:16" x14ac:dyDescent="0.2">
      <c r="A24" s="339"/>
      <c r="B24" s="977"/>
      <c r="C24" s="977"/>
      <c r="D24" s="977"/>
      <c r="E24" s="977"/>
      <c r="F24" s="977"/>
      <c r="G24" s="977"/>
      <c r="H24" s="335"/>
      <c r="I24" s="335"/>
      <c r="J24" s="343" t="s">
        <v>106</v>
      </c>
      <c r="K24" s="83"/>
    </row>
    <row r="25" spans="1:16" ht="15.75" x14ac:dyDescent="0.2">
      <c r="A25" s="339"/>
      <c r="B25" s="411"/>
      <c r="C25" s="411"/>
      <c r="D25" s="411"/>
      <c r="E25" s="411"/>
      <c r="F25" s="411"/>
      <c r="G25" s="411"/>
      <c r="H25" s="335"/>
      <c r="I25" s="335"/>
      <c r="J25" s="381">
        <f>ROUND(SUM(J17:J23)*1000,0)</f>
        <v>190</v>
      </c>
      <c r="K25" s="83" t="s">
        <v>120</v>
      </c>
    </row>
    <row r="26" spans="1:16" x14ac:dyDescent="0.2">
      <c r="A26" s="339"/>
      <c r="B26" s="411"/>
      <c r="C26" s="411"/>
      <c r="D26" s="411"/>
      <c r="E26" s="411"/>
      <c r="F26" s="411"/>
      <c r="G26" s="411"/>
      <c r="H26" s="335"/>
      <c r="I26" s="335"/>
      <c r="K26" s="83"/>
    </row>
    <row r="27" spans="1:16" ht="14.25" x14ac:dyDescent="0.2">
      <c r="A27" s="951" t="s">
        <v>331</v>
      </c>
      <c r="B27" s="948"/>
      <c r="C27" s="948"/>
      <c r="D27" s="948"/>
      <c r="E27" s="948"/>
      <c r="F27" s="948"/>
      <c r="G27" s="412" t="s">
        <v>332</v>
      </c>
      <c r="H27" s="432">
        <f>SUM(H17:H24)+G6+G7</f>
        <v>2.327</v>
      </c>
      <c r="I27" s="335"/>
      <c r="K27" s="407"/>
    </row>
    <row r="28" spans="1:16" ht="14.25" x14ac:dyDescent="0.2">
      <c r="A28" s="339"/>
      <c r="B28" s="948" t="s">
        <v>160</v>
      </c>
      <c r="C28" s="948"/>
      <c r="D28" s="948"/>
      <c r="E28" s="948"/>
      <c r="F28" s="948"/>
      <c r="G28" s="418" t="s">
        <v>333</v>
      </c>
      <c r="H28" s="413">
        <f>H9+(H14*H27)</f>
        <v>4.6544999999999996</v>
      </c>
      <c r="I28" s="335"/>
      <c r="K28" s="83"/>
    </row>
    <row r="29" spans="1:16" ht="15" x14ac:dyDescent="0.2">
      <c r="A29" s="339"/>
      <c r="B29" s="836" t="s">
        <v>334</v>
      </c>
      <c r="C29" s="836"/>
      <c r="D29" s="836"/>
      <c r="E29" s="836"/>
      <c r="F29" s="836"/>
      <c r="G29" s="418" t="s">
        <v>335</v>
      </c>
      <c r="H29" s="414">
        <f>IF(H12&gt;H28,H14/((0.457*H12)+H28),(2*H14/((3.14*H12)+H28)))*(LN((3.14*H12/H28)+1))</f>
        <v>0.29596635163338536</v>
      </c>
      <c r="I29" s="952"/>
      <c r="J29" s="952"/>
      <c r="K29" s="415"/>
    </row>
    <row r="30" spans="1:16" x14ac:dyDescent="0.2">
      <c r="A30" s="339"/>
      <c r="B30" s="416"/>
      <c r="C30" s="416"/>
      <c r="D30" s="416"/>
      <c r="E30" s="416"/>
      <c r="F30" s="416"/>
      <c r="G30" s="418"/>
      <c r="H30" s="380"/>
      <c r="I30" s="417"/>
      <c r="J30" s="417"/>
      <c r="K30" s="415"/>
    </row>
    <row r="31" spans="1:16" hidden="1" x14ac:dyDescent="0.2">
      <c r="A31" s="339"/>
      <c r="B31" s="953"/>
      <c r="C31" s="953"/>
      <c r="D31" s="953"/>
      <c r="E31" s="953"/>
      <c r="F31" s="953"/>
      <c r="G31" s="953"/>
      <c r="H31" s="953"/>
      <c r="I31" s="417"/>
      <c r="J31" s="417"/>
      <c r="K31" s="415"/>
    </row>
    <row r="32" spans="1:16" ht="15" hidden="1" customHeight="1" x14ac:dyDescent="0.2">
      <c r="A32" s="339"/>
      <c r="B32" s="836" t="s">
        <v>161</v>
      </c>
      <c r="C32" s="836"/>
      <c r="D32" s="836"/>
      <c r="E32" s="836"/>
      <c r="F32" s="836"/>
      <c r="G32" s="418" t="s">
        <v>336</v>
      </c>
      <c r="H32" s="419">
        <v>0</v>
      </c>
      <c r="I32" s="417"/>
      <c r="J32" s="417"/>
      <c r="K32" s="415"/>
    </row>
    <row r="33" spans="1:11" ht="14.25" hidden="1" x14ac:dyDescent="0.2">
      <c r="A33" s="339"/>
      <c r="B33" s="836" t="s">
        <v>163</v>
      </c>
      <c r="C33" s="836"/>
      <c r="D33" s="836"/>
      <c r="E33" s="836"/>
      <c r="F33" s="836"/>
      <c r="G33" s="418" t="s">
        <v>337</v>
      </c>
      <c r="H33" s="419">
        <v>0</v>
      </c>
      <c r="I33" s="417"/>
      <c r="J33" s="417"/>
      <c r="K33" s="415"/>
    </row>
    <row r="34" spans="1:11" ht="14.25" hidden="1" x14ac:dyDescent="0.2">
      <c r="A34" s="339"/>
      <c r="B34" s="836" t="s">
        <v>164</v>
      </c>
      <c r="C34" s="836"/>
      <c r="D34" s="836"/>
      <c r="E34" s="836"/>
      <c r="F34" s="836"/>
      <c r="G34" s="418" t="s">
        <v>338</v>
      </c>
      <c r="H34" s="419">
        <v>2E-3</v>
      </c>
      <c r="I34" s="417"/>
      <c r="J34" s="417"/>
      <c r="K34" s="415"/>
    </row>
    <row r="35" spans="1:11" ht="15" hidden="1" x14ac:dyDescent="0.2">
      <c r="A35" s="339"/>
      <c r="B35" s="836" t="s">
        <v>339</v>
      </c>
      <c r="C35" s="836"/>
      <c r="D35" s="836"/>
      <c r="E35" s="836"/>
      <c r="F35" s="836"/>
      <c r="G35" s="418" t="s">
        <v>340</v>
      </c>
      <c r="H35" s="414">
        <f>H32/(H33+H34)</f>
        <v>0</v>
      </c>
      <c r="I35" s="417"/>
      <c r="J35" s="417"/>
      <c r="K35" s="415"/>
    </row>
    <row r="36" spans="1:11" ht="15" hidden="1" x14ac:dyDescent="0.2">
      <c r="A36" s="339"/>
      <c r="B36" s="836" t="s">
        <v>341</v>
      </c>
      <c r="C36" s="836"/>
      <c r="D36" s="836"/>
      <c r="E36" s="836"/>
      <c r="F36" s="836"/>
      <c r="G36" s="418" t="s">
        <v>169</v>
      </c>
      <c r="H36" s="414">
        <f>H35-(H32/H14)</f>
        <v>0</v>
      </c>
      <c r="I36" s="417"/>
      <c r="J36" s="417"/>
      <c r="K36" s="415"/>
    </row>
    <row r="37" spans="1:11" hidden="1" x14ac:dyDescent="0.2">
      <c r="A37" s="339"/>
      <c r="B37" s="836" t="s">
        <v>170</v>
      </c>
      <c r="C37" s="836"/>
      <c r="D37" s="836"/>
      <c r="E37" s="836"/>
      <c r="F37" s="836"/>
      <c r="G37" s="418" t="s">
        <v>171</v>
      </c>
      <c r="H37" s="414">
        <f>H36*H14</f>
        <v>0</v>
      </c>
      <c r="I37" s="417"/>
      <c r="J37" s="417"/>
      <c r="K37" s="415"/>
    </row>
    <row r="38" spans="1:11" hidden="1" x14ac:dyDescent="0.2">
      <c r="A38" s="339"/>
      <c r="B38" s="836" t="s">
        <v>173</v>
      </c>
      <c r="C38" s="836"/>
      <c r="D38" s="836"/>
      <c r="E38" s="836"/>
      <c r="F38" s="836"/>
      <c r="G38" s="418" t="s">
        <v>42</v>
      </c>
      <c r="H38" s="420">
        <v>0</v>
      </c>
      <c r="I38" s="417"/>
      <c r="J38" s="417"/>
      <c r="K38" s="415"/>
    </row>
    <row r="39" spans="1:11" hidden="1" x14ac:dyDescent="0.2">
      <c r="A39" s="339"/>
      <c r="B39" s="836" t="s">
        <v>176</v>
      </c>
      <c r="C39" s="836"/>
      <c r="D39" s="836"/>
      <c r="E39" s="836"/>
      <c r="F39" s="836"/>
      <c r="G39" s="418" t="s">
        <v>172</v>
      </c>
      <c r="H39" s="414">
        <f>-H14/3.14*((LN((H38/H28)+1)-LN(((H38/(H28+H37))+1))))</f>
        <v>0</v>
      </c>
      <c r="I39" s="417"/>
      <c r="J39" s="417"/>
      <c r="K39" s="415"/>
    </row>
    <row r="40" spans="1:11" hidden="1" x14ac:dyDescent="0.2">
      <c r="A40" s="339"/>
      <c r="B40" s="416"/>
      <c r="C40" s="416"/>
      <c r="D40" s="416"/>
      <c r="E40" s="416"/>
      <c r="F40" s="416"/>
      <c r="G40" s="418"/>
      <c r="H40" s="380"/>
      <c r="I40" s="417"/>
      <c r="J40" s="417"/>
      <c r="K40" s="415"/>
    </row>
    <row r="41" spans="1:11" ht="14.25" x14ac:dyDescent="0.2">
      <c r="A41" s="339"/>
      <c r="B41" s="836" t="s">
        <v>161</v>
      </c>
      <c r="C41" s="836"/>
      <c r="D41" s="836"/>
      <c r="E41" s="836"/>
      <c r="F41" s="836"/>
      <c r="G41" s="418" t="s">
        <v>336</v>
      </c>
      <c r="H41" s="421">
        <v>0.05</v>
      </c>
      <c r="I41" s="417"/>
      <c r="J41" s="417"/>
      <c r="K41" s="415"/>
    </row>
    <row r="42" spans="1:11" ht="14.25" x14ac:dyDescent="0.2">
      <c r="A42" s="339"/>
      <c r="B42" s="836" t="s">
        <v>163</v>
      </c>
      <c r="C42" s="836"/>
      <c r="D42" s="836"/>
      <c r="E42" s="836"/>
      <c r="F42" s="836"/>
      <c r="G42" s="418" t="s">
        <v>337</v>
      </c>
      <c r="H42" s="421">
        <v>3.4000000000000002E-2</v>
      </c>
      <c r="I42" s="417"/>
      <c r="J42" s="417"/>
      <c r="K42" s="415"/>
    </row>
    <row r="43" spans="1:11" ht="14.25" x14ac:dyDescent="0.2">
      <c r="A43" s="339"/>
      <c r="B43" s="836" t="s">
        <v>164</v>
      </c>
      <c r="C43" s="836"/>
      <c r="D43" s="836"/>
      <c r="E43" s="836"/>
      <c r="F43" s="836"/>
      <c r="G43" s="418" t="s">
        <v>338</v>
      </c>
      <c r="H43" s="421">
        <v>2E-3</v>
      </c>
      <c r="I43" s="417"/>
      <c r="J43" s="417"/>
      <c r="K43" s="415"/>
    </row>
    <row r="44" spans="1:11" ht="15" x14ac:dyDescent="0.2">
      <c r="A44" s="339"/>
      <c r="B44" s="836" t="s">
        <v>339</v>
      </c>
      <c r="C44" s="836"/>
      <c r="D44" s="836"/>
      <c r="E44" s="836"/>
      <c r="F44" s="836"/>
      <c r="G44" s="418" t="s">
        <v>340</v>
      </c>
      <c r="H44" s="414">
        <f>H41/(H42+H43)</f>
        <v>1.3888888888888888</v>
      </c>
      <c r="I44" s="417"/>
      <c r="J44" s="417"/>
      <c r="K44" s="415"/>
    </row>
    <row r="45" spans="1:11" ht="15" x14ac:dyDescent="0.2">
      <c r="A45" s="339"/>
      <c r="B45" s="836" t="s">
        <v>341</v>
      </c>
      <c r="C45" s="836"/>
      <c r="D45" s="836"/>
      <c r="E45" s="836"/>
      <c r="F45" s="836"/>
      <c r="G45" s="418" t="s">
        <v>169</v>
      </c>
      <c r="H45" s="414">
        <f>H44-(H41/H14)</f>
        <v>1.3638888888888889</v>
      </c>
      <c r="I45" s="417"/>
      <c r="J45" s="417"/>
      <c r="K45" s="415"/>
    </row>
    <row r="46" spans="1:11" x14ac:dyDescent="0.2">
      <c r="A46" s="339"/>
      <c r="B46" s="836" t="s">
        <v>170</v>
      </c>
      <c r="C46" s="836"/>
      <c r="D46" s="836"/>
      <c r="E46" s="836"/>
      <c r="F46" s="836"/>
      <c r="G46" s="418" t="s">
        <v>171</v>
      </c>
      <c r="H46" s="414">
        <f>H45*H14</f>
        <v>2.7277777777777779</v>
      </c>
      <c r="I46" s="417"/>
      <c r="J46" s="417"/>
      <c r="K46" s="415"/>
    </row>
    <row r="47" spans="1:11" x14ac:dyDescent="0.2">
      <c r="A47" s="339"/>
      <c r="B47" s="836" t="s">
        <v>218</v>
      </c>
      <c r="C47" s="836"/>
      <c r="D47" s="836"/>
      <c r="E47" s="836"/>
      <c r="F47" s="836"/>
      <c r="G47" s="418" t="s">
        <v>42</v>
      </c>
      <c r="H47" s="397">
        <v>1</v>
      </c>
      <c r="I47" s="417"/>
      <c r="J47" s="417"/>
      <c r="K47" s="415"/>
    </row>
    <row r="48" spans="1:11" x14ac:dyDescent="0.2">
      <c r="A48" s="339"/>
      <c r="B48" s="836" t="s">
        <v>175</v>
      </c>
      <c r="C48" s="836"/>
      <c r="D48" s="836"/>
      <c r="E48" s="836"/>
      <c r="F48" s="836"/>
      <c r="G48" s="418" t="s">
        <v>172</v>
      </c>
      <c r="H48" s="414">
        <f>-H14/3.14*((LN((2*H47/H28)+1)-LN(((2*H47/(H28+H46))+1))))</f>
        <v>-7.4979929902527387E-2</v>
      </c>
      <c r="I48" s="417"/>
      <c r="J48" s="417"/>
      <c r="K48" s="415"/>
    </row>
    <row r="49" spans="1:11" x14ac:dyDescent="0.2">
      <c r="A49" s="339"/>
      <c r="B49" s="416"/>
      <c r="C49" s="416"/>
      <c r="D49" s="416"/>
      <c r="E49" s="416"/>
      <c r="F49" s="416"/>
      <c r="G49" s="418"/>
      <c r="H49" s="380"/>
      <c r="I49" s="417"/>
      <c r="J49" s="417"/>
      <c r="K49" s="415"/>
    </row>
    <row r="50" spans="1:11" ht="15.75" x14ac:dyDescent="0.2">
      <c r="A50" s="339"/>
      <c r="B50" s="416"/>
      <c r="C50" s="416"/>
      <c r="D50" s="416"/>
      <c r="E50" s="416"/>
      <c r="F50" s="416"/>
      <c r="G50" s="422" t="s">
        <v>93</v>
      </c>
      <c r="H50" s="423">
        <f>IF(H48&lt;H39,H29+((2*H48)/H12),H29+((2*H39)/H12))</f>
        <v>0.26322402416503277</v>
      </c>
      <c r="I50" s="1109" t="s">
        <v>342</v>
      </c>
      <c r="J50" s="1110"/>
      <c r="K50" s="415"/>
    </row>
    <row r="51" spans="1:11" x14ac:dyDescent="0.2">
      <c r="A51" s="352"/>
      <c r="B51" s="424"/>
      <c r="C51" s="424"/>
      <c r="D51" s="424"/>
      <c r="E51" s="424"/>
      <c r="F51" s="424"/>
      <c r="G51" s="425"/>
      <c r="H51" s="426"/>
      <c r="I51" s="427"/>
      <c r="J51" s="427"/>
      <c r="K51" s="428"/>
    </row>
  </sheetData>
  <mergeCells count="42">
    <mergeCell ref="B45:F45"/>
    <mergeCell ref="B46:F46"/>
    <mergeCell ref="B47:F47"/>
    <mergeCell ref="B48:F48"/>
    <mergeCell ref="I50:J50"/>
    <mergeCell ref="I29:J29"/>
    <mergeCell ref="B44:F44"/>
    <mergeCell ref="B32:F32"/>
    <mergeCell ref="B33:F33"/>
    <mergeCell ref="B34:F34"/>
    <mergeCell ref="B35:F35"/>
    <mergeCell ref="B36:F36"/>
    <mergeCell ref="B37:F37"/>
    <mergeCell ref="B38:F38"/>
    <mergeCell ref="B39:F39"/>
    <mergeCell ref="B41:F41"/>
    <mergeCell ref="B42:F42"/>
    <mergeCell ref="B43:F43"/>
    <mergeCell ref="B31:H31"/>
    <mergeCell ref="B24:G24"/>
    <mergeCell ref="A27:F27"/>
    <mergeCell ref="B28:F28"/>
    <mergeCell ref="B29:F29"/>
    <mergeCell ref="B16:D16"/>
    <mergeCell ref="B17:D17"/>
    <mergeCell ref="B18:D18"/>
    <mergeCell ref="B19:D19"/>
    <mergeCell ref="B20:D20"/>
    <mergeCell ref="H1:K1"/>
    <mergeCell ref="C4:J4"/>
    <mergeCell ref="B6:E6"/>
    <mergeCell ref="G6:I6"/>
    <mergeCell ref="G7:I7"/>
    <mergeCell ref="D9:F9"/>
    <mergeCell ref="D10:F10"/>
    <mergeCell ref="B22:D22"/>
    <mergeCell ref="B23:D23"/>
    <mergeCell ref="G15:H15"/>
    <mergeCell ref="B14:F14"/>
    <mergeCell ref="D12:F12"/>
    <mergeCell ref="D11:F11"/>
    <mergeCell ref="B21:D21"/>
  </mergeCell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30"/>
  <sheetViews>
    <sheetView workbookViewId="0">
      <selection activeCell="O13" sqref="O13"/>
    </sheetView>
  </sheetViews>
  <sheetFormatPr defaultColWidth="9.140625" defaultRowHeight="12.75" x14ac:dyDescent="0.2"/>
  <cols>
    <col min="1" max="1" width="4" style="60" customWidth="1"/>
    <col min="2" max="2" width="8.140625" style="60" customWidth="1"/>
    <col min="3" max="4" width="7.7109375" style="60" customWidth="1"/>
    <col min="5" max="8" width="10.28515625" style="60" customWidth="1"/>
    <col min="9" max="9" width="1.5703125" style="60" customWidth="1"/>
    <col min="10" max="10" width="8.5703125" style="60" customWidth="1"/>
    <col min="11" max="11" width="5" style="60" customWidth="1"/>
    <col min="12" max="16384" width="9.140625" style="60"/>
  </cols>
  <sheetData>
    <row r="1" spans="1:11" ht="24" customHeight="1" x14ac:dyDescent="0.25">
      <c r="H1" s="1234" t="s">
        <v>260</v>
      </c>
      <c r="I1" s="1234"/>
      <c r="J1" s="1234"/>
      <c r="K1" s="1234"/>
    </row>
    <row r="2" spans="1:11" x14ac:dyDescent="0.2">
      <c r="A2" s="156"/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ht="22.5" customHeight="1" x14ac:dyDescent="0.2">
      <c r="A3" s="157"/>
      <c r="B3" s="262" t="s">
        <v>267</v>
      </c>
      <c r="C3" s="1239" t="s">
        <v>268</v>
      </c>
      <c r="D3" s="1240"/>
      <c r="E3" s="1240"/>
      <c r="F3" s="1240"/>
      <c r="G3" s="1240"/>
      <c r="H3" s="1240"/>
      <c r="I3" s="1240"/>
      <c r="J3" s="1241"/>
      <c r="K3" s="68"/>
    </row>
    <row r="4" spans="1:11" x14ac:dyDescent="0.2">
      <c r="A4" s="82"/>
      <c r="B4" s="62"/>
      <c r="C4" s="62"/>
      <c r="D4" s="62"/>
      <c r="E4" s="62"/>
      <c r="F4" s="62"/>
      <c r="G4" s="62"/>
      <c r="H4" s="62"/>
      <c r="I4" s="62"/>
      <c r="J4" s="62"/>
      <c r="K4" s="68"/>
    </row>
    <row r="5" spans="1:11" ht="15.75" x14ac:dyDescent="0.25">
      <c r="A5" s="82"/>
      <c r="B5" s="1242" t="s">
        <v>97</v>
      </c>
      <c r="C5" s="1242"/>
      <c r="D5" s="1242"/>
      <c r="E5" s="1242"/>
      <c r="F5" s="62" t="s">
        <v>94</v>
      </c>
      <c r="G5" s="1243">
        <v>0.17</v>
      </c>
      <c r="H5" s="1244"/>
      <c r="I5" s="1245"/>
      <c r="J5" s="133"/>
      <c r="K5" s="68"/>
    </row>
    <row r="6" spans="1:11" ht="15.75" x14ac:dyDescent="0.25">
      <c r="A6" s="82"/>
      <c r="B6" s="62"/>
      <c r="C6" s="62"/>
      <c r="D6" s="62"/>
      <c r="E6" s="62"/>
      <c r="F6" s="62" t="s">
        <v>95</v>
      </c>
      <c r="G6" s="1243">
        <v>0.04</v>
      </c>
      <c r="H6" s="1244"/>
      <c r="I6" s="1245"/>
      <c r="J6" s="133"/>
      <c r="K6" s="68"/>
    </row>
    <row r="7" spans="1:11" x14ac:dyDescent="0.2">
      <c r="A7" s="158"/>
      <c r="B7" s="144"/>
      <c r="C7" s="144"/>
      <c r="D7" s="144"/>
      <c r="E7" s="144"/>
      <c r="F7" s="144"/>
      <c r="G7" s="144"/>
      <c r="H7" s="129"/>
      <c r="I7" s="129"/>
      <c r="J7" s="129"/>
      <c r="K7" s="159"/>
    </row>
    <row r="8" spans="1:11" x14ac:dyDescent="0.2">
      <c r="A8" s="158"/>
      <c r="B8" s="144"/>
      <c r="C8" s="144"/>
      <c r="D8" s="1231" t="s">
        <v>144</v>
      </c>
      <c r="E8" s="1231"/>
      <c r="F8" s="1231"/>
      <c r="G8" s="129" t="s">
        <v>145</v>
      </c>
      <c r="H8" s="265">
        <v>0.3</v>
      </c>
      <c r="I8" s="129"/>
      <c r="J8" s="129"/>
      <c r="K8" s="159"/>
    </row>
    <row r="9" spans="1:11" ht="13.5" x14ac:dyDescent="0.2">
      <c r="A9" s="160"/>
      <c r="B9" s="149"/>
      <c r="C9" s="149"/>
      <c r="D9" s="1232" t="s">
        <v>139</v>
      </c>
      <c r="E9" s="1232"/>
      <c r="F9" s="1232"/>
      <c r="G9" s="132" t="s">
        <v>9</v>
      </c>
      <c r="H9" s="266">
        <v>103.75</v>
      </c>
      <c r="I9" s="132"/>
      <c r="K9" s="68"/>
    </row>
    <row r="10" spans="1:11" x14ac:dyDescent="0.2">
      <c r="A10" s="160"/>
      <c r="B10" s="150"/>
      <c r="C10" s="149"/>
      <c r="D10" s="1232" t="s">
        <v>131</v>
      </c>
      <c r="E10" s="1232"/>
      <c r="F10" s="1232"/>
      <c r="G10" s="130" t="s">
        <v>129</v>
      </c>
      <c r="H10" s="267">
        <v>47.4</v>
      </c>
      <c r="I10" s="130"/>
      <c r="K10" s="68"/>
    </row>
    <row r="11" spans="1:11" x14ac:dyDescent="0.2">
      <c r="A11" s="160"/>
      <c r="B11" s="150"/>
      <c r="C11" s="151"/>
      <c r="D11" s="1233" t="s">
        <v>132</v>
      </c>
      <c r="E11" s="1233"/>
      <c r="F11" s="1233"/>
      <c r="G11" s="130" t="s">
        <v>130</v>
      </c>
      <c r="H11" s="120">
        <f>ROUND(H9/(0.5*H10),2)</f>
        <v>4.38</v>
      </c>
      <c r="I11" s="130"/>
      <c r="K11" s="68"/>
    </row>
    <row r="12" spans="1:11" x14ac:dyDescent="0.2">
      <c r="A12" s="160"/>
      <c r="B12" s="150"/>
      <c r="C12" s="148"/>
      <c r="D12" s="150"/>
      <c r="E12" s="150"/>
      <c r="F12" s="150"/>
      <c r="G12" s="131"/>
      <c r="K12" s="68"/>
    </row>
    <row r="13" spans="1:11" x14ac:dyDescent="0.2">
      <c r="A13" s="160"/>
      <c r="B13" s="1232" t="s">
        <v>133</v>
      </c>
      <c r="C13" s="1232"/>
      <c r="D13" s="1232"/>
      <c r="E13" s="1232"/>
      <c r="F13" s="1232"/>
      <c r="G13" s="139" t="s">
        <v>10</v>
      </c>
      <c r="H13" s="268">
        <v>2</v>
      </c>
      <c r="I13" s="145"/>
      <c r="K13" s="68"/>
    </row>
    <row r="14" spans="1:11" x14ac:dyDescent="0.2">
      <c r="A14" s="85"/>
      <c r="G14" s="1229"/>
      <c r="H14" s="1229"/>
      <c r="I14" s="131"/>
      <c r="K14" s="68"/>
    </row>
    <row r="15" spans="1:11" ht="33" customHeight="1" x14ac:dyDescent="0.2">
      <c r="A15" s="67"/>
      <c r="B15" s="1230" t="s">
        <v>6</v>
      </c>
      <c r="C15" s="1230"/>
      <c r="D15" s="1230"/>
      <c r="E15" s="143" t="s">
        <v>134</v>
      </c>
      <c r="F15" s="143" t="s">
        <v>136</v>
      </c>
      <c r="G15" s="143" t="s">
        <v>135</v>
      </c>
      <c r="H15" s="143" t="s">
        <v>137</v>
      </c>
      <c r="I15" s="143"/>
      <c r="J15" s="143" t="s">
        <v>138</v>
      </c>
      <c r="K15" s="68"/>
    </row>
    <row r="16" spans="1:11" x14ac:dyDescent="0.2">
      <c r="A16" s="109">
        <v>1</v>
      </c>
      <c r="B16" s="1228" t="s">
        <v>269</v>
      </c>
      <c r="C16" s="1228"/>
      <c r="D16" s="1228"/>
      <c r="E16" s="269">
        <v>0.15</v>
      </c>
      <c r="F16" s="269">
        <v>0</v>
      </c>
      <c r="G16" s="93">
        <f t="shared" ref="G16:G22" si="0">E16+F16</f>
        <v>0.15</v>
      </c>
      <c r="H16" s="72">
        <f>ROUND(J16/G16,3)</f>
        <v>0.4</v>
      </c>
      <c r="I16" s="142"/>
      <c r="J16" s="269">
        <v>0.06</v>
      </c>
      <c r="K16" s="68"/>
    </row>
    <row r="17" spans="1:11" x14ac:dyDescent="0.2">
      <c r="A17" s="109">
        <v>2</v>
      </c>
      <c r="B17" s="1228" t="s">
        <v>270</v>
      </c>
      <c r="C17" s="1228"/>
      <c r="D17" s="1228"/>
      <c r="E17" s="269">
        <v>4.1000000000000002E-2</v>
      </c>
      <c r="F17" s="269">
        <v>8.0000000000000002E-3</v>
      </c>
      <c r="G17" s="93">
        <f t="shared" si="0"/>
        <v>4.9000000000000002E-2</v>
      </c>
      <c r="H17" s="72">
        <f t="shared" ref="H17:H22" si="1">ROUND(J17/G17,3)</f>
        <v>3.0609999999999999</v>
      </c>
      <c r="I17" s="142"/>
      <c r="J17" s="269">
        <v>0.15</v>
      </c>
      <c r="K17" s="161"/>
    </row>
    <row r="18" spans="1:11" x14ac:dyDescent="0.2">
      <c r="A18" s="109">
        <v>3</v>
      </c>
      <c r="B18" s="1228" t="s">
        <v>271</v>
      </c>
      <c r="C18" s="1228"/>
      <c r="D18" s="1228"/>
      <c r="E18" s="270">
        <v>3.4000000000000002E-2</v>
      </c>
      <c r="F18" s="269">
        <v>4.0000000000000001E-3</v>
      </c>
      <c r="G18" s="93">
        <f t="shared" si="0"/>
        <v>3.8000000000000006E-2</v>
      </c>
      <c r="H18" s="72">
        <f t="shared" si="1"/>
        <v>1.3160000000000001</v>
      </c>
      <c r="I18" s="142"/>
      <c r="J18" s="269">
        <v>0.05</v>
      </c>
      <c r="K18" s="68"/>
    </row>
    <row r="19" spans="1:11" hidden="1" x14ac:dyDescent="0.2">
      <c r="A19" s="109">
        <v>4</v>
      </c>
      <c r="B19" s="1228" t="s">
        <v>151</v>
      </c>
      <c r="C19" s="1228"/>
      <c r="D19" s="1228"/>
      <c r="E19" s="270">
        <v>3.5999999999999997E-2</v>
      </c>
      <c r="F19" s="269">
        <v>0.01</v>
      </c>
      <c r="G19" s="93">
        <f t="shared" si="0"/>
        <v>4.5999999999999999E-2</v>
      </c>
      <c r="H19" s="72">
        <f t="shared" si="1"/>
        <v>0</v>
      </c>
      <c r="I19" s="142"/>
      <c r="J19" s="269">
        <v>0</v>
      </c>
      <c r="K19" s="68"/>
    </row>
    <row r="20" spans="1:11" x14ac:dyDescent="0.2">
      <c r="A20" s="109">
        <v>4</v>
      </c>
      <c r="B20" s="1228" t="s">
        <v>11</v>
      </c>
      <c r="C20" s="1228"/>
      <c r="D20" s="1228"/>
      <c r="E20" s="271">
        <v>2</v>
      </c>
      <c r="F20" s="269">
        <v>0</v>
      </c>
      <c r="G20" s="93">
        <f t="shared" si="0"/>
        <v>2</v>
      </c>
      <c r="H20" s="72">
        <f t="shared" si="1"/>
        <v>0.1</v>
      </c>
      <c r="I20" s="142"/>
      <c r="J20" s="269">
        <v>0.2</v>
      </c>
      <c r="K20" s="68"/>
    </row>
    <row r="21" spans="1:11" hidden="1" x14ac:dyDescent="0.2">
      <c r="A21" s="109">
        <v>6</v>
      </c>
      <c r="B21" s="1122"/>
      <c r="C21" s="1122"/>
      <c r="D21" s="1122"/>
      <c r="E21" s="121">
        <v>1</v>
      </c>
      <c r="F21" s="128">
        <v>0</v>
      </c>
      <c r="G21" s="93">
        <f t="shared" si="0"/>
        <v>1</v>
      </c>
      <c r="H21" s="72">
        <f t="shared" si="1"/>
        <v>0</v>
      </c>
      <c r="I21" s="142"/>
      <c r="J21" s="128"/>
      <c r="K21" s="68"/>
    </row>
    <row r="22" spans="1:11" hidden="1" x14ac:dyDescent="0.2">
      <c r="A22" s="109">
        <v>7</v>
      </c>
      <c r="B22" s="1122"/>
      <c r="C22" s="1122"/>
      <c r="D22" s="1122"/>
      <c r="E22" s="121">
        <v>1</v>
      </c>
      <c r="F22" s="128">
        <v>0</v>
      </c>
      <c r="G22" s="93">
        <f t="shared" si="0"/>
        <v>1</v>
      </c>
      <c r="H22" s="72">
        <f t="shared" si="1"/>
        <v>0</v>
      </c>
      <c r="I22" s="142"/>
      <c r="J22" s="128"/>
      <c r="K22" s="68"/>
    </row>
    <row r="23" spans="1:11" x14ac:dyDescent="0.2">
      <c r="A23" s="67"/>
      <c r="B23" s="1123"/>
      <c r="C23" s="1123"/>
      <c r="D23" s="1123"/>
      <c r="E23" s="1123"/>
      <c r="F23" s="1123"/>
      <c r="G23" s="1123"/>
      <c r="H23" s="131"/>
      <c r="I23" s="131"/>
      <c r="J23" s="64" t="s">
        <v>106</v>
      </c>
      <c r="K23" s="68"/>
    </row>
    <row r="24" spans="1:11" ht="15" x14ac:dyDescent="0.2">
      <c r="A24" s="67"/>
      <c r="B24" s="141"/>
      <c r="C24" s="141"/>
      <c r="D24" s="141"/>
      <c r="E24" s="141"/>
      <c r="F24" s="141"/>
      <c r="G24" s="141"/>
      <c r="H24" s="131"/>
      <c r="I24" s="131"/>
      <c r="J24" s="263">
        <f>ROUND(SUM(J16:J22)*1000,0)</f>
        <v>460</v>
      </c>
      <c r="K24" s="68" t="s">
        <v>120</v>
      </c>
    </row>
    <row r="25" spans="1:11" x14ac:dyDescent="0.2">
      <c r="A25" s="67"/>
      <c r="B25" s="141"/>
      <c r="C25" s="141"/>
      <c r="D25" s="141"/>
      <c r="E25" s="141"/>
      <c r="F25" s="141"/>
      <c r="G25" s="141"/>
      <c r="H25" s="131"/>
      <c r="I25" s="131"/>
      <c r="K25" s="68"/>
    </row>
    <row r="26" spans="1:11" ht="13.5" x14ac:dyDescent="0.2">
      <c r="A26" s="1237" t="s">
        <v>140</v>
      </c>
      <c r="B26" s="1233"/>
      <c r="C26" s="1233"/>
      <c r="D26" s="1233"/>
      <c r="E26" s="1233"/>
      <c r="F26" s="1233"/>
      <c r="G26" s="154" t="s">
        <v>141</v>
      </c>
      <c r="H26" s="153">
        <f>SUM(H16:H23)+G5+G6</f>
        <v>5.0869999999999997</v>
      </c>
      <c r="I26" s="131"/>
      <c r="K26" s="161"/>
    </row>
    <row r="27" spans="1:11" ht="15.75" x14ac:dyDescent="0.2">
      <c r="A27" s="67"/>
      <c r="B27" s="1233" t="s">
        <v>143</v>
      </c>
      <c r="C27" s="1233"/>
      <c r="D27" s="1233"/>
      <c r="E27" s="1233"/>
      <c r="F27" s="1233"/>
      <c r="G27" s="139" t="s">
        <v>142</v>
      </c>
      <c r="H27" s="153">
        <f>H8+(H13*H26)</f>
        <v>10.474</v>
      </c>
      <c r="I27" s="131"/>
      <c r="K27" s="68"/>
    </row>
    <row r="28" spans="1:11" x14ac:dyDescent="0.2">
      <c r="A28" s="67"/>
      <c r="B28" s="152"/>
      <c r="C28" s="152"/>
      <c r="D28" s="152"/>
      <c r="E28" s="152"/>
      <c r="F28" s="152"/>
      <c r="G28" s="139"/>
      <c r="H28" s="131"/>
      <c r="I28" s="131"/>
      <c r="K28" s="68"/>
    </row>
    <row r="29" spans="1:11" ht="15" x14ac:dyDescent="0.2">
      <c r="A29" s="67"/>
      <c r="B29" s="1236"/>
      <c r="C29" s="1236"/>
      <c r="D29" s="1236"/>
      <c r="E29" s="1236"/>
      <c r="F29" s="1236" t="s">
        <v>146</v>
      </c>
      <c r="G29" s="1238"/>
      <c r="H29" s="264">
        <f>IF(H11&gt;H27,H13/((0.457*H11)+H27),(2*H13/((3.14*H11)+H27)))*(LN((3.14*H11/H27)+1))</f>
        <v>0.13845264381679345</v>
      </c>
      <c r="I29" s="1235" t="s">
        <v>147</v>
      </c>
      <c r="J29" s="1128"/>
      <c r="K29" s="162"/>
    </row>
    <row r="30" spans="1:11" x14ac:dyDescent="0.2">
      <c r="A30" s="163"/>
      <c r="B30" s="69"/>
      <c r="C30" s="69"/>
      <c r="D30" s="69"/>
      <c r="E30" s="69"/>
      <c r="F30" s="69"/>
      <c r="G30" s="69"/>
      <c r="H30" s="69"/>
      <c r="I30" s="69"/>
      <c r="J30" s="69"/>
      <c r="K30" s="70"/>
    </row>
  </sheetData>
  <mergeCells count="25">
    <mergeCell ref="H1:K1"/>
    <mergeCell ref="I29:J29"/>
    <mergeCell ref="B29:E29"/>
    <mergeCell ref="B22:D22"/>
    <mergeCell ref="B23:G23"/>
    <mergeCell ref="A26:F26"/>
    <mergeCell ref="B27:F27"/>
    <mergeCell ref="B18:D18"/>
    <mergeCell ref="B19:D19"/>
    <mergeCell ref="B20:D20"/>
    <mergeCell ref="B21:D21"/>
    <mergeCell ref="F29:G29"/>
    <mergeCell ref="C3:J3"/>
    <mergeCell ref="B5:E5"/>
    <mergeCell ref="G5:I5"/>
    <mergeCell ref="G6:I6"/>
    <mergeCell ref="B17:D17"/>
    <mergeCell ref="G14:H14"/>
    <mergeCell ref="B15:D15"/>
    <mergeCell ref="B16:D16"/>
    <mergeCell ref="D8:F8"/>
    <mergeCell ref="D9:F9"/>
    <mergeCell ref="D10:F10"/>
    <mergeCell ref="D11:F11"/>
    <mergeCell ref="B13:F13"/>
  </mergeCells>
  <pageMargins left="0.9055118110236221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2"/>
  <sheetViews>
    <sheetView topLeftCell="A3" workbookViewId="0">
      <selection activeCell="B21" sqref="B21:C21"/>
    </sheetView>
  </sheetViews>
  <sheetFormatPr defaultColWidth="9.140625" defaultRowHeight="12.75" x14ac:dyDescent="0.2"/>
  <cols>
    <col min="1" max="1" width="3.5703125" style="2" customWidth="1"/>
    <col min="2" max="2" width="13.7109375" style="2" customWidth="1"/>
    <col min="3" max="4" width="6.140625" style="2" customWidth="1"/>
    <col min="5" max="6" width="5.85546875" style="2" customWidth="1"/>
    <col min="7" max="7" width="6.5703125" style="2" customWidth="1"/>
    <col min="8" max="8" width="6.85546875" style="2" customWidth="1"/>
    <col min="9" max="9" width="5.42578125" style="2" customWidth="1"/>
    <col min="10" max="10" width="6.42578125" style="2" customWidth="1"/>
    <col min="11" max="11" width="6.5703125" style="2" customWidth="1"/>
    <col min="12" max="12" width="1.28515625" style="2" customWidth="1"/>
    <col min="13" max="13" width="7" style="2" customWidth="1"/>
    <col min="14" max="14" width="3.7109375" style="2" customWidth="1"/>
    <col min="15" max="16384" width="9.140625" style="2"/>
  </cols>
  <sheetData>
    <row r="1" spans="1:14" ht="41.25" customHeight="1" x14ac:dyDescent="0.2">
      <c r="A1" s="1246" t="s">
        <v>217</v>
      </c>
      <c r="B1" s="1247"/>
      <c r="C1" s="1247"/>
      <c r="D1" s="1247"/>
      <c r="E1" s="1247"/>
      <c r="F1" s="1247"/>
      <c r="G1" s="1247"/>
      <c r="H1" s="1247"/>
      <c r="I1" s="1247"/>
      <c r="J1" s="1247"/>
      <c r="K1" s="1247"/>
      <c r="L1" s="1247"/>
      <c r="M1" s="1247"/>
      <c r="N1" s="1248"/>
    </row>
    <row r="2" spans="1:14" ht="21" x14ac:dyDescent="0.35">
      <c r="A2" s="1"/>
      <c r="B2" s="1"/>
      <c r="C2" s="1"/>
      <c r="D2" s="1"/>
      <c r="E2" s="1"/>
      <c r="F2" s="1"/>
      <c r="G2" s="1"/>
      <c r="H2" s="1"/>
      <c r="I2" s="1"/>
      <c r="J2" s="12"/>
      <c r="K2" s="12"/>
    </row>
    <row r="3" spans="1:14" ht="9.9499999999999993" customHeight="1" x14ac:dyDescent="0.35">
      <c r="A3" s="78"/>
      <c r="B3" s="79"/>
      <c r="C3" s="79"/>
      <c r="D3" s="79"/>
      <c r="E3" s="79"/>
      <c r="F3" s="79"/>
      <c r="G3" s="79"/>
      <c r="H3" s="79"/>
      <c r="I3" s="79"/>
      <c r="J3" s="80"/>
      <c r="K3" s="80"/>
      <c r="L3" s="99"/>
      <c r="M3" s="99"/>
      <c r="N3" s="81"/>
    </row>
    <row r="4" spans="1:14" s="60" customFormat="1" ht="15" customHeight="1" x14ac:dyDescent="0.2">
      <c r="A4" s="82"/>
      <c r="B4" s="119">
        <v>4.0999999999999996</v>
      </c>
      <c r="C4" s="1254" t="s">
        <v>219</v>
      </c>
      <c r="D4" s="1254"/>
      <c r="E4" s="1254"/>
      <c r="F4" s="1254"/>
      <c r="G4" s="1254"/>
      <c r="H4" s="1254"/>
      <c r="I4" s="1254"/>
      <c r="J4" s="1255"/>
      <c r="N4" s="68"/>
    </row>
    <row r="5" spans="1:14" s="60" customFormat="1" ht="15" x14ac:dyDescent="0.2">
      <c r="A5" s="82"/>
      <c r="B5" s="77"/>
      <c r="C5" s="62"/>
      <c r="D5" s="97"/>
      <c r="E5" s="97"/>
      <c r="F5" s="97"/>
      <c r="G5" s="97"/>
      <c r="H5" s="97"/>
      <c r="I5" s="97"/>
      <c r="J5" s="97"/>
      <c r="N5" s="68"/>
    </row>
    <row r="6" spans="1:14" s="60" customFormat="1" ht="15" customHeight="1" x14ac:dyDescent="0.25">
      <c r="A6" s="82"/>
      <c r="B6" s="77"/>
      <c r="C6" s="62"/>
      <c r="D6" s="1256" t="s">
        <v>109</v>
      </c>
      <c r="E6" s="1256"/>
      <c r="F6" s="1256"/>
      <c r="G6" s="1256"/>
      <c r="H6" s="123" t="s">
        <v>110</v>
      </c>
      <c r="I6" s="1284">
        <v>0.1</v>
      </c>
      <c r="J6" s="1285"/>
      <c r="K6" s="125"/>
      <c r="N6" s="68"/>
    </row>
    <row r="7" spans="1:14" s="60" customFormat="1" ht="15.75" x14ac:dyDescent="0.25">
      <c r="A7" s="82"/>
      <c r="B7" s="77"/>
      <c r="C7" s="62"/>
      <c r="D7" s="1256"/>
      <c r="E7" s="1256"/>
      <c r="F7" s="1256"/>
      <c r="G7" s="1256"/>
      <c r="H7" s="124" t="s">
        <v>95</v>
      </c>
      <c r="I7" s="1257">
        <v>0.04</v>
      </c>
      <c r="J7" s="1286"/>
      <c r="N7" s="68"/>
    </row>
    <row r="8" spans="1:14" s="60" customFormat="1" ht="15.75" x14ac:dyDescent="0.2">
      <c r="A8" s="82"/>
      <c r="B8" s="77"/>
      <c r="C8" s="62"/>
      <c r="D8" s="1256"/>
      <c r="E8" s="1256"/>
      <c r="F8" s="1256"/>
      <c r="G8" s="1256"/>
      <c r="H8" s="124" t="s">
        <v>126</v>
      </c>
      <c r="I8" s="1257">
        <v>0.06</v>
      </c>
      <c r="J8" s="1258"/>
      <c r="N8" s="68"/>
    </row>
    <row r="9" spans="1:14" s="60" customFormat="1" ht="15" x14ac:dyDescent="0.25">
      <c r="A9" s="82"/>
      <c r="B9" s="77"/>
      <c r="C9" s="62"/>
      <c r="D9" s="62"/>
      <c r="E9" s="62"/>
      <c r="F9" s="62"/>
      <c r="G9" s="1287"/>
      <c r="H9" s="1287"/>
      <c r="I9" s="62"/>
      <c r="J9"/>
      <c r="N9" s="68"/>
    </row>
    <row r="10" spans="1:14" s="60" customFormat="1" ht="15" x14ac:dyDescent="0.25">
      <c r="A10" s="82"/>
      <c r="B10" s="77"/>
      <c r="C10" s="1249" t="s">
        <v>8</v>
      </c>
      <c r="D10" s="1249"/>
      <c r="E10" s="1249"/>
      <c r="F10" s="1250"/>
      <c r="G10" s="1251">
        <v>0.6</v>
      </c>
      <c r="H10" s="1251"/>
      <c r="I10" s="62"/>
      <c r="J10"/>
      <c r="N10" s="68"/>
    </row>
    <row r="11" spans="1:14" s="60" customFormat="1" ht="15" customHeight="1" x14ac:dyDescent="0.25">
      <c r="A11" s="82"/>
      <c r="B11" s="1252" t="s">
        <v>103</v>
      </c>
      <c r="C11" s="1252"/>
      <c r="D11" s="1252"/>
      <c r="E11" s="1252"/>
      <c r="F11" s="1253"/>
      <c r="G11" s="1251">
        <v>0.5</v>
      </c>
      <c r="H11" s="1251"/>
      <c r="I11" s="62"/>
      <c r="J11"/>
      <c r="N11" s="68"/>
    </row>
    <row r="12" spans="1:14" s="60" customFormat="1" ht="15" x14ac:dyDescent="0.25">
      <c r="A12" s="82"/>
      <c r="B12" s="1252"/>
      <c r="C12" s="1252"/>
      <c r="D12" s="1252"/>
      <c r="E12" s="1252"/>
      <c r="F12" s="1253"/>
      <c r="G12" s="1251">
        <v>0.1</v>
      </c>
      <c r="H12" s="1251"/>
      <c r="I12" s="62"/>
      <c r="J12"/>
      <c r="N12" s="68"/>
    </row>
    <row r="13" spans="1:14" x14ac:dyDescent="0.2">
      <c r="A13" s="1259"/>
      <c r="B13" s="1249"/>
      <c r="C13" s="1260"/>
      <c r="D13" s="1260"/>
      <c r="E13" s="1260"/>
      <c r="F13" s="1260"/>
      <c r="G13" s="1130"/>
      <c r="H13" s="1130"/>
      <c r="I13" s="103"/>
      <c r="J13" s="103"/>
      <c r="K13" s="103"/>
      <c r="N13" s="83"/>
    </row>
    <row r="14" spans="1:14" x14ac:dyDescent="0.2">
      <c r="A14" s="1267"/>
      <c r="B14" s="1252"/>
      <c r="C14" s="1260"/>
      <c r="D14" s="1260"/>
      <c r="E14" s="105"/>
      <c r="F14" s="106"/>
      <c r="G14" s="90" t="s">
        <v>0</v>
      </c>
      <c r="H14" s="90" t="s">
        <v>1</v>
      </c>
      <c r="I14" s="107"/>
      <c r="J14" s="104"/>
      <c r="K14" s="104"/>
      <c r="N14" s="83"/>
    </row>
    <row r="15" spans="1:14" x14ac:dyDescent="0.2">
      <c r="A15" s="1124" t="s">
        <v>102</v>
      </c>
      <c r="B15" s="1125"/>
      <c r="C15" s="1125"/>
      <c r="D15" s="1125"/>
      <c r="E15" s="1125"/>
      <c r="F15" s="1263"/>
      <c r="G15" s="94">
        <f>G11/G10</f>
        <v>0.83333333333333337</v>
      </c>
      <c r="H15" s="94">
        <f>G12/G10</f>
        <v>0.16666666666666669</v>
      </c>
      <c r="I15" s="108"/>
      <c r="J15" s="104"/>
      <c r="K15" s="104"/>
      <c r="N15" s="83"/>
    </row>
    <row r="16" spans="1:14" ht="36.75" customHeight="1" x14ac:dyDescent="0.2">
      <c r="A16" s="109"/>
      <c r="B16" s="101"/>
      <c r="C16" s="101"/>
      <c r="D16" s="101"/>
      <c r="E16" s="101"/>
      <c r="F16" s="101"/>
      <c r="G16" s="1281" t="s">
        <v>107</v>
      </c>
      <c r="H16" s="1282"/>
      <c r="I16" s="1281" t="s">
        <v>108</v>
      </c>
      <c r="J16" s="1283"/>
      <c r="K16" s="1282"/>
      <c r="N16" s="83"/>
    </row>
    <row r="17" spans="1:14" ht="33.75" x14ac:dyDescent="0.2">
      <c r="A17" s="84"/>
      <c r="B17" s="1264" t="s">
        <v>6</v>
      </c>
      <c r="C17" s="1265"/>
      <c r="D17" s="91" t="s">
        <v>117</v>
      </c>
      <c r="E17" s="91" t="s">
        <v>116</v>
      </c>
      <c r="F17" s="102" t="s">
        <v>118</v>
      </c>
      <c r="G17" s="91" t="s">
        <v>98</v>
      </c>
      <c r="H17" s="91" t="s">
        <v>99</v>
      </c>
      <c r="I17" s="98" t="s">
        <v>4</v>
      </c>
      <c r="J17" s="91" t="s">
        <v>119</v>
      </c>
      <c r="K17" s="91" t="s">
        <v>115</v>
      </c>
      <c r="M17" s="91" t="s">
        <v>114</v>
      </c>
      <c r="N17" s="83"/>
    </row>
    <row r="18" spans="1:14" x14ac:dyDescent="0.2">
      <c r="A18" s="111">
        <v>1</v>
      </c>
      <c r="B18" s="1261" t="s">
        <v>220</v>
      </c>
      <c r="C18" s="1262"/>
      <c r="D18" s="116">
        <v>0.7</v>
      </c>
      <c r="E18" s="114">
        <v>0</v>
      </c>
      <c r="F18" s="92">
        <f t="shared" ref="F18:F25" si="0">D18+E18</f>
        <v>0.7</v>
      </c>
      <c r="G18" s="93">
        <f>$M$18/$F$18</f>
        <v>0.31428571428571433</v>
      </c>
      <c r="H18" s="93">
        <f>$M$18/$F$18</f>
        <v>0.31428571428571433</v>
      </c>
      <c r="I18" s="72"/>
      <c r="J18" s="93">
        <f>F18</f>
        <v>0.7</v>
      </c>
      <c r="K18" s="93">
        <f>M18/J18</f>
        <v>0.31428571428571433</v>
      </c>
      <c r="M18" s="114">
        <v>0.22</v>
      </c>
      <c r="N18" s="83"/>
    </row>
    <row r="19" spans="1:14" hidden="1" x14ac:dyDescent="0.2">
      <c r="A19" s="1266">
        <v>2</v>
      </c>
      <c r="B19" s="1261" t="s">
        <v>7</v>
      </c>
      <c r="C19" s="1262"/>
      <c r="D19" s="116">
        <v>0.15</v>
      </c>
      <c r="E19" s="114">
        <v>0</v>
      </c>
      <c r="F19" s="92">
        <f t="shared" si="0"/>
        <v>0.15</v>
      </c>
      <c r="G19" s="93"/>
      <c r="H19" s="93">
        <f>M19/F19</f>
        <v>0</v>
      </c>
      <c r="I19" s="93">
        <f>(G12*G10*2)/(G10*G10*2)</f>
        <v>0.16666666666666666</v>
      </c>
      <c r="J19" s="1268">
        <f>(I19*F19)+(I20*F20)</f>
        <v>5.7499999999999996E-2</v>
      </c>
      <c r="K19" s="1268">
        <f>M19/J19</f>
        <v>0</v>
      </c>
      <c r="M19" s="114"/>
      <c r="N19" s="83"/>
    </row>
    <row r="20" spans="1:14" hidden="1" x14ac:dyDescent="0.2">
      <c r="A20" s="1266"/>
      <c r="B20" s="1261" t="s">
        <v>221</v>
      </c>
      <c r="C20" s="1262"/>
      <c r="D20" s="116">
        <v>3.6999999999999998E-2</v>
      </c>
      <c r="E20" s="114">
        <v>2E-3</v>
      </c>
      <c r="F20" s="92">
        <f t="shared" si="0"/>
        <v>3.9E-2</v>
      </c>
      <c r="G20" s="93">
        <f>$M$19/$F$20</f>
        <v>0</v>
      </c>
      <c r="H20" s="93"/>
      <c r="I20" s="93">
        <f>(G11*G10*2)/(G10*G10*2)</f>
        <v>0.83333333333333337</v>
      </c>
      <c r="J20" s="1268"/>
      <c r="K20" s="1268"/>
      <c r="M20" s="114"/>
      <c r="N20" s="83"/>
    </row>
    <row r="21" spans="1:14" x14ac:dyDescent="0.2">
      <c r="A21" s="112">
        <v>2</v>
      </c>
      <c r="B21" s="1261" t="s">
        <v>274</v>
      </c>
      <c r="C21" s="1262"/>
      <c r="D21" s="116">
        <v>4.1000000000000002E-2</v>
      </c>
      <c r="E21" s="114">
        <v>8.0000000000000002E-3</v>
      </c>
      <c r="F21" s="92">
        <f t="shared" si="0"/>
        <v>4.9000000000000002E-2</v>
      </c>
      <c r="G21" s="93">
        <f>$M$21/$F$21</f>
        <v>5.1020408163265305</v>
      </c>
      <c r="H21" s="93">
        <f>$M$21/$F$21</f>
        <v>5.1020408163265305</v>
      </c>
      <c r="I21" s="93"/>
      <c r="J21" s="113">
        <f>F21</f>
        <v>4.9000000000000002E-2</v>
      </c>
      <c r="K21" s="113">
        <f>M21/J21</f>
        <v>5.1020408163265305</v>
      </c>
      <c r="M21" s="116">
        <v>0.25</v>
      </c>
      <c r="N21" s="83"/>
    </row>
    <row r="22" spans="1:14" hidden="1" x14ac:dyDescent="0.2">
      <c r="A22" s="112">
        <v>4</v>
      </c>
      <c r="B22" s="1261" t="s">
        <v>104</v>
      </c>
      <c r="C22" s="1262"/>
      <c r="D22" s="116">
        <v>0.15</v>
      </c>
      <c r="E22" s="114">
        <v>0</v>
      </c>
      <c r="F22" s="92">
        <f t="shared" si="0"/>
        <v>0.15</v>
      </c>
      <c r="G22" s="93">
        <f>$M$22/$F$22</f>
        <v>0</v>
      </c>
      <c r="H22" s="93">
        <f>$M$22/$F$22</f>
        <v>0</v>
      </c>
      <c r="I22" s="72"/>
      <c r="J22" s="93">
        <f>F22</f>
        <v>0.15</v>
      </c>
      <c r="K22" s="113">
        <f>M22/J22</f>
        <v>0</v>
      </c>
      <c r="M22" s="116">
        <v>0</v>
      </c>
      <c r="N22" s="83"/>
    </row>
    <row r="23" spans="1:14" hidden="1" x14ac:dyDescent="0.2">
      <c r="A23" s="112">
        <v>5</v>
      </c>
      <c r="B23" s="1261" t="s">
        <v>41</v>
      </c>
      <c r="C23" s="1262"/>
      <c r="D23" s="116">
        <v>0.17</v>
      </c>
      <c r="E23" s="114">
        <v>0</v>
      </c>
      <c r="F23" s="92">
        <f t="shared" si="0"/>
        <v>0.17</v>
      </c>
      <c r="G23" s="93">
        <f>$M$23/$F$23</f>
        <v>0</v>
      </c>
      <c r="H23" s="93">
        <f>$M$23/$F$23</f>
        <v>0</v>
      </c>
      <c r="I23" s="72"/>
      <c r="J23" s="113">
        <v>1</v>
      </c>
      <c r="K23" s="113">
        <f>M23/J23</f>
        <v>0</v>
      </c>
      <c r="M23" s="116">
        <v>0</v>
      </c>
      <c r="N23" s="83"/>
    </row>
    <row r="24" spans="1:14" hidden="1" x14ac:dyDescent="0.2">
      <c r="A24" s="112"/>
      <c r="B24" s="1279"/>
      <c r="C24" s="1280"/>
      <c r="D24" s="73">
        <v>1</v>
      </c>
      <c r="E24" s="63">
        <v>0</v>
      </c>
      <c r="F24" s="92">
        <f t="shared" si="0"/>
        <v>1</v>
      </c>
      <c r="G24" s="93">
        <f>$M$24/$F$24</f>
        <v>0</v>
      </c>
      <c r="H24" s="93">
        <f>$M$24/$F$24</f>
        <v>0</v>
      </c>
      <c r="I24" s="72"/>
      <c r="J24" s="93">
        <f>F24</f>
        <v>1</v>
      </c>
      <c r="K24" s="113">
        <f>M24/J24</f>
        <v>0</v>
      </c>
      <c r="M24" s="73">
        <v>0</v>
      </c>
      <c r="N24" s="83"/>
    </row>
    <row r="25" spans="1:14" hidden="1" x14ac:dyDescent="0.2">
      <c r="A25" s="112"/>
      <c r="B25" s="1279"/>
      <c r="C25" s="1280"/>
      <c r="D25" s="73">
        <v>1</v>
      </c>
      <c r="E25" s="63">
        <v>0</v>
      </c>
      <c r="F25" s="92">
        <f t="shared" si="0"/>
        <v>1</v>
      </c>
      <c r="G25" s="93">
        <f>$M$25/$F$25</f>
        <v>0</v>
      </c>
      <c r="H25" s="93">
        <f>$M$25/$F$25</f>
        <v>0</v>
      </c>
      <c r="I25" s="72"/>
      <c r="J25" s="93">
        <v>1</v>
      </c>
      <c r="K25" s="113">
        <f>M25/J25</f>
        <v>0</v>
      </c>
      <c r="M25" s="73">
        <v>0</v>
      </c>
      <c r="N25" s="83"/>
    </row>
    <row r="26" spans="1:14" x14ac:dyDescent="0.2">
      <c r="A26" s="85"/>
      <c r="B26" s="60"/>
      <c r="C26" s="60"/>
      <c r="D26" s="60"/>
      <c r="E26" s="60"/>
      <c r="F26" s="61"/>
      <c r="G26" s="93">
        <f>SUM(G18:G25)+$I$6+$I$7+$I$8</f>
        <v>5.6163265306122439</v>
      </c>
      <c r="H26" s="93">
        <f>SUM(H18:H25)+$I$6+$I$7+$I$8</f>
        <v>5.6163265306122439</v>
      </c>
      <c r="I26" s="1271"/>
      <c r="J26" s="1272"/>
      <c r="K26" s="1273"/>
      <c r="N26" s="83"/>
    </row>
    <row r="27" spans="1:14" x14ac:dyDescent="0.2">
      <c r="A27" s="85"/>
      <c r="B27" s="60"/>
      <c r="C27" s="64"/>
      <c r="D27" s="95"/>
      <c r="E27" s="95"/>
      <c r="F27" s="95"/>
      <c r="G27" s="1274">
        <f>ROUND(1/((G15/G26)+(H15/H26)),3)</f>
        <v>5.6159999999999997</v>
      </c>
      <c r="H27" s="1275"/>
      <c r="I27" s="1276">
        <f>SUM(K18:K25)+I6+I7+I8</f>
        <v>5.6163265306122439</v>
      </c>
      <c r="J27" s="1277"/>
      <c r="K27" s="1278"/>
      <c r="N27" s="83"/>
    </row>
    <row r="28" spans="1:14" ht="15.75" x14ac:dyDescent="0.2">
      <c r="A28" s="85"/>
      <c r="B28" s="60"/>
      <c r="C28" s="74"/>
      <c r="D28" s="76"/>
      <c r="E28" s="95"/>
      <c r="F28" s="95"/>
      <c r="G28" s="96"/>
      <c r="H28" s="96"/>
      <c r="I28" s="96"/>
      <c r="J28" s="96"/>
      <c r="K28" s="96"/>
      <c r="M28" s="64" t="s">
        <v>106</v>
      </c>
      <c r="N28" s="83"/>
    </row>
    <row r="29" spans="1:14" ht="15" x14ac:dyDescent="0.2">
      <c r="A29" s="86"/>
      <c r="M29" s="199">
        <f>SUM(M18:M25)*1000</f>
        <v>470</v>
      </c>
      <c r="N29" s="118" t="s">
        <v>120</v>
      </c>
    </row>
    <row r="30" spans="1:14" x14ac:dyDescent="0.2">
      <c r="A30" s="86"/>
      <c r="N30" s="83"/>
    </row>
    <row r="31" spans="1:14" ht="15" x14ac:dyDescent="0.2">
      <c r="A31" s="86"/>
      <c r="E31" s="1236" t="s">
        <v>93</v>
      </c>
      <c r="F31" s="1236"/>
      <c r="G31" s="1236"/>
      <c r="H31" s="236">
        <f>ROUND(1/((G27+I27)/2),3)</f>
        <v>0.17799999999999999</v>
      </c>
      <c r="I31" s="237"/>
      <c r="J31" s="1269" t="s">
        <v>96</v>
      </c>
      <c r="K31" s="1270"/>
      <c r="N31" s="83"/>
    </row>
    <row r="32" spans="1:14" x14ac:dyDescent="0.2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9"/>
    </row>
  </sheetData>
  <mergeCells count="38">
    <mergeCell ref="G16:H16"/>
    <mergeCell ref="I16:K16"/>
    <mergeCell ref="I6:J6"/>
    <mergeCell ref="I7:J7"/>
    <mergeCell ref="G9:H9"/>
    <mergeCell ref="G13:H13"/>
    <mergeCell ref="J19:J20"/>
    <mergeCell ref="K19:K20"/>
    <mergeCell ref="B20:C20"/>
    <mergeCell ref="B21:C21"/>
    <mergeCell ref="E31:G31"/>
    <mergeCell ref="J31:K31"/>
    <mergeCell ref="I26:K26"/>
    <mergeCell ref="G27:H27"/>
    <mergeCell ref="I27:K27"/>
    <mergeCell ref="B22:C22"/>
    <mergeCell ref="B23:C23"/>
    <mergeCell ref="B24:C24"/>
    <mergeCell ref="B25:C25"/>
    <mergeCell ref="A13:B13"/>
    <mergeCell ref="C13:D13"/>
    <mergeCell ref="B19:C19"/>
    <mergeCell ref="A15:F15"/>
    <mergeCell ref="B17:C17"/>
    <mergeCell ref="B18:C18"/>
    <mergeCell ref="A19:A20"/>
    <mergeCell ref="E13:F13"/>
    <mergeCell ref="A14:B14"/>
    <mergeCell ref="C14:D14"/>
    <mergeCell ref="A1:N1"/>
    <mergeCell ref="C10:F10"/>
    <mergeCell ref="G10:H10"/>
    <mergeCell ref="B11:F12"/>
    <mergeCell ref="G11:H11"/>
    <mergeCell ref="G12:H12"/>
    <mergeCell ref="C4:J4"/>
    <mergeCell ref="D6:G8"/>
    <mergeCell ref="I8:J8"/>
  </mergeCells>
  <pageMargins left="0.9055118110236221" right="0.70866141732283472" top="0.74803149606299213" bottom="0.74803149606299213" header="0.31496062992125984" footer="0.31496062992125984"/>
  <pageSetup orientation="portrait" horizontalDpi="200" verticalDpi="200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K39"/>
  <sheetViews>
    <sheetView topLeftCell="A5" workbookViewId="0">
      <selection activeCell="AD17" sqref="AD17"/>
    </sheetView>
  </sheetViews>
  <sheetFormatPr defaultColWidth="9.140625" defaultRowHeight="15.75" x14ac:dyDescent="0.25"/>
  <cols>
    <col min="1" max="1" width="5.28515625" style="13" customWidth="1"/>
    <col min="2" max="2" width="13.5703125" style="13" customWidth="1"/>
    <col min="3" max="3" width="7.140625" style="13" bestFit="1" customWidth="1"/>
    <col min="4" max="4" width="7" style="13" customWidth="1"/>
    <col min="5" max="6" width="6.5703125" style="13" bestFit="1" customWidth="1"/>
    <col min="7" max="7" width="5.5703125" style="13" customWidth="1"/>
    <col min="8" max="8" width="4.85546875" style="13" customWidth="1"/>
    <col min="9" max="9" width="5" style="13" customWidth="1"/>
    <col min="10" max="10" width="9.85546875" style="13" bestFit="1" customWidth="1"/>
    <col min="11" max="11" width="9.28515625" style="13" hidden="1" customWidth="1"/>
    <col min="12" max="15" width="9.140625" style="13"/>
    <col min="16" max="25" width="0" style="13" hidden="1" customWidth="1"/>
    <col min="26" max="28" width="9.140625" style="13"/>
    <col min="29" max="29" width="10.5703125" style="13" customWidth="1"/>
    <col min="30" max="16384" width="9.140625" style="13"/>
  </cols>
  <sheetData>
    <row r="1" spans="1:37" x14ac:dyDescent="0.25">
      <c r="L1" s="1321"/>
      <c r="M1" s="1321"/>
      <c r="N1" s="1321"/>
      <c r="O1" s="1321"/>
      <c r="P1" s="1321" t="s">
        <v>47</v>
      </c>
      <c r="Q1" s="1321"/>
      <c r="R1" s="1321"/>
      <c r="S1" s="1321"/>
      <c r="T1" s="13">
        <v>3.4</v>
      </c>
      <c r="U1" s="13">
        <v>38.630000000000003</v>
      </c>
      <c r="W1" s="13">
        <v>17.45</v>
      </c>
      <c r="X1" s="1288"/>
    </row>
    <row r="2" spans="1:37" x14ac:dyDescent="0.25">
      <c r="L2" s="14"/>
      <c r="M2" s="14"/>
      <c r="N2" s="14"/>
      <c r="O2" s="14"/>
      <c r="P2" s="14"/>
      <c r="Q2" s="14"/>
      <c r="R2" s="14"/>
      <c r="S2" s="14"/>
      <c r="X2" s="1288"/>
    </row>
    <row r="3" spans="1:37" x14ac:dyDescent="0.25">
      <c r="L3" s="14"/>
      <c r="M3" s="14"/>
      <c r="N3" s="14"/>
      <c r="O3" s="14"/>
      <c r="P3" s="14"/>
      <c r="Q3" s="14"/>
      <c r="R3" s="14"/>
      <c r="S3" s="14"/>
      <c r="X3" s="1288"/>
      <c r="AB3" s="1288" t="s">
        <v>85</v>
      </c>
      <c r="AC3" s="1288"/>
      <c r="AD3" s="1288"/>
      <c r="AE3" s="1288" t="s">
        <v>86</v>
      </c>
      <c r="AF3" s="1288"/>
      <c r="AG3" s="1288"/>
      <c r="AH3" s="13" t="s">
        <v>87</v>
      </c>
      <c r="AI3" s="13" t="s">
        <v>88</v>
      </c>
    </row>
    <row r="4" spans="1:37" x14ac:dyDescent="0.25">
      <c r="J4" s="1288" t="s">
        <v>48</v>
      </c>
      <c r="K4" s="1288"/>
      <c r="L4" s="14" t="s">
        <v>45</v>
      </c>
      <c r="M4" s="14" t="s">
        <v>42</v>
      </c>
      <c r="N4" s="14" t="s">
        <v>46</v>
      </c>
      <c r="O4" s="14" t="s">
        <v>9</v>
      </c>
      <c r="P4" s="14" t="s">
        <v>45</v>
      </c>
      <c r="Q4" s="14" t="s">
        <v>42</v>
      </c>
      <c r="R4" s="14" t="s">
        <v>46</v>
      </c>
      <c r="S4" s="14" t="s">
        <v>9</v>
      </c>
      <c r="T4" s="13">
        <v>6.02</v>
      </c>
      <c r="U4" s="13">
        <v>18.37</v>
      </c>
      <c r="W4" s="13">
        <v>4.3099999999999996</v>
      </c>
      <c r="X4" s="1288"/>
      <c r="AB4" s="48">
        <v>5.0999999999999996</v>
      </c>
      <c r="AC4" s="48">
        <v>6</v>
      </c>
      <c r="AD4" s="48">
        <f>AB4*AC4</f>
        <v>30.599999999999998</v>
      </c>
      <c r="AE4" s="47">
        <v>1</v>
      </c>
      <c r="AF4" s="47">
        <v>4.3</v>
      </c>
      <c r="AG4" s="47">
        <f>AE4*AF4</f>
        <v>4.3</v>
      </c>
    </row>
    <row r="5" spans="1:37" x14ac:dyDescent="0.25">
      <c r="A5" s="15"/>
      <c r="B5" s="15"/>
      <c r="C5" s="15"/>
      <c r="D5" s="1309" t="s">
        <v>12</v>
      </c>
      <c r="E5" s="1310"/>
      <c r="F5" s="1310"/>
      <c r="G5" s="1310"/>
      <c r="H5" s="1310"/>
      <c r="I5" s="1310"/>
      <c r="J5" s="1311" t="s">
        <v>226</v>
      </c>
      <c r="K5" s="1311" t="s">
        <v>49</v>
      </c>
      <c r="L5" s="169"/>
      <c r="M5" s="170">
        <v>4</v>
      </c>
      <c r="N5" s="170"/>
      <c r="O5" s="171"/>
      <c r="P5" s="16"/>
      <c r="Q5" s="17"/>
      <c r="R5" s="17"/>
      <c r="S5" s="18"/>
      <c r="T5" s="13">
        <v>3</v>
      </c>
      <c r="U5" s="13">
        <v>2.8</v>
      </c>
      <c r="X5" s="1288"/>
      <c r="AB5" s="48">
        <v>3.3</v>
      </c>
      <c r="AC5" s="48">
        <v>4</v>
      </c>
      <c r="AD5" s="48">
        <f>AB5*AC5</f>
        <v>13.2</v>
      </c>
      <c r="AE5" s="47">
        <v>10.4</v>
      </c>
      <c r="AF5" s="47">
        <v>4</v>
      </c>
      <c r="AG5" s="47">
        <f>AE5*AF5</f>
        <v>41.6</v>
      </c>
    </row>
    <row r="6" spans="1:37" x14ac:dyDescent="0.25">
      <c r="A6" s="729" t="s">
        <v>50</v>
      </c>
      <c r="B6" s="729"/>
      <c r="C6" s="10" t="s">
        <v>51</v>
      </c>
      <c r="D6" s="14" t="s">
        <v>45</v>
      </c>
      <c r="E6" s="14" t="s">
        <v>42</v>
      </c>
      <c r="F6" s="14" t="s">
        <v>46</v>
      </c>
      <c r="G6" s="14" t="s">
        <v>9</v>
      </c>
      <c r="H6" s="1315" t="s">
        <v>225</v>
      </c>
      <c r="I6" s="1316"/>
      <c r="J6" s="1312"/>
      <c r="K6" s="1312"/>
      <c r="L6" s="172"/>
      <c r="M6" s="173">
        <v>1.2</v>
      </c>
      <c r="N6" s="173"/>
      <c r="O6" s="174"/>
      <c r="P6" s="16"/>
      <c r="Q6" s="17"/>
      <c r="R6" s="17"/>
      <c r="S6" s="18"/>
      <c r="T6" s="13">
        <v>6.39</v>
      </c>
      <c r="U6" s="13">
        <v>11.35</v>
      </c>
      <c r="X6" s="1288"/>
      <c r="AB6" s="48">
        <v>3</v>
      </c>
      <c r="AC6" s="48">
        <v>4</v>
      </c>
      <c r="AD6" s="48">
        <f>AB6*AC6</f>
        <v>12</v>
      </c>
      <c r="AE6" s="47"/>
      <c r="AF6" s="47"/>
      <c r="AG6" s="47">
        <f>SUM(AG4:AG5)</f>
        <v>45.9</v>
      </c>
      <c r="AH6" s="50">
        <v>33.200000000000003</v>
      </c>
      <c r="AI6" s="49">
        <v>34.799999999999997</v>
      </c>
    </row>
    <row r="7" spans="1:37" x14ac:dyDescent="0.25">
      <c r="A7" s="19" t="s">
        <v>52</v>
      </c>
      <c r="B7" s="11"/>
      <c r="C7" s="20" t="s">
        <v>14</v>
      </c>
      <c r="D7" s="242"/>
      <c r="E7" s="242"/>
      <c r="F7" s="242"/>
      <c r="G7" s="242"/>
      <c r="H7" s="1317"/>
      <c r="I7" s="1318"/>
      <c r="J7" s="1312"/>
      <c r="K7" s="1312"/>
      <c r="L7" s="175">
        <v>12.64</v>
      </c>
      <c r="M7" s="176">
        <v>12.64</v>
      </c>
      <c r="N7" s="176"/>
      <c r="O7" s="177"/>
      <c r="P7" s="16">
        <f>T20</f>
        <v>55.580000000000005</v>
      </c>
      <c r="Q7" s="17">
        <f>U20</f>
        <v>60.20000000000001</v>
      </c>
      <c r="R7" s="17">
        <f>V20</f>
        <v>9.85</v>
      </c>
      <c r="S7" s="18">
        <f>W20</f>
        <v>0</v>
      </c>
      <c r="T7" s="13">
        <v>6.12</v>
      </c>
      <c r="U7" s="13">
        <v>4.26</v>
      </c>
      <c r="X7" s="1288"/>
      <c r="AB7" s="48">
        <v>1</v>
      </c>
      <c r="AC7" s="48">
        <v>4.3</v>
      </c>
      <c r="AD7" s="48">
        <f>AB7*AC7</f>
        <v>4.3</v>
      </c>
    </row>
    <row r="8" spans="1:37" x14ac:dyDescent="0.25">
      <c r="A8" s="1313" t="s">
        <v>53</v>
      </c>
      <c r="B8" s="1314"/>
      <c r="C8" s="21" t="s">
        <v>14</v>
      </c>
      <c r="D8" s="243"/>
      <c r="E8" s="243"/>
      <c r="F8" s="243"/>
      <c r="G8" s="243"/>
      <c r="H8" s="1319"/>
      <c r="I8" s="1320"/>
      <c r="J8" s="1312"/>
      <c r="K8" s="1312"/>
      <c r="L8" s="172">
        <v>5.0999999999999996</v>
      </c>
      <c r="M8" s="173">
        <v>5.0999999999999996</v>
      </c>
      <c r="N8" s="173"/>
      <c r="O8" s="174"/>
      <c r="P8" s="16">
        <v>15.8</v>
      </c>
      <c r="Q8" s="17">
        <v>15.8</v>
      </c>
      <c r="R8" s="17">
        <v>15.8</v>
      </c>
      <c r="S8" s="18">
        <v>15.8</v>
      </c>
      <c r="T8" s="13">
        <v>6.12</v>
      </c>
      <c r="X8" s="1288"/>
      <c r="AB8" s="48"/>
      <c r="AC8" s="48"/>
      <c r="AD8" s="48">
        <f>SUM(AD4:AD7)</f>
        <v>60.099999999999994</v>
      </c>
    </row>
    <row r="9" spans="1:37" ht="18" x14ac:dyDescent="0.25">
      <c r="A9" s="1289" t="s">
        <v>54</v>
      </c>
      <c r="B9" s="1290"/>
      <c r="C9" s="22" t="s">
        <v>55</v>
      </c>
      <c r="D9" s="244">
        <f>D7*D8</f>
        <v>0</v>
      </c>
      <c r="E9" s="244">
        <f>E7*E8</f>
        <v>0</v>
      </c>
      <c r="F9" s="244">
        <f>F7*F8</f>
        <v>0</v>
      </c>
      <c r="G9" s="244">
        <f>G7*G8</f>
        <v>0</v>
      </c>
      <c r="H9" s="1295">
        <f>SUM(D9:G9)</f>
        <v>0</v>
      </c>
      <c r="I9" s="1296"/>
      <c r="J9" s="23">
        <f>L9+M9+N9+O9</f>
        <v>265.94800000000004</v>
      </c>
      <c r="K9" s="23">
        <f>P9+Q9+R9+S9</f>
        <v>1984.9540000000002</v>
      </c>
      <c r="L9" s="16">
        <f>(L5*L6)+(L7*L8)</f>
        <v>64.463999999999999</v>
      </c>
      <c r="M9" s="16">
        <f>(M5*M6)+(M7*M8)</f>
        <v>69.263999999999996</v>
      </c>
      <c r="N9" s="16">
        <v>66.11</v>
      </c>
      <c r="O9" s="16">
        <v>66.11</v>
      </c>
      <c r="P9" s="16">
        <f>P7*P8</f>
        <v>878.1640000000001</v>
      </c>
      <c r="Q9" s="17">
        <f>Q7*Q8</f>
        <v>951.1600000000002</v>
      </c>
      <c r="R9" s="17">
        <f>R7*R8</f>
        <v>155.63</v>
      </c>
      <c r="S9" s="18">
        <f>S7*S8</f>
        <v>0</v>
      </c>
      <c r="T9" s="13">
        <v>5.79</v>
      </c>
      <c r="X9" s="1288"/>
      <c r="AB9" s="1288" t="s">
        <v>56</v>
      </c>
      <c r="AC9" s="1288"/>
      <c r="AD9" s="1288"/>
      <c r="AE9" s="1288"/>
    </row>
    <row r="10" spans="1:37" x14ac:dyDescent="0.25">
      <c r="A10" s="12"/>
      <c r="B10" s="12"/>
      <c r="C10" s="239" t="s">
        <v>56</v>
      </c>
      <c r="D10" s="245"/>
      <c r="E10" s="245"/>
      <c r="F10" s="245"/>
      <c r="G10" s="245"/>
      <c r="H10" s="1293">
        <f>SUM(D10:G10)</f>
        <v>0</v>
      </c>
      <c r="I10" s="1294"/>
      <c r="J10" s="198">
        <f>L10+M10+N10+O10</f>
        <v>36.543099999999995</v>
      </c>
      <c r="K10" s="24">
        <f>P10+Q10+R10+S10</f>
        <v>405.15999999999997</v>
      </c>
      <c r="L10" s="178">
        <f>M23</f>
        <v>1.6767000000000001</v>
      </c>
      <c r="M10" s="178">
        <f>(M20*4)+(M24*2)+M28+(M30*2)</f>
        <v>19.437599999999996</v>
      </c>
      <c r="N10" s="178">
        <f>(M22*2)+(M26*2)+M27</f>
        <v>6.7294</v>
      </c>
      <c r="O10" s="178">
        <f>(M21*2)+(M22*2)</f>
        <v>8.6994000000000007</v>
      </c>
      <c r="P10" s="16">
        <v>240.55999999999997</v>
      </c>
      <c r="Q10" s="17">
        <v>117.68</v>
      </c>
      <c r="R10" s="17">
        <v>46.919999999999987</v>
      </c>
      <c r="S10" s="18">
        <v>0</v>
      </c>
      <c r="T10" s="25">
        <f>SUM(T1:T9)</f>
        <v>36.840000000000003</v>
      </c>
      <c r="U10" s="25">
        <f>SUM(U1:U9)</f>
        <v>75.41</v>
      </c>
      <c r="V10" s="25">
        <f>SUM(V1:V9)</f>
        <v>0</v>
      </c>
      <c r="W10" s="25">
        <f>SUM(W1:W9)</f>
        <v>21.759999999999998</v>
      </c>
      <c r="X10" s="1288"/>
      <c r="AB10" s="13" t="s">
        <v>85</v>
      </c>
      <c r="AC10" s="13" t="s">
        <v>86</v>
      </c>
      <c r="AD10" s="13" t="s">
        <v>87</v>
      </c>
      <c r="AE10" s="13" t="s">
        <v>88</v>
      </c>
      <c r="AJ10" s="13">
        <f>3.5/2.4</f>
        <v>1.4583333333333335</v>
      </c>
    </row>
    <row r="11" spans="1:37" x14ac:dyDescent="0.25">
      <c r="A11" s="12"/>
      <c r="B11" s="12"/>
      <c r="C11" s="240" t="s">
        <v>12</v>
      </c>
      <c r="D11" s="241">
        <f>ROUND(D9-D10,2)</f>
        <v>0</v>
      </c>
      <c r="E11" s="241">
        <f>ROUND(E9-E10,2)</f>
        <v>0</v>
      </c>
      <c r="F11" s="241">
        <f>ROUND(F9-F10,2)</f>
        <v>0</v>
      </c>
      <c r="G11" s="241">
        <f>ROUND(G9-G10,2)</f>
        <v>0</v>
      </c>
      <c r="H11" s="1293">
        <f>SUM(D11:G11)</f>
        <v>0</v>
      </c>
      <c r="I11" s="1294"/>
      <c r="J11" s="193">
        <f t="shared" ref="J11:O11" si="0">J9-J10-J16</f>
        <v>223.70490000000007</v>
      </c>
      <c r="K11" s="26">
        <f t="shared" si="0"/>
        <v>1548.7440000000004</v>
      </c>
      <c r="L11" s="55">
        <f t="shared" si="0"/>
        <v>62.787300000000002</v>
      </c>
      <c r="M11" s="55">
        <f t="shared" si="0"/>
        <v>49.8264</v>
      </c>
      <c r="N11" s="55">
        <f t="shared" si="0"/>
        <v>57.2806</v>
      </c>
      <c r="O11" s="55">
        <f t="shared" si="0"/>
        <v>53.810600000000001</v>
      </c>
      <c r="P11" s="27">
        <f>ROUND(P9-P10,2)</f>
        <v>637.6</v>
      </c>
      <c r="Q11" s="27">
        <f>ROUND(Q9-Q10,2)</f>
        <v>833.48</v>
      </c>
      <c r="R11" s="27">
        <f>ROUND(R9-R10,2)</f>
        <v>108.71</v>
      </c>
      <c r="S11" s="27">
        <f>ROUND(S9-S10,2)</f>
        <v>0</v>
      </c>
      <c r="T11" s="13">
        <v>10.85</v>
      </c>
      <c r="U11" s="13">
        <v>18.07</v>
      </c>
      <c r="V11" s="13">
        <v>9.85</v>
      </c>
      <c r="X11" s="1288">
        <v>2</v>
      </c>
      <c r="AB11" s="52">
        <v>13.811999999999999</v>
      </c>
      <c r="AC11" s="51">
        <v>5.7939999999999996</v>
      </c>
      <c r="AD11" s="54">
        <v>2.3199999999999998</v>
      </c>
      <c r="AE11" s="53">
        <v>5.5720000000000001</v>
      </c>
    </row>
    <row r="12" spans="1:37" x14ac:dyDescent="0.25">
      <c r="A12" s="12"/>
      <c r="B12" s="12"/>
      <c r="C12" s="12"/>
      <c r="D12" s="1291" t="s">
        <v>57</v>
      </c>
      <c r="E12" s="1291"/>
      <c r="F12" s="1291"/>
      <c r="G12" s="1291"/>
      <c r="H12" s="1291"/>
      <c r="I12" s="1291"/>
      <c r="J12" s="194">
        <v>50.56</v>
      </c>
      <c r="K12" s="26">
        <v>141.19999999999999</v>
      </c>
      <c r="L12" s="1292"/>
      <c r="M12" s="1292"/>
      <c r="N12" s="1292"/>
      <c r="O12" s="1292"/>
      <c r="P12" s="1292"/>
      <c r="Q12" s="1292"/>
      <c r="R12" s="1292"/>
      <c r="S12" s="1292"/>
      <c r="T12" s="13">
        <v>3.29</v>
      </c>
      <c r="U12" s="13">
        <v>13.73</v>
      </c>
      <c r="X12" s="1288"/>
      <c r="Z12" s="1288" t="s">
        <v>82</v>
      </c>
      <c r="AA12" s="1288"/>
      <c r="AB12" s="1288" t="s">
        <v>83</v>
      </c>
      <c r="AC12" s="1288"/>
    </row>
    <row r="13" spans="1:37" x14ac:dyDescent="0.25">
      <c r="A13" s="12"/>
      <c r="B13" s="12"/>
      <c r="C13" s="12"/>
      <c r="D13" s="1291" t="s">
        <v>237</v>
      </c>
      <c r="E13" s="1291"/>
      <c r="F13" s="1291"/>
      <c r="G13" s="1291"/>
      <c r="H13" s="1291"/>
      <c r="I13" s="1291"/>
      <c r="J13" s="194">
        <v>83.42</v>
      </c>
      <c r="K13" s="26">
        <v>455.2</v>
      </c>
      <c r="L13" s="1292"/>
      <c r="M13" s="1292"/>
      <c r="N13" s="1292"/>
      <c r="O13" s="1292"/>
      <c r="P13" s="1292"/>
      <c r="Q13" s="1292"/>
      <c r="R13" s="1292"/>
      <c r="S13" s="1292"/>
      <c r="T13" s="13">
        <v>7.7</v>
      </c>
      <c r="U13" s="13">
        <v>17.350000000000001</v>
      </c>
      <c r="X13" s="1288"/>
      <c r="Z13" s="13">
        <v>10.4</v>
      </c>
      <c r="AA13" s="13">
        <v>9.5</v>
      </c>
      <c r="AB13" s="13">
        <v>6.8</v>
      </c>
      <c r="AC13" s="13">
        <v>9.4</v>
      </c>
    </row>
    <row r="14" spans="1:37" x14ac:dyDescent="0.25">
      <c r="A14" s="8"/>
      <c r="B14" s="8"/>
      <c r="C14" s="8"/>
      <c r="D14" s="1291" t="s">
        <v>238</v>
      </c>
      <c r="E14" s="1291"/>
      <c r="F14" s="1291"/>
      <c r="G14" s="1291"/>
      <c r="H14" s="1291"/>
      <c r="I14" s="1291"/>
      <c r="J14" s="195">
        <v>11.33</v>
      </c>
      <c r="K14" s="28">
        <f>K13+K12</f>
        <v>596.4</v>
      </c>
      <c r="L14" s="1292"/>
      <c r="M14" s="1292"/>
      <c r="N14" s="1292"/>
      <c r="O14" s="1292"/>
      <c r="P14" s="1292"/>
      <c r="Q14" s="1292"/>
      <c r="R14" s="1292"/>
      <c r="S14" s="1292"/>
      <c r="T14" s="13">
        <v>4.79</v>
      </c>
      <c r="U14" s="13">
        <v>1.24</v>
      </c>
      <c r="X14" s="1288"/>
      <c r="AD14" s="57" t="s">
        <v>92</v>
      </c>
      <c r="AJ14" s="13" t="s">
        <v>89</v>
      </c>
    </row>
    <row r="15" spans="1:37" x14ac:dyDescent="0.25">
      <c r="A15" s="730"/>
      <c r="B15" s="730"/>
      <c r="C15" s="12"/>
      <c r="D15" s="1300" t="s">
        <v>239</v>
      </c>
      <c r="E15" s="1300"/>
      <c r="F15" s="1300"/>
      <c r="G15" s="1300"/>
      <c r="H15" s="1300"/>
      <c r="I15" s="1300"/>
      <c r="J15" s="196">
        <v>223</v>
      </c>
      <c r="K15" s="29"/>
      <c r="L15" s="1292"/>
      <c r="M15" s="1292"/>
      <c r="N15" s="1292"/>
      <c r="O15" s="1292"/>
      <c r="P15" s="1292"/>
      <c r="Q15" s="1292"/>
      <c r="R15" s="1292"/>
      <c r="S15" s="1292"/>
      <c r="T15" s="13">
        <v>8.3000000000000007</v>
      </c>
      <c r="U15" s="13">
        <v>4.49</v>
      </c>
      <c r="X15" s="1288"/>
      <c r="Z15" s="13" t="s">
        <v>90</v>
      </c>
      <c r="AA15" s="13">
        <v>122.1</v>
      </c>
      <c r="AB15" s="13" t="s">
        <v>91</v>
      </c>
      <c r="AC15" s="13">
        <v>103.14</v>
      </c>
      <c r="AD15" s="57">
        <f>AA15+AC15</f>
        <v>225.24</v>
      </c>
      <c r="AF15" s="13">
        <v>0.75</v>
      </c>
      <c r="AG15" s="13">
        <v>2.1</v>
      </c>
      <c r="AH15" s="13">
        <f>AF15*AG15</f>
        <v>1.5750000000000002</v>
      </c>
      <c r="AJ15" s="13">
        <v>6</v>
      </c>
      <c r="AK15" s="13">
        <v>1.46</v>
      </c>
    </row>
    <row r="16" spans="1:37" x14ac:dyDescent="0.25">
      <c r="A16" s="8"/>
      <c r="B16" s="8"/>
      <c r="C16" s="12"/>
      <c r="D16" s="1291" t="s">
        <v>70</v>
      </c>
      <c r="E16" s="1291"/>
      <c r="F16" s="1291"/>
      <c r="G16" s="1291"/>
      <c r="H16" s="1291"/>
      <c r="I16" s="1291"/>
      <c r="J16" s="193">
        <f>SUM(L16:O16)</f>
        <v>5.7</v>
      </c>
      <c r="K16" s="26">
        <f>SUM(P16:S16)</f>
        <v>31.050000000000004</v>
      </c>
      <c r="L16" s="257"/>
      <c r="M16" s="257"/>
      <c r="N16" s="257">
        <f>O20</f>
        <v>2.1</v>
      </c>
      <c r="O16" s="257">
        <f>O20+O24</f>
        <v>3.6</v>
      </c>
      <c r="P16" s="30">
        <v>23.76</v>
      </c>
      <c r="Q16" s="30">
        <v>7.2900000000000009</v>
      </c>
      <c r="R16" s="31">
        <v>0</v>
      </c>
      <c r="S16" s="31">
        <v>0</v>
      </c>
      <c r="T16" s="13">
        <v>3.71</v>
      </c>
      <c r="U16" s="13">
        <v>5.32</v>
      </c>
      <c r="X16" s="1288"/>
      <c r="AJ16" s="13">
        <v>11.48</v>
      </c>
      <c r="AK16" s="13">
        <v>7.68</v>
      </c>
    </row>
    <row r="17" spans="1:37" x14ac:dyDescent="0.25">
      <c r="A17" s="8"/>
      <c r="B17" s="8"/>
      <c r="C17" s="12"/>
      <c r="D17" s="44"/>
      <c r="E17" s="44"/>
      <c r="F17" s="44"/>
      <c r="G17" s="44"/>
      <c r="H17" s="44"/>
      <c r="I17" s="44"/>
      <c r="J17" s="33"/>
      <c r="K17" s="45"/>
      <c r="L17" s="46"/>
      <c r="M17" s="46"/>
      <c r="N17" s="46"/>
      <c r="O17" s="46"/>
      <c r="P17" s="8"/>
      <c r="Q17" s="8"/>
      <c r="R17" s="46"/>
      <c r="S17" s="46"/>
      <c r="X17" s="1288"/>
      <c r="AJ17" s="13">
        <v>2</v>
      </c>
      <c r="AK17" s="13">
        <f>AK15*AK16</f>
        <v>11.2128</v>
      </c>
    </row>
    <row r="18" spans="1:37" x14ac:dyDescent="0.25">
      <c r="A18" s="8"/>
      <c r="B18" s="8"/>
      <c r="C18" s="12"/>
      <c r="D18" s="8"/>
      <c r="E18" s="8"/>
      <c r="F18" s="8"/>
      <c r="G18" s="1301" t="s">
        <v>56</v>
      </c>
      <c r="H18" s="1302"/>
      <c r="I18" s="1302"/>
      <c r="J18" s="1302"/>
      <c r="K18" s="1302"/>
      <c r="L18" s="1302"/>
      <c r="M18" s="1296"/>
      <c r="N18" s="8"/>
      <c r="O18" s="8"/>
      <c r="P18" s="8"/>
      <c r="Q18" s="8"/>
      <c r="R18" s="32"/>
      <c r="S18" s="32"/>
      <c r="T18" s="13">
        <v>2.52</v>
      </c>
      <c r="X18" s="1288"/>
      <c r="AJ18" s="13">
        <f>AJ15*AJ16*AJ17</f>
        <v>137.76</v>
      </c>
      <c r="AK18" s="57">
        <f>AJ18+AK17</f>
        <v>148.97279999999998</v>
      </c>
    </row>
    <row r="19" spans="1:37" ht="33" customHeight="1" thickBot="1" x14ac:dyDescent="0.3">
      <c r="A19" s="8"/>
      <c r="B19" s="8"/>
      <c r="C19" s="730"/>
      <c r="D19" s="730"/>
      <c r="E19" s="730"/>
      <c r="F19" s="8"/>
      <c r="G19" s="37" t="s">
        <v>80</v>
      </c>
      <c r="H19" s="8" t="s">
        <v>79</v>
      </c>
      <c r="I19" s="12" t="s">
        <v>77</v>
      </c>
      <c r="J19" s="36" t="s">
        <v>78</v>
      </c>
      <c r="K19" s="32"/>
      <c r="L19" s="8"/>
      <c r="M19" s="8" t="s">
        <v>13</v>
      </c>
      <c r="O19" s="8" t="s">
        <v>13</v>
      </c>
      <c r="P19" s="8"/>
      <c r="Q19" s="8"/>
      <c r="R19" s="32"/>
      <c r="S19" s="32"/>
      <c r="T19" s="13">
        <v>14.42</v>
      </c>
      <c r="X19" s="1288"/>
      <c r="Z19" s="12" t="s">
        <v>77</v>
      </c>
      <c r="AA19" s="36" t="s">
        <v>78</v>
      </c>
      <c r="AB19" s="13" t="s">
        <v>79</v>
      </c>
      <c r="AC19" s="38" t="s">
        <v>81</v>
      </c>
      <c r="AE19" s="1288" t="s">
        <v>84</v>
      </c>
      <c r="AF19" s="1288"/>
      <c r="AG19" s="1288"/>
    </row>
    <row r="20" spans="1:37" x14ac:dyDescent="0.25">
      <c r="B20" s="13">
        <v>6.6</v>
      </c>
      <c r="C20" s="13">
        <v>12.64</v>
      </c>
      <c r="D20" s="13">
        <f>B20*C20</f>
        <v>83.423999999999992</v>
      </c>
      <c r="G20" s="56">
        <f>(I20+I20+J20+J20)*H20</f>
        <v>26.16</v>
      </c>
      <c r="H20" s="182">
        <v>4</v>
      </c>
      <c r="I20" s="183">
        <v>1.1000000000000001</v>
      </c>
      <c r="J20" s="183">
        <v>2.17</v>
      </c>
      <c r="K20" s="184"/>
      <c r="L20" s="42" t="s">
        <v>60</v>
      </c>
      <c r="M20" s="246">
        <f>I20*J20</f>
        <v>2.387</v>
      </c>
      <c r="N20" s="252" t="s">
        <v>65</v>
      </c>
      <c r="O20" s="250">
        <f>Z20*AA20</f>
        <v>2.1</v>
      </c>
      <c r="T20" s="25">
        <f>SUM(T11:T19)</f>
        <v>55.580000000000005</v>
      </c>
      <c r="U20" s="25">
        <f>SUM(U11:U19)</f>
        <v>60.20000000000001</v>
      </c>
      <c r="V20" s="25">
        <f>SUM(V11:V19)</f>
        <v>9.85</v>
      </c>
      <c r="W20" s="25">
        <f>SUM(W11:W19)</f>
        <v>0</v>
      </c>
      <c r="X20" s="1288"/>
      <c r="Z20" s="169">
        <v>1</v>
      </c>
      <c r="AA20" s="170">
        <v>2.1</v>
      </c>
      <c r="AB20" s="171">
        <v>2</v>
      </c>
      <c r="AC20" s="39">
        <f t="shared" ref="AC20:AC25" si="1">(Z20+Z20+AA20+AA20)*AB20</f>
        <v>12.399999999999999</v>
      </c>
      <c r="AE20" s="17">
        <v>3</v>
      </c>
      <c r="AF20" s="17">
        <v>4</v>
      </c>
      <c r="AG20" s="17">
        <f>AE20*AF20</f>
        <v>12</v>
      </c>
    </row>
    <row r="21" spans="1:37" x14ac:dyDescent="0.25">
      <c r="A21" s="12"/>
      <c r="B21" s="12">
        <v>49.28</v>
      </c>
      <c r="C21" s="12">
        <v>0.23</v>
      </c>
      <c r="D21" s="13">
        <f>B21*C21</f>
        <v>11.3344</v>
      </c>
      <c r="E21" s="12"/>
      <c r="F21" s="12"/>
      <c r="G21" s="40">
        <f>(I21+I21+J21+J21)*H21</f>
        <v>13.660000000000002</v>
      </c>
      <c r="H21" s="185">
        <v>2</v>
      </c>
      <c r="I21" s="186">
        <v>1.2150000000000001</v>
      </c>
      <c r="J21" s="1303">
        <v>2.2000000000000002</v>
      </c>
      <c r="K21" s="1304"/>
      <c r="L21" s="41" t="s">
        <v>61</v>
      </c>
      <c r="M21" s="247">
        <f t="shared" ref="M21:M32" si="2">I21*J21</f>
        <v>2.6730000000000005</v>
      </c>
      <c r="N21" s="253" t="s">
        <v>66</v>
      </c>
      <c r="O21" s="197">
        <f t="shared" ref="O21:O32" si="3">Z21*AA21</f>
        <v>0</v>
      </c>
      <c r="P21" s="34"/>
      <c r="Q21" s="34"/>
      <c r="R21" s="34"/>
      <c r="S21" s="34"/>
      <c r="T21" s="25"/>
      <c r="U21" s="25"/>
      <c r="V21" s="25"/>
      <c r="W21" s="25"/>
      <c r="Z21" s="179"/>
      <c r="AA21" s="180"/>
      <c r="AB21" s="181"/>
      <c r="AC21" s="39">
        <f t="shared" si="1"/>
        <v>0</v>
      </c>
      <c r="AE21" s="12">
        <v>7.2</v>
      </c>
      <c r="AF21" s="17">
        <v>9</v>
      </c>
      <c r="AG21" s="17">
        <f t="shared" ref="AG21:AG36" si="4">AE21*AF21</f>
        <v>64.8</v>
      </c>
      <c r="AI21" s="39">
        <v>2.2999999999999998</v>
      </c>
      <c r="AJ21" s="13">
        <v>1.8</v>
      </c>
      <c r="AK21" s="13">
        <f>AI21/AJ21</f>
        <v>1.2777777777777777</v>
      </c>
    </row>
    <row r="22" spans="1:37" x14ac:dyDescent="0.25">
      <c r="A22" s="8"/>
      <c r="B22" s="12">
        <v>49.28</v>
      </c>
      <c r="C22" s="8">
        <v>2.42</v>
      </c>
      <c r="D22" s="13">
        <f>B22*C22</f>
        <v>119.2576</v>
      </c>
      <c r="E22" s="35"/>
      <c r="F22" s="35"/>
      <c r="G22" s="40">
        <f t="shared" ref="G22:G32" si="5">(I22+I22+J22+J22)*H22</f>
        <v>20.759999999999998</v>
      </c>
      <c r="H22" s="187">
        <v>4</v>
      </c>
      <c r="I22" s="256">
        <v>1.2150000000000001</v>
      </c>
      <c r="J22" s="1305">
        <v>1.38</v>
      </c>
      <c r="K22" s="1306"/>
      <c r="L22" s="41" t="s">
        <v>62</v>
      </c>
      <c r="M22" s="248">
        <f t="shared" si="2"/>
        <v>1.6767000000000001</v>
      </c>
      <c r="N22" s="254" t="s">
        <v>67</v>
      </c>
      <c r="O22" s="197">
        <f t="shared" si="3"/>
        <v>0</v>
      </c>
      <c r="P22" s="35"/>
      <c r="Q22" s="35"/>
      <c r="R22" s="35"/>
      <c r="S22" s="35"/>
      <c r="T22" s="25"/>
      <c r="U22" s="25"/>
      <c r="V22" s="25"/>
      <c r="W22" s="25"/>
      <c r="Z22" s="179"/>
      <c r="AA22" s="180"/>
      <c r="AB22" s="181"/>
      <c r="AC22" s="39">
        <f t="shared" si="1"/>
        <v>0</v>
      </c>
      <c r="AE22" s="12">
        <v>1.7</v>
      </c>
      <c r="AF22" s="17">
        <v>3.7</v>
      </c>
      <c r="AG22" s="17">
        <f t="shared" si="4"/>
        <v>6.29</v>
      </c>
    </row>
    <row r="23" spans="1:37" x14ac:dyDescent="0.25">
      <c r="A23" s="8">
        <v>1.57</v>
      </c>
      <c r="B23" s="8">
        <v>1.57</v>
      </c>
      <c r="C23" s="12">
        <v>1.2</v>
      </c>
      <c r="D23" s="13">
        <v>103.7</v>
      </c>
      <c r="E23" s="8"/>
      <c r="F23" s="8"/>
      <c r="G23" s="40">
        <f t="shared" si="5"/>
        <v>5.1899999999999995</v>
      </c>
      <c r="H23" s="185">
        <v>1</v>
      </c>
      <c r="I23" s="186">
        <v>1.2150000000000001</v>
      </c>
      <c r="J23" s="1307">
        <v>1.38</v>
      </c>
      <c r="K23" s="1308"/>
      <c r="L23" s="41" t="s">
        <v>63</v>
      </c>
      <c r="M23" s="247">
        <f t="shared" si="2"/>
        <v>1.6767000000000001</v>
      </c>
      <c r="N23" s="253" t="s">
        <v>68</v>
      </c>
      <c r="O23" s="197">
        <f t="shared" si="3"/>
        <v>0</v>
      </c>
      <c r="P23" s="8"/>
      <c r="Q23" s="8"/>
      <c r="R23" s="8"/>
      <c r="S23" s="8"/>
      <c r="T23" s="25"/>
      <c r="U23" s="25"/>
      <c r="V23" s="25"/>
      <c r="W23" s="25"/>
      <c r="Z23" s="179"/>
      <c r="AA23" s="180"/>
      <c r="AB23" s="181"/>
      <c r="AC23" s="39">
        <f t="shared" si="1"/>
        <v>0</v>
      </c>
      <c r="AE23" s="12">
        <v>2.7</v>
      </c>
      <c r="AF23" s="17">
        <v>3.5</v>
      </c>
      <c r="AG23" s="17">
        <f t="shared" si="4"/>
        <v>9.4500000000000011</v>
      </c>
      <c r="AI23" s="13">
        <v>1.514</v>
      </c>
      <c r="AJ23" s="13">
        <v>0.7</v>
      </c>
    </row>
    <row r="24" spans="1:37" x14ac:dyDescent="0.25">
      <c r="A24" s="12"/>
      <c r="B24" s="12"/>
      <c r="C24" s="12"/>
      <c r="D24" s="8">
        <f>D22+D23</f>
        <v>222.95760000000001</v>
      </c>
      <c r="E24" s="8"/>
      <c r="F24" s="8"/>
      <c r="G24" s="40">
        <f t="shared" si="5"/>
        <v>13.36</v>
      </c>
      <c r="H24" s="185">
        <v>2</v>
      </c>
      <c r="I24" s="186">
        <v>1.96</v>
      </c>
      <c r="J24" s="186">
        <v>1.38</v>
      </c>
      <c r="K24" s="188"/>
      <c r="L24" s="41" t="s">
        <v>64</v>
      </c>
      <c r="M24" s="247">
        <f t="shared" si="2"/>
        <v>2.7047999999999996</v>
      </c>
      <c r="N24" s="253" t="s">
        <v>69</v>
      </c>
      <c r="O24" s="197">
        <f t="shared" si="3"/>
        <v>1.5</v>
      </c>
      <c r="P24" s="8"/>
      <c r="Q24" s="8"/>
      <c r="R24" s="8"/>
      <c r="S24" s="8"/>
      <c r="T24" s="25"/>
      <c r="U24" s="25"/>
      <c r="V24" s="25"/>
      <c r="W24" s="25"/>
      <c r="Z24" s="179">
        <v>1</v>
      </c>
      <c r="AA24" s="180">
        <v>1.5</v>
      </c>
      <c r="AB24" s="181">
        <v>2.1</v>
      </c>
      <c r="AC24" s="39">
        <f t="shared" si="1"/>
        <v>10.5</v>
      </c>
      <c r="AE24" s="12">
        <v>2.8</v>
      </c>
      <c r="AF24" s="17">
        <v>3</v>
      </c>
      <c r="AG24" s="17">
        <f t="shared" si="4"/>
        <v>8.3999999999999986</v>
      </c>
      <c r="AI24" s="13">
        <f>AI21*AI23</f>
        <v>3.4821999999999997</v>
      </c>
      <c r="AJ24" s="13">
        <f>AJ23*AI23</f>
        <v>1.0597999999999999</v>
      </c>
    </row>
    <row r="25" spans="1:37" x14ac:dyDescent="0.25">
      <c r="A25" s="12"/>
      <c r="B25" s="12"/>
      <c r="C25" s="12"/>
      <c r="D25" s="8"/>
      <c r="E25" s="8"/>
      <c r="F25" s="8"/>
      <c r="G25" s="40">
        <f t="shared" si="5"/>
        <v>0</v>
      </c>
      <c r="H25" s="185"/>
      <c r="I25" s="186">
        <v>3.15</v>
      </c>
      <c r="J25" s="186">
        <v>1.38</v>
      </c>
      <c r="K25" s="188"/>
      <c r="L25" s="41" t="s">
        <v>74</v>
      </c>
      <c r="M25" s="247">
        <f t="shared" si="2"/>
        <v>4.3469999999999995</v>
      </c>
      <c r="N25" s="253" t="s">
        <v>227</v>
      </c>
      <c r="O25" s="197">
        <f t="shared" si="3"/>
        <v>0</v>
      </c>
      <c r="P25" s="8"/>
      <c r="Q25" s="8"/>
      <c r="R25" s="8"/>
      <c r="S25" s="8"/>
      <c r="T25" s="25"/>
      <c r="U25" s="25"/>
      <c r="V25" s="25"/>
      <c r="W25" s="25"/>
      <c r="Z25" s="179"/>
      <c r="AA25" s="180"/>
      <c r="AB25" s="181"/>
      <c r="AC25" s="39">
        <f t="shared" si="1"/>
        <v>0</v>
      </c>
      <c r="AE25" s="12">
        <v>1.3</v>
      </c>
      <c r="AF25" s="17">
        <v>3</v>
      </c>
      <c r="AG25" s="17">
        <f t="shared" si="4"/>
        <v>3.9000000000000004</v>
      </c>
    </row>
    <row r="26" spans="1:37" x14ac:dyDescent="0.25">
      <c r="A26" s="12"/>
      <c r="B26" s="12">
        <v>103.3</v>
      </c>
      <c r="C26" s="12">
        <v>86.7</v>
      </c>
      <c r="D26" s="259">
        <f>B26+C26</f>
        <v>190</v>
      </c>
      <c r="E26" s="8" t="s">
        <v>240</v>
      </c>
      <c r="F26" s="8"/>
      <c r="G26" s="40">
        <f t="shared" si="5"/>
        <v>8.3800000000000008</v>
      </c>
      <c r="H26" s="185">
        <v>2</v>
      </c>
      <c r="I26" s="186">
        <v>1.2150000000000001</v>
      </c>
      <c r="J26" s="186">
        <v>0.88</v>
      </c>
      <c r="K26" s="188"/>
      <c r="L26" s="41" t="s">
        <v>75</v>
      </c>
      <c r="M26" s="247">
        <f t="shared" si="2"/>
        <v>1.0692000000000002</v>
      </c>
      <c r="N26" s="253"/>
      <c r="O26" s="197"/>
      <c r="P26" s="8"/>
      <c r="Q26" s="8"/>
      <c r="R26" s="8"/>
      <c r="S26" s="8"/>
      <c r="T26" s="25"/>
      <c r="U26" s="25"/>
      <c r="V26" s="25"/>
      <c r="W26" s="25"/>
      <c r="Z26" s="179"/>
      <c r="AA26" s="180"/>
      <c r="AB26" s="181"/>
      <c r="AC26" s="39"/>
      <c r="AE26" s="12"/>
      <c r="AF26" s="17"/>
      <c r="AG26" s="17"/>
    </row>
    <row r="27" spans="1:37" x14ac:dyDescent="0.25">
      <c r="A27" s="12"/>
      <c r="B27" s="12"/>
      <c r="C27" s="12"/>
      <c r="D27" s="8">
        <v>103.7</v>
      </c>
      <c r="E27" s="8" t="s">
        <v>239</v>
      </c>
      <c r="F27" s="8"/>
      <c r="G27" s="40">
        <f t="shared" si="5"/>
        <v>5</v>
      </c>
      <c r="H27" s="185">
        <v>1</v>
      </c>
      <c r="I27" s="186">
        <v>0.68</v>
      </c>
      <c r="J27" s="186">
        <v>1.82</v>
      </c>
      <c r="K27" s="188"/>
      <c r="L27" s="41" t="s">
        <v>76</v>
      </c>
      <c r="M27" s="247">
        <f t="shared" si="2"/>
        <v>1.2376</v>
      </c>
      <c r="N27" s="253"/>
      <c r="O27" s="197"/>
      <c r="P27" s="8"/>
      <c r="Q27" s="8"/>
      <c r="R27" s="8"/>
      <c r="S27" s="8"/>
      <c r="T27" s="25"/>
      <c r="U27" s="25"/>
      <c r="V27" s="25"/>
      <c r="W27" s="25"/>
      <c r="Z27" s="172"/>
      <c r="AA27" s="173"/>
      <c r="AB27" s="174"/>
      <c r="AC27" s="39"/>
      <c r="AE27" s="12"/>
      <c r="AF27" s="17"/>
      <c r="AG27" s="17"/>
      <c r="AI27" s="13">
        <v>3.03</v>
      </c>
      <c r="AJ27" s="13">
        <v>2.2200000000000002</v>
      </c>
      <c r="AK27" s="13">
        <v>3.48</v>
      </c>
    </row>
    <row r="28" spans="1:37" x14ac:dyDescent="0.25">
      <c r="A28" s="12"/>
      <c r="B28" s="12"/>
      <c r="C28" s="12"/>
      <c r="D28" s="8">
        <f>D26+D27</f>
        <v>293.7</v>
      </c>
      <c r="E28" s="8" t="s">
        <v>241</v>
      </c>
      <c r="F28" s="8"/>
      <c r="G28" s="40">
        <f t="shared" si="5"/>
        <v>6.5600000000000005</v>
      </c>
      <c r="H28" s="185">
        <v>1</v>
      </c>
      <c r="I28" s="186">
        <v>1.28</v>
      </c>
      <c r="J28" s="186">
        <v>2</v>
      </c>
      <c r="K28" s="188"/>
      <c r="L28" s="41" t="s">
        <v>230</v>
      </c>
      <c r="M28" s="247">
        <f t="shared" si="2"/>
        <v>2.56</v>
      </c>
      <c r="N28" s="253"/>
      <c r="O28" s="197"/>
      <c r="P28" s="8"/>
      <c r="Q28" s="8"/>
      <c r="R28" s="8"/>
      <c r="S28" s="8"/>
      <c r="T28" s="25"/>
      <c r="U28" s="25"/>
      <c r="V28" s="25"/>
      <c r="W28" s="25"/>
      <c r="Z28" s="39"/>
      <c r="AA28" s="39"/>
      <c r="AB28" s="39"/>
      <c r="AC28" s="39"/>
      <c r="AE28" s="12"/>
      <c r="AF28" s="17"/>
      <c r="AG28" s="17"/>
      <c r="AI28" s="13">
        <v>8.5749999999999993</v>
      </c>
      <c r="AJ28" s="13">
        <v>1.06</v>
      </c>
      <c r="AK28" s="13">
        <v>8.5749999999999993</v>
      </c>
    </row>
    <row r="29" spans="1:37" x14ac:dyDescent="0.25">
      <c r="A29" s="12"/>
      <c r="B29" s="12"/>
      <c r="C29" s="12"/>
      <c r="D29" s="8"/>
      <c r="E29" s="8"/>
      <c r="F29" s="8"/>
      <c r="G29" s="40">
        <f t="shared" si="5"/>
        <v>0</v>
      </c>
      <c r="H29" s="185"/>
      <c r="I29" s="186">
        <v>3.45</v>
      </c>
      <c r="J29" s="186">
        <v>2.2200000000000002</v>
      </c>
      <c r="K29" s="188"/>
      <c r="L29" s="41" t="s">
        <v>231</v>
      </c>
      <c r="M29" s="247">
        <f t="shared" si="2"/>
        <v>7.6590000000000007</v>
      </c>
      <c r="N29" s="253"/>
      <c r="O29" s="197"/>
      <c r="P29" s="8"/>
      <c r="Q29" s="8"/>
      <c r="R29" s="8"/>
      <c r="S29" s="8"/>
      <c r="T29" s="25"/>
      <c r="U29" s="25"/>
      <c r="V29" s="25"/>
      <c r="W29" s="25"/>
      <c r="Z29" s="39"/>
      <c r="AA29" s="39"/>
      <c r="AB29" s="39"/>
      <c r="AC29" s="39"/>
      <c r="AE29" s="12"/>
      <c r="AF29" s="17"/>
      <c r="AG29" s="17"/>
    </row>
    <row r="30" spans="1:37" x14ac:dyDescent="0.25">
      <c r="A30" s="12"/>
      <c r="B30" s="12"/>
      <c r="C30" s="12"/>
      <c r="D30" s="8"/>
      <c r="E30" s="8"/>
      <c r="F30" s="8"/>
      <c r="G30" s="40">
        <f t="shared" si="5"/>
        <v>8</v>
      </c>
      <c r="H30" s="185">
        <v>2</v>
      </c>
      <c r="I30" s="186">
        <v>1.2</v>
      </c>
      <c r="J30" s="186">
        <v>0.8</v>
      </c>
      <c r="K30" s="188"/>
      <c r="L30" s="41" t="s">
        <v>232</v>
      </c>
      <c r="M30" s="247">
        <f t="shared" si="2"/>
        <v>0.96</v>
      </c>
      <c r="N30" s="253"/>
      <c r="O30" s="197"/>
      <c r="P30" s="8"/>
      <c r="Q30" s="8"/>
      <c r="R30" s="8"/>
      <c r="S30" s="8"/>
      <c r="T30" s="25"/>
      <c r="U30" s="25"/>
      <c r="V30" s="25"/>
      <c r="W30" s="25"/>
      <c r="Z30" s="39"/>
      <c r="AA30" s="39"/>
      <c r="AB30" s="39"/>
      <c r="AC30" s="39"/>
      <c r="AE30" s="12"/>
      <c r="AF30" s="17"/>
      <c r="AG30" s="17"/>
    </row>
    <row r="31" spans="1:37" x14ac:dyDescent="0.25">
      <c r="A31" s="12"/>
      <c r="B31" s="12"/>
      <c r="C31" s="12"/>
      <c r="D31" s="8"/>
      <c r="E31" s="8"/>
      <c r="F31" s="8"/>
      <c r="G31" s="40">
        <f t="shared" si="5"/>
        <v>0</v>
      </c>
      <c r="H31" s="185"/>
      <c r="I31" s="186"/>
      <c r="J31" s="186"/>
      <c r="K31" s="188"/>
      <c r="L31" s="41" t="s">
        <v>233</v>
      </c>
      <c r="M31" s="247">
        <f t="shared" si="2"/>
        <v>0</v>
      </c>
      <c r="N31" s="253"/>
      <c r="O31" s="197">
        <f t="shared" si="3"/>
        <v>0</v>
      </c>
      <c r="P31" s="8"/>
      <c r="Q31" s="8"/>
      <c r="R31" s="8"/>
      <c r="S31" s="8"/>
      <c r="T31" s="25"/>
      <c r="U31" s="25"/>
      <c r="V31" s="25"/>
      <c r="W31" s="25"/>
      <c r="Z31" s="39"/>
      <c r="AA31" s="39"/>
      <c r="AB31" s="39"/>
      <c r="AC31" s="39"/>
      <c r="AE31" s="12">
        <v>6.5</v>
      </c>
      <c r="AF31" s="17">
        <v>4</v>
      </c>
      <c r="AG31" s="17">
        <f t="shared" si="4"/>
        <v>26</v>
      </c>
      <c r="AI31" s="13">
        <v>2</v>
      </c>
      <c r="AJ31" s="13">
        <f>AJ27*AJ28</f>
        <v>2.3532000000000002</v>
      </c>
      <c r="AK31" s="13">
        <f>AK27*AK28</f>
        <v>29.840999999999998</v>
      </c>
    </row>
    <row r="32" spans="1:37" ht="16.5" thickBot="1" x14ac:dyDescent="0.3">
      <c r="A32" s="8"/>
      <c r="B32" s="8"/>
      <c r="C32" s="12"/>
      <c r="D32" s="8"/>
      <c r="E32" s="8"/>
      <c r="F32" s="8"/>
      <c r="G32" s="40">
        <f t="shared" si="5"/>
        <v>0</v>
      </c>
      <c r="H32" s="189"/>
      <c r="I32" s="190"/>
      <c r="J32" s="191"/>
      <c r="K32" s="192"/>
      <c r="L32" s="43" t="s">
        <v>234</v>
      </c>
      <c r="M32" s="249">
        <f t="shared" si="2"/>
        <v>0</v>
      </c>
      <c r="N32" s="255"/>
      <c r="O32" s="251">
        <f t="shared" si="3"/>
        <v>0</v>
      </c>
      <c r="P32" s="8"/>
      <c r="Q32" s="8"/>
      <c r="R32" s="32"/>
      <c r="S32" s="32"/>
      <c r="T32" s="25"/>
      <c r="U32" s="25"/>
      <c r="V32" s="25"/>
      <c r="W32" s="25"/>
      <c r="Z32" s="39"/>
      <c r="AA32" s="39"/>
      <c r="AB32" s="39"/>
      <c r="AC32" s="39"/>
      <c r="AE32" s="12">
        <v>4.5</v>
      </c>
      <c r="AF32" s="17">
        <v>4.5</v>
      </c>
      <c r="AG32" s="17">
        <f t="shared" si="4"/>
        <v>20.25</v>
      </c>
      <c r="AI32" s="13">
        <f>AI27*AI28*AI31</f>
        <v>51.964499999999994</v>
      </c>
      <c r="AJ32" s="13">
        <f>AI32+AJ31</f>
        <v>54.317699999999995</v>
      </c>
    </row>
    <row r="33" spans="1:33" x14ac:dyDescent="0.25">
      <c r="A33" s="8"/>
      <c r="B33" s="8"/>
      <c r="C33" s="12"/>
      <c r="D33" s="8"/>
      <c r="E33" s="8"/>
      <c r="F33" s="8"/>
      <c r="G33" s="8">
        <f>SUM(G20:G32)</f>
        <v>107.07</v>
      </c>
      <c r="H33" s="8"/>
      <c r="I33" s="8"/>
      <c r="J33" s="32"/>
      <c r="K33" s="32"/>
      <c r="L33" s="730">
        <f>G33+AC33</f>
        <v>129.97</v>
      </c>
      <c r="M33" s="730"/>
      <c r="N33" s="730"/>
      <c r="O33" s="730"/>
      <c r="P33" s="8"/>
      <c r="Q33" s="8"/>
      <c r="R33" s="32"/>
      <c r="S33" s="32"/>
      <c r="T33" s="25"/>
      <c r="U33" s="25"/>
      <c r="V33" s="25"/>
      <c r="W33" s="25"/>
      <c r="AC33" s="13">
        <f>SUM(AC20:AC32)</f>
        <v>22.9</v>
      </c>
      <c r="AE33" s="12">
        <v>3.6</v>
      </c>
      <c r="AF33" s="17">
        <v>3</v>
      </c>
      <c r="AG33" s="17">
        <f t="shared" si="4"/>
        <v>10.8</v>
      </c>
    </row>
    <row r="34" spans="1:33" x14ac:dyDescent="0.25">
      <c r="A34" s="8"/>
      <c r="B34" s="8"/>
      <c r="C34" s="12"/>
      <c r="D34" s="8"/>
      <c r="E34" s="8"/>
      <c r="F34" s="8"/>
      <c r="G34" s="8"/>
      <c r="H34" s="8"/>
      <c r="I34" s="8"/>
      <c r="J34" s="32"/>
      <c r="K34" s="32"/>
      <c r="L34" s="12"/>
      <c r="M34" s="12"/>
      <c r="N34" s="12"/>
      <c r="O34" s="12"/>
      <c r="P34" s="8"/>
      <c r="Q34" s="8"/>
      <c r="R34" s="32"/>
      <c r="S34" s="32"/>
      <c r="T34" s="25"/>
      <c r="U34" s="25"/>
      <c r="V34" s="25"/>
      <c r="W34" s="25"/>
      <c r="AE34" s="12">
        <v>3.6</v>
      </c>
      <c r="AF34" s="17">
        <v>3</v>
      </c>
      <c r="AG34" s="17">
        <f t="shared" si="4"/>
        <v>10.8</v>
      </c>
    </row>
    <row r="35" spans="1:33" x14ac:dyDescent="0.25">
      <c r="A35" s="8"/>
      <c r="B35" s="8"/>
      <c r="C35" s="12"/>
      <c r="D35" s="8"/>
      <c r="E35" s="8"/>
      <c r="F35" s="8"/>
      <c r="G35" s="8"/>
      <c r="H35" s="8"/>
      <c r="I35" s="8"/>
      <c r="J35" s="32"/>
      <c r="K35" s="32"/>
      <c r="L35" s="12"/>
      <c r="M35" s="12"/>
      <c r="N35" s="12"/>
      <c r="O35" s="12"/>
      <c r="P35" s="8"/>
      <c r="Q35" s="8"/>
      <c r="R35" s="32"/>
      <c r="S35" s="32"/>
      <c r="T35" s="25"/>
      <c r="U35" s="25"/>
      <c r="V35" s="25"/>
      <c r="W35" s="25"/>
      <c r="AE35" s="12">
        <v>9</v>
      </c>
      <c r="AF35" s="17">
        <v>2.8</v>
      </c>
      <c r="AG35" s="17">
        <f t="shared" si="4"/>
        <v>25.2</v>
      </c>
    </row>
    <row r="36" spans="1:33" x14ac:dyDescent="0.25">
      <c r="B36" s="1297" t="s">
        <v>58</v>
      </c>
      <c r="C36" s="1297"/>
      <c r="D36" s="1297"/>
      <c r="E36" s="1297"/>
      <c r="F36" s="822" t="s">
        <v>31</v>
      </c>
      <c r="G36" s="822"/>
      <c r="H36" s="1298">
        <v>102.8</v>
      </c>
      <c r="I36" s="1299"/>
      <c r="AE36" s="17">
        <v>2.7</v>
      </c>
      <c r="AF36" s="17">
        <v>3</v>
      </c>
      <c r="AG36" s="17">
        <f t="shared" si="4"/>
        <v>8.1000000000000014</v>
      </c>
    </row>
    <row r="37" spans="1:33" x14ac:dyDescent="0.25">
      <c r="B37" s="1297" t="s">
        <v>59</v>
      </c>
      <c r="C37" s="1297"/>
      <c r="D37" s="1297"/>
      <c r="E37" s="1297"/>
      <c r="F37" s="822" t="s">
        <v>31</v>
      </c>
      <c r="G37" s="822"/>
      <c r="H37" s="1298">
        <f>H36+77</f>
        <v>179.8</v>
      </c>
      <c r="I37" s="1299"/>
      <c r="AE37" s="17"/>
      <c r="AF37" s="17"/>
      <c r="AG37" s="17">
        <f>SUM(AG20:AG36)</f>
        <v>205.99</v>
      </c>
    </row>
    <row r="39" spans="1:33" x14ac:dyDescent="0.25">
      <c r="A39" s="8"/>
      <c r="B39" s="8"/>
      <c r="C39" s="8"/>
      <c r="D39" s="8"/>
      <c r="E39" s="8"/>
      <c r="F39" s="8"/>
      <c r="G39" s="8"/>
      <c r="H39" s="8"/>
      <c r="I39" s="8"/>
      <c r="J39" s="12"/>
    </row>
  </sheetData>
  <mergeCells count="41">
    <mergeCell ref="AB3:AD3"/>
    <mergeCell ref="AE3:AG3"/>
    <mergeCell ref="X1:X10"/>
    <mergeCell ref="L1:O1"/>
    <mergeCell ref="P1:S1"/>
    <mergeCell ref="AB9:AE9"/>
    <mergeCell ref="J4:K4"/>
    <mergeCell ref="D5:I5"/>
    <mergeCell ref="J5:J8"/>
    <mergeCell ref="K5:K8"/>
    <mergeCell ref="A6:B6"/>
    <mergeCell ref="A8:B8"/>
    <mergeCell ref="H6:I8"/>
    <mergeCell ref="B37:E37"/>
    <mergeCell ref="F37:G37"/>
    <mergeCell ref="H37:I37"/>
    <mergeCell ref="D14:I14"/>
    <mergeCell ref="A15:B15"/>
    <mergeCell ref="D15:I15"/>
    <mergeCell ref="D16:I16"/>
    <mergeCell ref="C19:E19"/>
    <mergeCell ref="B36:E36"/>
    <mergeCell ref="F36:G36"/>
    <mergeCell ref="H36:I36"/>
    <mergeCell ref="G18:M18"/>
    <mergeCell ref="L33:O33"/>
    <mergeCell ref="J21:K21"/>
    <mergeCell ref="J22:K22"/>
    <mergeCell ref="J23:K23"/>
    <mergeCell ref="AE19:AG19"/>
    <mergeCell ref="A9:B9"/>
    <mergeCell ref="D12:I12"/>
    <mergeCell ref="D13:I13"/>
    <mergeCell ref="Z12:AA12"/>
    <mergeCell ref="AB12:AC12"/>
    <mergeCell ref="X11:X20"/>
    <mergeCell ref="L12:O15"/>
    <mergeCell ref="P12:S15"/>
    <mergeCell ref="H11:I11"/>
    <mergeCell ref="H10:I10"/>
    <mergeCell ref="H9:I9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7"/>
  <sheetViews>
    <sheetView workbookViewId="0">
      <selection activeCell="G31" sqref="G31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6384" width="9.140625" style="2"/>
  </cols>
  <sheetData>
    <row r="1" spans="1:16" ht="18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1322" t="s">
        <v>260</v>
      </c>
      <c r="N1" s="1322"/>
      <c r="O1" s="1322"/>
      <c r="P1" s="1322"/>
    </row>
    <row r="2" spans="1:16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16" s="60" customFormat="1" ht="21.75" customHeight="1" x14ac:dyDescent="0.2">
      <c r="A3" s="82"/>
      <c r="B3" s="77"/>
      <c r="C3" s="238" t="s">
        <v>258</v>
      </c>
      <c r="D3" s="1136" t="s">
        <v>259</v>
      </c>
      <c r="E3" s="1137"/>
      <c r="F3" s="1137"/>
      <c r="G3" s="1137"/>
      <c r="H3" s="1137"/>
      <c r="I3" s="1137"/>
      <c r="J3" s="1137"/>
      <c r="K3" s="1137"/>
      <c r="L3" s="1138"/>
      <c r="P3" s="68"/>
    </row>
    <row r="4" spans="1:16" s="60" customFormat="1" ht="9" customHeight="1" x14ac:dyDescent="0.2">
      <c r="A4" s="82"/>
      <c r="B4" s="77"/>
      <c r="C4" s="62"/>
      <c r="D4" s="97"/>
      <c r="E4" s="97"/>
      <c r="F4" s="97"/>
      <c r="G4" s="97"/>
      <c r="H4" s="97"/>
      <c r="I4" s="97"/>
      <c r="J4" s="97"/>
      <c r="K4" s="97"/>
      <c r="L4" s="97"/>
      <c r="P4" s="68"/>
    </row>
    <row r="5" spans="1:16" s="60" customFormat="1" ht="15" x14ac:dyDescent="0.25">
      <c r="A5" s="82"/>
      <c r="B5" s="77"/>
      <c r="C5" s="62"/>
      <c r="D5" s="1329" t="s">
        <v>109</v>
      </c>
      <c r="E5" s="1329"/>
      <c r="F5" s="1329"/>
      <c r="G5" s="1329"/>
      <c r="H5" s="1329"/>
      <c r="I5" s="1329"/>
      <c r="J5" s="100" t="s">
        <v>110</v>
      </c>
      <c r="K5" s="1284">
        <v>0.17</v>
      </c>
      <c r="L5" s="1285"/>
      <c r="M5" s="127"/>
      <c r="P5" s="68"/>
    </row>
    <row r="6" spans="1:16" s="60" customFormat="1" ht="15" x14ac:dyDescent="0.25">
      <c r="A6" s="82"/>
      <c r="B6" s="77"/>
      <c r="C6" s="62"/>
      <c r="D6" s="62"/>
      <c r="E6" s="62"/>
      <c r="F6" s="62"/>
      <c r="G6" s="62"/>
      <c r="H6" s="62"/>
      <c r="I6" s="62"/>
      <c r="J6" s="100" t="s">
        <v>111</v>
      </c>
      <c r="K6" s="1257">
        <v>0.04</v>
      </c>
      <c r="L6" s="1286"/>
      <c r="P6" s="68"/>
    </row>
    <row r="7" spans="1:16" s="60" customFormat="1" ht="14.25" customHeight="1" x14ac:dyDescent="0.2">
      <c r="A7" s="82"/>
      <c r="B7" s="77"/>
      <c r="C7" s="62"/>
      <c r="D7" s="62"/>
      <c r="E7" s="62"/>
      <c r="F7" s="62"/>
      <c r="G7" s="62"/>
      <c r="H7" s="62"/>
      <c r="I7" s="62"/>
      <c r="J7" s="100" t="s">
        <v>127</v>
      </c>
      <c r="K7" s="1257">
        <v>0</v>
      </c>
      <c r="L7" s="1258"/>
      <c r="P7" s="68"/>
    </row>
    <row r="8" spans="1:16" s="60" customFormat="1" ht="14.25" customHeight="1" x14ac:dyDescent="0.25">
      <c r="A8" s="82"/>
      <c r="B8" s="77"/>
      <c r="C8" s="62"/>
      <c r="D8" s="62"/>
      <c r="E8" s="62"/>
      <c r="F8" s="62"/>
      <c r="G8" s="62"/>
      <c r="H8" s="62"/>
      <c r="I8" s="62"/>
      <c r="J8" s="100"/>
      <c r="K8" s="62"/>
      <c r="L8"/>
      <c r="P8" s="68"/>
    </row>
    <row r="9" spans="1:16" s="60" customFormat="1" ht="9.75" customHeight="1" x14ac:dyDescent="0.25">
      <c r="A9" s="82"/>
      <c r="B9" s="77"/>
      <c r="C9" s="62"/>
      <c r="D9" s="62"/>
      <c r="E9" s="62"/>
      <c r="F9" s="62"/>
      <c r="G9" s="1287" t="s">
        <v>112</v>
      </c>
      <c r="H9" s="1287"/>
      <c r="I9" s="1287" t="s">
        <v>113</v>
      </c>
      <c r="J9" s="1287"/>
      <c r="K9" s="62"/>
      <c r="L9"/>
      <c r="P9" s="68"/>
    </row>
    <row r="10" spans="1:16" s="60" customFormat="1" ht="15" customHeight="1" x14ac:dyDescent="0.25">
      <c r="A10" s="82"/>
      <c r="B10" s="77"/>
      <c r="C10" s="1249" t="s">
        <v>8</v>
      </c>
      <c r="D10" s="1249"/>
      <c r="E10" s="1249"/>
      <c r="F10" s="1250"/>
      <c r="G10" s="1251">
        <v>0.6</v>
      </c>
      <c r="H10" s="1251"/>
      <c r="I10" s="1251">
        <v>0.6</v>
      </c>
      <c r="J10" s="1251"/>
      <c r="K10" s="62"/>
      <c r="L10"/>
      <c r="P10" s="68"/>
    </row>
    <row r="11" spans="1:16" s="60" customFormat="1" ht="15" customHeight="1" x14ac:dyDescent="0.25">
      <c r="A11" s="82"/>
      <c r="B11" s="77"/>
      <c r="C11" s="1252" t="s">
        <v>103</v>
      </c>
      <c r="D11" s="1252"/>
      <c r="E11" s="1252"/>
      <c r="F11" s="1253"/>
      <c r="G11" s="1251">
        <v>0.55000000000000004</v>
      </c>
      <c r="H11" s="1251"/>
      <c r="I11" s="1251">
        <v>0.5</v>
      </c>
      <c r="J11" s="1251"/>
      <c r="K11" s="62"/>
      <c r="L11"/>
      <c r="P11" s="68"/>
    </row>
    <row r="12" spans="1:16" s="60" customFormat="1" ht="15" x14ac:dyDescent="0.25">
      <c r="A12" s="82"/>
      <c r="B12" s="77"/>
      <c r="C12" s="1252"/>
      <c r="D12" s="1252"/>
      <c r="E12" s="1252"/>
      <c r="F12" s="1253"/>
      <c r="G12" s="1251">
        <v>0.05</v>
      </c>
      <c r="H12" s="1251"/>
      <c r="I12" s="1251">
        <v>0.1</v>
      </c>
      <c r="J12" s="1251"/>
      <c r="K12" s="62"/>
      <c r="L12"/>
      <c r="P12" s="68"/>
    </row>
    <row r="13" spans="1:16" ht="6" customHeight="1" x14ac:dyDescent="0.2">
      <c r="A13" s="1259"/>
      <c r="B13" s="1249"/>
      <c r="C13" s="1260"/>
      <c r="D13" s="1260"/>
      <c r="E13" s="1260"/>
      <c r="F13" s="1260"/>
      <c r="G13" s="1130"/>
      <c r="H13" s="1130"/>
      <c r="I13" s="1130"/>
      <c r="J13" s="1130"/>
      <c r="K13" s="103"/>
      <c r="L13" s="103"/>
      <c r="M13" s="103"/>
      <c r="P13" s="83"/>
    </row>
    <row r="14" spans="1:16" ht="14.25" customHeight="1" x14ac:dyDescent="0.2">
      <c r="A14" s="1267"/>
      <c r="B14" s="1252"/>
      <c r="C14" s="1260"/>
      <c r="D14" s="1260"/>
      <c r="E14" s="105"/>
      <c r="F14" s="106"/>
      <c r="G14" s="90" t="s">
        <v>0</v>
      </c>
      <c r="H14" s="90" t="s">
        <v>1</v>
      </c>
      <c r="I14" s="90" t="s">
        <v>2</v>
      </c>
      <c r="J14" s="90" t="s">
        <v>3</v>
      </c>
      <c r="K14" s="107"/>
      <c r="L14" s="104"/>
      <c r="M14" s="104"/>
      <c r="P14" s="83"/>
    </row>
    <row r="15" spans="1:16" ht="14.25" customHeight="1" x14ac:dyDescent="0.2">
      <c r="A15" s="1124" t="s">
        <v>102</v>
      </c>
      <c r="B15" s="1125"/>
      <c r="C15" s="1125"/>
      <c r="D15" s="1125"/>
      <c r="E15" s="1125"/>
      <c r="F15" s="1263"/>
      <c r="G15" s="94">
        <f>(G11*I11)/(G10*I10)</f>
        <v>0.76388888888888895</v>
      </c>
      <c r="H15" s="94">
        <f>(G11*I12)/(G10*I10)</f>
        <v>0.15277777777777779</v>
      </c>
      <c r="I15" s="94">
        <f>(G12*I11)/(G10*I10)</f>
        <v>6.9444444444444448E-2</v>
      </c>
      <c r="J15" s="94">
        <f>(G12*I12)/(G10*I10)</f>
        <v>1.3888888888888892E-2</v>
      </c>
      <c r="K15" s="108"/>
      <c r="L15" s="104"/>
      <c r="M15" s="104"/>
      <c r="P15" s="83"/>
    </row>
    <row r="16" spans="1:16" ht="14.25" customHeight="1" x14ac:dyDescent="0.2">
      <c r="A16" s="109"/>
      <c r="B16" s="101"/>
      <c r="C16" s="101"/>
      <c r="D16" s="101"/>
      <c r="E16" s="101"/>
      <c r="F16" s="101"/>
      <c r="G16" s="1331" t="s">
        <v>107</v>
      </c>
      <c r="H16" s="1331"/>
      <c r="I16" s="1331"/>
      <c r="J16" s="1331"/>
      <c r="K16" s="1332" t="s">
        <v>108</v>
      </c>
      <c r="L16" s="1332"/>
      <c r="M16" s="1332"/>
      <c r="P16" s="83"/>
    </row>
    <row r="17" spans="1:16" ht="12.75" hidden="1" customHeight="1" x14ac:dyDescent="0.2">
      <c r="A17" s="84"/>
      <c r="B17" s="1264" t="s">
        <v>6</v>
      </c>
      <c r="C17" s="1265"/>
      <c r="D17" s="91" t="s">
        <v>117</v>
      </c>
      <c r="E17" s="91" t="s">
        <v>116</v>
      </c>
      <c r="F17" s="102" t="s">
        <v>118</v>
      </c>
      <c r="G17" s="91" t="s">
        <v>98</v>
      </c>
      <c r="H17" s="91" t="s">
        <v>99</v>
      </c>
      <c r="I17" s="91" t="s">
        <v>100</v>
      </c>
      <c r="J17" s="91" t="s">
        <v>101</v>
      </c>
      <c r="K17" s="90" t="s">
        <v>4</v>
      </c>
      <c r="L17" s="91" t="s">
        <v>119</v>
      </c>
      <c r="M17" s="91" t="s">
        <v>115</v>
      </c>
      <c r="O17" s="91" t="s">
        <v>128</v>
      </c>
      <c r="P17" s="83"/>
    </row>
    <row r="18" spans="1:16" hidden="1" x14ac:dyDescent="0.2">
      <c r="A18" s="1266">
        <v>1</v>
      </c>
      <c r="B18" s="1261" t="s">
        <v>71</v>
      </c>
      <c r="C18" s="1262"/>
      <c r="D18" s="116">
        <v>0.25</v>
      </c>
      <c r="E18" s="114">
        <v>0</v>
      </c>
      <c r="F18" s="92">
        <f>D18+E18</f>
        <v>0.25</v>
      </c>
      <c r="G18" s="93">
        <f>$O$18/$F$18</f>
        <v>0</v>
      </c>
      <c r="H18" s="93">
        <f>$O$18/$F$18</f>
        <v>0</v>
      </c>
      <c r="I18" s="93">
        <f>$O$18/$F$18</f>
        <v>0</v>
      </c>
      <c r="J18" s="93">
        <f>$O$18/$F$18</f>
        <v>0</v>
      </c>
      <c r="K18" s="72"/>
      <c r="L18" s="72">
        <f>F18</f>
        <v>0.25</v>
      </c>
      <c r="M18" s="72">
        <f>O18/L18</f>
        <v>0</v>
      </c>
      <c r="O18" s="116">
        <v>0</v>
      </c>
      <c r="P18" s="83"/>
    </row>
    <row r="19" spans="1:16" hidden="1" x14ac:dyDescent="0.2">
      <c r="A19" s="1266"/>
      <c r="B19" s="117"/>
      <c r="C19" s="116"/>
      <c r="D19" s="116"/>
      <c r="E19" s="114"/>
      <c r="F19" s="75">
        <v>1</v>
      </c>
      <c r="G19" s="93">
        <f>C19/F19</f>
        <v>0</v>
      </c>
      <c r="H19" s="93">
        <f>C19/F19</f>
        <v>0</v>
      </c>
      <c r="I19" s="93"/>
      <c r="J19" s="93"/>
      <c r="K19" s="72"/>
      <c r="L19" s="72"/>
      <c r="M19" s="72"/>
      <c r="O19" s="116">
        <v>0</v>
      </c>
      <c r="P19" s="83"/>
    </row>
    <row r="20" spans="1:16" x14ac:dyDescent="0.2">
      <c r="A20" s="1266">
        <v>1</v>
      </c>
      <c r="B20" s="1261" t="s">
        <v>123</v>
      </c>
      <c r="C20" s="1262"/>
      <c r="D20" s="116">
        <v>0.15</v>
      </c>
      <c r="E20" s="114">
        <v>0</v>
      </c>
      <c r="F20" s="92">
        <f t="shared" ref="F20:F25" si="0">D20+E20</f>
        <v>0.15</v>
      </c>
      <c r="G20" s="93"/>
      <c r="H20" s="93"/>
      <c r="I20" s="93">
        <f>O20/F20</f>
        <v>0.33333333333333337</v>
      </c>
      <c r="J20" s="93">
        <f>O20/F20</f>
        <v>0.33333333333333337</v>
      </c>
      <c r="K20" s="93">
        <f>(I12*I10*2)/(I10*I10*2)</f>
        <v>0.16666666666666666</v>
      </c>
      <c r="L20" s="1268">
        <f>ROUND((K20*F20)+(K21*F21),3)</f>
        <v>5.3999999999999999E-2</v>
      </c>
      <c r="M20" s="1268">
        <f>1/((K20/(O20/F20))+(K21/G21))</f>
        <v>0.92307692307692313</v>
      </c>
      <c r="O20" s="1325">
        <v>0.05</v>
      </c>
      <c r="P20" s="83"/>
    </row>
    <row r="21" spans="1:16" x14ac:dyDescent="0.2">
      <c r="A21" s="1266"/>
      <c r="B21" s="1261" t="s">
        <v>243</v>
      </c>
      <c r="C21" s="1262"/>
      <c r="D21" s="116">
        <v>3.3000000000000002E-2</v>
      </c>
      <c r="E21" s="114">
        <v>2E-3</v>
      </c>
      <c r="F21" s="92">
        <f t="shared" si="0"/>
        <v>3.5000000000000003E-2</v>
      </c>
      <c r="G21" s="93">
        <f>O20/F21</f>
        <v>1.4285714285714286</v>
      </c>
      <c r="H21" s="93">
        <f>O20/F21</f>
        <v>1.4285714285714286</v>
      </c>
      <c r="I21" s="93"/>
      <c r="J21" s="93"/>
      <c r="K21" s="93">
        <f>(I11*I10*2)/(I10*I10*2)</f>
        <v>0.83333333333333337</v>
      </c>
      <c r="L21" s="1268"/>
      <c r="M21" s="1268"/>
      <c r="O21" s="1326"/>
      <c r="P21" s="83"/>
    </row>
    <row r="22" spans="1:16" x14ac:dyDescent="0.2">
      <c r="A22" s="1266">
        <v>2</v>
      </c>
      <c r="B22" s="1261" t="s">
        <v>7</v>
      </c>
      <c r="C22" s="1262"/>
      <c r="D22" s="116">
        <v>0.15</v>
      </c>
      <c r="E22" s="114">
        <v>0</v>
      </c>
      <c r="F22" s="92">
        <f t="shared" si="0"/>
        <v>0.15</v>
      </c>
      <c r="G22" s="93"/>
      <c r="H22" s="93"/>
      <c r="I22" s="93">
        <f>O22/F22</f>
        <v>0.33333333333333337</v>
      </c>
      <c r="J22" s="93">
        <f>O22/F22</f>
        <v>0.33333333333333337</v>
      </c>
      <c r="K22" s="93">
        <f>(I12*G10*2)/(I10*G10*2)</f>
        <v>0.16666666666666666</v>
      </c>
      <c r="L22" s="1268">
        <f>ROUND((K22*F22)+(K23*F23),3)</f>
        <v>5.5E-2</v>
      </c>
      <c r="M22" s="1268">
        <f>ROUND(O22/L22,3)</f>
        <v>0.90900000000000003</v>
      </c>
      <c r="O22" s="1325">
        <v>0.05</v>
      </c>
      <c r="P22" s="83"/>
    </row>
    <row r="23" spans="1:16" x14ac:dyDescent="0.2">
      <c r="A23" s="1266"/>
      <c r="B23" s="1261" t="s">
        <v>262</v>
      </c>
      <c r="C23" s="1262"/>
      <c r="D23" s="116">
        <v>3.5999999999999997E-2</v>
      </c>
      <c r="E23" s="114">
        <v>0</v>
      </c>
      <c r="F23" s="92">
        <f t="shared" si="0"/>
        <v>3.5999999999999997E-2</v>
      </c>
      <c r="G23" s="93">
        <f>O22/F23</f>
        <v>1.3888888888888891</v>
      </c>
      <c r="H23" s="93">
        <f>O22/F23</f>
        <v>1.3888888888888891</v>
      </c>
      <c r="I23" s="93"/>
      <c r="J23" s="93"/>
      <c r="K23" s="93">
        <f>(I11*G10*2)/(I10*G10*2)</f>
        <v>0.83333333333333337</v>
      </c>
      <c r="L23" s="1268"/>
      <c r="M23" s="1268"/>
      <c r="O23" s="1326"/>
      <c r="P23" s="83"/>
    </row>
    <row r="24" spans="1:16" x14ac:dyDescent="0.2">
      <c r="A24" s="1266">
        <v>3</v>
      </c>
      <c r="B24" s="1261" t="s">
        <v>7</v>
      </c>
      <c r="C24" s="1262"/>
      <c r="D24" s="116">
        <v>0.15</v>
      </c>
      <c r="E24" s="114">
        <v>0</v>
      </c>
      <c r="F24" s="92">
        <f t="shared" si="0"/>
        <v>0.15</v>
      </c>
      <c r="G24" s="93"/>
      <c r="H24" s="93">
        <f>O24/F24</f>
        <v>0.33333333333333337</v>
      </c>
      <c r="I24" s="93"/>
      <c r="J24" s="93">
        <f>$O$24/$F$24</f>
        <v>0.33333333333333337</v>
      </c>
      <c r="K24" s="93">
        <f>(G12*G10*2)/(G10*G10*2)</f>
        <v>8.3333333333333329E-2</v>
      </c>
      <c r="L24" s="1268">
        <f>ROUND((K24*F24)+(K25*F25),3)</f>
        <v>4.5999999999999999E-2</v>
      </c>
      <c r="M24" s="1268">
        <f>ROUND(O24/L24,3)</f>
        <v>1.087</v>
      </c>
      <c r="O24" s="1327">
        <v>0.05</v>
      </c>
      <c r="P24" s="83"/>
    </row>
    <row r="25" spans="1:16" x14ac:dyDescent="0.2">
      <c r="A25" s="1266"/>
      <c r="B25" s="1261" t="s">
        <v>262</v>
      </c>
      <c r="C25" s="1262"/>
      <c r="D25" s="116">
        <v>3.5999999999999997E-2</v>
      </c>
      <c r="E25" s="114">
        <v>0</v>
      </c>
      <c r="F25" s="92">
        <f t="shared" si="0"/>
        <v>3.5999999999999997E-2</v>
      </c>
      <c r="G25" s="93">
        <f>O24/F25</f>
        <v>1.3888888888888891</v>
      </c>
      <c r="H25" s="93"/>
      <c r="I25" s="93">
        <f>O24/F25</f>
        <v>1.3888888888888891</v>
      </c>
      <c r="J25" s="93"/>
      <c r="K25" s="93">
        <f>(G11*G10*2)/(G10*G10*2)</f>
        <v>0.91666666666666674</v>
      </c>
      <c r="L25" s="1268"/>
      <c r="M25" s="1268"/>
      <c r="O25" s="1328"/>
      <c r="P25" s="83"/>
    </row>
    <row r="26" spans="1:16" x14ac:dyDescent="0.2">
      <c r="A26" s="112">
        <v>4</v>
      </c>
      <c r="B26" s="1261" t="s">
        <v>124</v>
      </c>
      <c r="C26" s="1262"/>
      <c r="D26" s="116"/>
      <c r="E26" s="114"/>
      <c r="F26" s="92"/>
      <c r="G26" s="93">
        <v>0.19</v>
      </c>
      <c r="H26" s="93">
        <v>0.19</v>
      </c>
      <c r="I26" s="93">
        <v>0.19</v>
      </c>
      <c r="J26" s="93">
        <v>0.19</v>
      </c>
      <c r="K26" s="72"/>
      <c r="L26" s="153"/>
      <c r="M26" s="203">
        <v>0.19</v>
      </c>
      <c r="O26" s="116">
        <v>2.5000000000000001E-2</v>
      </c>
      <c r="P26" s="83"/>
    </row>
    <row r="27" spans="1:16" x14ac:dyDescent="0.2">
      <c r="A27" s="1266">
        <v>5</v>
      </c>
      <c r="B27" s="1279" t="s">
        <v>255</v>
      </c>
      <c r="C27" s="1280"/>
      <c r="D27" s="261">
        <v>0.15</v>
      </c>
      <c r="E27" s="63">
        <v>0</v>
      </c>
      <c r="F27" s="92">
        <f>D27+E27</f>
        <v>0.15</v>
      </c>
      <c r="G27" s="93">
        <f>$O$27/$F$27</f>
        <v>0.10666666666666667</v>
      </c>
      <c r="H27" s="93">
        <f>$O$27/$F$27</f>
        <v>0.10666666666666667</v>
      </c>
      <c r="I27" s="93">
        <f>$O$27/$F$27</f>
        <v>0.10666666666666667</v>
      </c>
      <c r="J27" s="93">
        <f>$O$27/$F$27</f>
        <v>0.10666666666666667</v>
      </c>
      <c r="K27" s="72"/>
      <c r="L27" s="72">
        <f>F27</f>
        <v>0.15</v>
      </c>
      <c r="M27" s="1323">
        <f>ROUND(O27/L27,3)</f>
        <v>0.107</v>
      </c>
      <c r="O27" s="73">
        <v>1.6E-2</v>
      </c>
      <c r="P27" s="83"/>
    </row>
    <row r="28" spans="1:16" hidden="1" x14ac:dyDescent="0.2">
      <c r="A28" s="1266"/>
      <c r="B28" s="1279"/>
      <c r="C28" s="1280"/>
      <c r="D28" s="73">
        <v>1</v>
      </c>
      <c r="E28" s="63">
        <v>0</v>
      </c>
      <c r="F28" s="92">
        <f>D28+E28</f>
        <v>1</v>
      </c>
      <c r="G28" s="93">
        <f>$O$28/$F$28</f>
        <v>0</v>
      </c>
      <c r="H28" s="93">
        <f>$O$28/$F$28</f>
        <v>0</v>
      </c>
      <c r="I28" s="93">
        <f>$O$28/$F$28</f>
        <v>0</v>
      </c>
      <c r="J28" s="93">
        <f>$O$28/$F$28</f>
        <v>0</v>
      </c>
      <c r="K28" s="72"/>
      <c r="L28" s="72">
        <v>1</v>
      </c>
      <c r="M28" s="1324"/>
      <c r="O28" s="73">
        <v>0</v>
      </c>
      <c r="P28" s="83"/>
    </row>
    <row r="29" spans="1:16" x14ac:dyDescent="0.2">
      <c r="A29" s="1266">
        <v>6</v>
      </c>
      <c r="B29" s="1279" t="s">
        <v>223</v>
      </c>
      <c r="C29" s="1280"/>
      <c r="D29" s="73">
        <v>0.25</v>
      </c>
      <c r="E29" s="63">
        <v>0</v>
      </c>
      <c r="F29" s="92">
        <f>D29+E29</f>
        <v>0.25</v>
      </c>
      <c r="G29" s="93">
        <f>$O$29/$F$29</f>
        <v>0.04</v>
      </c>
      <c r="H29" s="93">
        <f>$O$29/$F$29</f>
        <v>0.04</v>
      </c>
      <c r="I29" s="93">
        <f>$O$29/$F$29</f>
        <v>0.04</v>
      </c>
      <c r="J29" s="93">
        <f>$O$29/$F$29</f>
        <v>0.04</v>
      </c>
      <c r="K29" s="72"/>
      <c r="L29" s="72">
        <v>1</v>
      </c>
      <c r="M29" s="1323">
        <f>O29/L29</f>
        <v>0.01</v>
      </c>
      <c r="O29" s="73">
        <v>0.01</v>
      </c>
      <c r="P29" s="83"/>
    </row>
    <row r="30" spans="1:16" hidden="1" x14ac:dyDescent="0.2">
      <c r="A30" s="1266"/>
      <c r="B30" s="1279"/>
      <c r="C30" s="1280"/>
      <c r="D30" s="73">
        <v>1</v>
      </c>
      <c r="E30" s="63">
        <v>0</v>
      </c>
      <c r="F30" s="92">
        <f>D30+E30</f>
        <v>1</v>
      </c>
      <c r="G30" s="93">
        <f>$O$30/$F$30</f>
        <v>0</v>
      </c>
      <c r="H30" s="93">
        <f>$O$30/$F$30</f>
        <v>0</v>
      </c>
      <c r="I30" s="93">
        <f>$O$30/$F$30</f>
        <v>0</v>
      </c>
      <c r="J30" s="93">
        <f>$O$30/$F$30</f>
        <v>0</v>
      </c>
      <c r="K30" s="72"/>
      <c r="L30" s="72">
        <v>1</v>
      </c>
      <c r="M30" s="1324"/>
      <c r="O30" s="73">
        <v>0</v>
      </c>
      <c r="P30" s="83"/>
    </row>
    <row r="31" spans="1:16" x14ac:dyDescent="0.2">
      <c r="A31" s="85"/>
      <c r="B31" s="60"/>
      <c r="C31" s="60"/>
      <c r="D31" s="60"/>
      <c r="E31" s="60"/>
      <c r="F31" s="61"/>
      <c r="G31" s="93">
        <f>SUM(G18:G30)+$K$5+$K$6+$K$7</f>
        <v>4.7530158730158734</v>
      </c>
      <c r="H31" s="93">
        <f>SUM(H18:H30)+$K$5+$K$6+$K$7</f>
        <v>3.6974603174603176</v>
      </c>
      <c r="I31" s="93">
        <f>SUM(I18:I30)+$K$5+$K$6+$K$7</f>
        <v>2.6022222222222222</v>
      </c>
      <c r="J31" s="93">
        <f>SUM(J18:J30)+$K$5+$K$6+$K$7</f>
        <v>1.5466666666666666</v>
      </c>
      <c r="K31" s="1271"/>
      <c r="L31" s="1272"/>
      <c r="M31" s="1273"/>
      <c r="P31" s="83"/>
    </row>
    <row r="32" spans="1:16" x14ac:dyDescent="0.2">
      <c r="A32" s="85"/>
      <c r="B32" s="60"/>
      <c r="C32" s="64"/>
      <c r="D32" s="95"/>
      <c r="E32" s="95"/>
      <c r="F32" s="95"/>
      <c r="G32" s="1274">
        <f>ROUND(1/((G15/G31)+(H15/H31)+(I15/I31)+(J15/J31)),3)</f>
        <v>4.2069999999999999</v>
      </c>
      <c r="H32" s="1275"/>
      <c r="I32" s="1275"/>
      <c r="J32" s="1330"/>
      <c r="K32" s="1276">
        <f>SUM(M18:M30)+K5+K6+K7</f>
        <v>3.4360769230769228</v>
      </c>
      <c r="L32" s="1277"/>
      <c r="M32" s="1278"/>
      <c r="P32" s="83"/>
    </row>
    <row r="33" spans="1:16" ht="12.75" customHeight="1" x14ac:dyDescent="0.2">
      <c r="A33" s="85"/>
      <c r="B33" s="60"/>
      <c r="C33" s="74"/>
      <c r="D33" s="76"/>
      <c r="E33" s="95"/>
      <c r="F33" s="95"/>
      <c r="G33" s="96"/>
      <c r="H33" s="96"/>
      <c r="I33" s="96"/>
      <c r="J33" s="96"/>
      <c r="K33" s="96"/>
      <c r="L33" s="96"/>
      <c r="M33" s="96"/>
      <c r="O33" s="64"/>
      <c r="P33" s="83"/>
    </row>
    <row r="34" spans="1:16" ht="15" x14ac:dyDescent="0.2">
      <c r="A34" s="86"/>
      <c r="M34" s="260" t="s">
        <v>106</v>
      </c>
      <c r="O34" s="199">
        <f>SUM(O18:O30)*1000</f>
        <v>201</v>
      </c>
      <c r="P34" s="110" t="s">
        <v>120</v>
      </c>
    </row>
    <row r="35" spans="1:16" ht="6.75" customHeight="1" x14ac:dyDescent="0.2">
      <c r="A35" s="86"/>
      <c r="P35" s="83"/>
    </row>
    <row r="36" spans="1:16" ht="15" x14ac:dyDescent="0.2">
      <c r="A36" s="86"/>
      <c r="F36" s="1236" t="s">
        <v>93</v>
      </c>
      <c r="G36" s="1236"/>
      <c r="H36" s="1236"/>
      <c r="I36" s="236">
        <f>ROUND(1/((G32+K32)/2),3)</f>
        <v>0.26200000000000001</v>
      </c>
      <c r="J36" s="237"/>
      <c r="K36" s="1269" t="s">
        <v>96</v>
      </c>
      <c r="L36" s="1270"/>
      <c r="P36" s="83"/>
    </row>
    <row r="37" spans="1:16" x14ac:dyDescent="0.2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9"/>
    </row>
  </sheetData>
  <mergeCells count="60">
    <mergeCell ref="G11:H11"/>
    <mergeCell ref="I11:J11"/>
    <mergeCell ref="G12:H12"/>
    <mergeCell ref="G9:H9"/>
    <mergeCell ref="G10:H10"/>
    <mergeCell ref="I9:J9"/>
    <mergeCell ref="F36:H36"/>
    <mergeCell ref="B22:C22"/>
    <mergeCell ref="B23:C23"/>
    <mergeCell ref="B24:C24"/>
    <mergeCell ref="B26:C26"/>
    <mergeCell ref="C10:F10"/>
    <mergeCell ref="I10:J10"/>
    <mergeCell ref="K31:M31"/>
    <mergeCell ref="G32:J32"/>
    <mergeCell ref="K32:M32"/>
    <mergeCell ref="B20:C20"/>
    <mergeCell ref="M20:M21"/>
    <mergeCell ref="B21:C21"/>
    <mergeCell ref="L20:L21"/>
    <mergeCell ref="B17:C17"/>
    <mergeCell ref="B18:C18"/>
    <mergeCell ref="A15:F15"/>
    <mergeCell ref="G16:J16"/>
    <mergeCell ref="K16:M16"/>
    <mergeCell ref="C11:F12"/>
    <mergeCell ref="L24:L25"/>
    <mergeCell ref="D3:L3"/>
    <mergeCell ref="D5:I5"/>
    <mergeCell ref="K5:L5"/>
    <mergeCell ref="K6:L6"/>
    <mergeCell ref="K7:L7"/>
    <mergeCell ref="M24:M25"/>
    <mergeCell ref="O24:O25"/>
    <mergeCell ref="B25:C25"/>
    <mergeCell ref="I12:J12"/>
    <mergeCell ref="A13:B13"/>
    <mergeCell ref="C13:D13"/>
    <mergeCell ref="E13:F13"/>
    <mergeCell ref="G13:J13"/>
    <mergeCell ref="A14:B14"/>
    <mergeCell ref="C14:D14"/>
    <mergeCell ref="A20:A21"/>
    <mergeCell ref="A18:A19"/>
    <mergeCell ref="K36:L36"/>
    <mergeCell ref="M1:P1"/>
    <mergeCell ref="A27:A28"/>
    <mergeCell ref="B27:C27"/>
    <mergeCell ref="M27:M28"/>
    <mergeCell ref="B28:C28"/>
    <mergeCell ref="A29:A30"/>
    <mergeCell ref="B29:C29"/>
    <mergeCell ref="M29:M30"/>
    <mergeCell ref="B30:C30"/>
    <mergeCell ref="O20:O21"/>
    <mergeCell ref="A22:A23"/>
    <mergeCell ref="L22:L23"/>
    <mergeCell ref="M22:M23"/>
    <mergeCell ref="O22:O23"/>
    <mergeCell ref="A24:A25"/>
  </mergeCells>
  <pageMargins left="0.70866141732283472" right="0.70866141732283472" top="1.3385826771653544" bottom="0.74803149606299213" header="0.31496062992125984" footer="0.31496062992125984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7"/>
  <sheetViews>
    <sheetView workbookViewId="0">
      <selection activeCell="K32" sqref="K32:M32"/>
    </sheetView>
  </sheetViews>
  <sheetFormatPr defaultColWidth="9.140625" defaultRowHeight="12.75" x14ac:dyDescent="0.2"/>
  <cols>
    <col min="1" max="1" width="4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140625" style="2"/>
    <col min="16" max="16" width="4.42578125" style="2" customWidth="1"/>
    <col min="17" max="16384" width="9.140625" style="2"/>
  </cols>
  <sheetData>
    <row r="1" spans="1:16" ht="35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12"/>
    </row>
    <row r="2" spans="1:16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16" s="60" customFormat="1" ht="25.5" customHeight="1" x14ac:dyDescent="0.2">
      <c r="A3" s="82"/>
      <c r="B3" s="77"/>
      <c r="C3" s="238" t="s">
        <v>257</v>
      </c>
      <c r="D3" s="1136" t="s">
        <v>256</v>
      </c>
      <c r="E3" s="1137"/>
      <c r="F3" s="1137"/>
      <c r="G3" s="1137"/>
      <c r="H3" s="1137"/>
      <c r="I3" s="1137"/>
      <c r="J3" s="1137"/>
      <c r="K3" s="1137"/>
      <c r="L3" s="1138"/>
      <c r="P3" s="68"/>
    </row>
    <row r="4" spans="1:16" s="60" customFormat="1" ht="9" customHeight="1" x14ac:dyDescent="0.2">
      <c r="A4" s="82"/>
      <c r="B4" s="77"/>
      <c r="C4" s="62"/>
      <c r="D4" s="97"/>
      <c r="E4" s="97"/>
      <c r="F4" s="97"/>
      <c r="G4" s="97"/>
      <c r="H4" s="97"/>
      <c r="I4" s="97"/>
      <c r="J4" s="97"/>
      <c r="K4" s="97"/>
      <c r="L4" s="97"/>
      <c r="P4" s="68"/>
    </row>
    <row r="5" spans="1:16" s="60" customFormat="1" ht="15" x14ac:dyDescent="0.25">
      <c r="A5" s="82"/>
      <c r="B5" s="77"/>
      <c r="C5" s="62"/>
      <c r="D5" s="1329" t="s">
        <v>109</v>
      </c>
      <c r="E5" s="1329"/>
      <c r="F5" s="1329"/>
      <c r="G5" s="1329"/>
      <c r="H5" s="1329"/>
      <c r="I5" s="1329"/>
      <c r="J5" s="100" t="s">
        <v>110</v>
      </c>
      <c r="K5" s="1284">
        <v>0.1</v>
      </c>
      <c r="L5" s="1285"/>
      <c r="M5" s="122">
        <v>0.1</v>
      </c>
      <c r="P5" s="68"/>
    </row>
    <row r="6" spans="1:16" s="60" customFormat="1" ht="15" x14ac:dyDescent="0.25">
      <c r="A6" s="82"/>
      <c r="B6" s="77"/>
      <c r="C6" s="62"/>
      <c r="D6" s="62"/>
      <c r="E6" s="62"/>
      <c r="F6" s="62"/>
      <c r="G6" s="62"/>
      <c r="H6" s="62"/>
      <c r="I6" s="62"/>
      <c r="J6" s="100" t="s">
        <v>111</v>
      </c>
      <c r="K6" s="1257">
        <v>0.04</v>
      </c>
      <c r="L6" s="1286"/>
      <c r="P6" s="68"/>
    </row>
    <row r="7" spans="1:16" s="60" customFormat="1" ht="8.25" customHeight="1" x14ac:dyDescent="0.25">
      <c r="A7" s="82"/>
      <c r="B7" s="77"/>
      <c r="C7" s="62"/>
      <c r="D7" s="62"/>
      <c r="E7" s="62"/>
      <c r="F7" s="62"/>
      <c r="G7" s="62"/>
      <c r="H7" s="62"/>
      <c r="I7" s="62"/>
      <c r="J7" s="100"/>
      <c r="K7" s="62"/>
      <c r="L7"/>
      <c r="P7" s="68"/>
    </row>
    <row r="8" spans="1:16" s="60" customFormat="1" ht="9.75" customHeight="1" x14ac:dyDescent="0.25">
      <c r="A8" s="82"/>
      <c r="B8" s="77"/>
      <c r="C8" s="62"/>
      <c r="D8" s="62"/>
      <c r="E8" s="62"/>
      <c r="F8" s="62"/>
      <c r="G8" s="1287"/>
      <c r="H8" s="1287"/>
      <c r="I8" s="1287"/>
      <c r="J8" s="1287"/>
      <c r="K8" s="62"/>
      <c r="L8"/>
      <c r="P8" s="68"/>
    </row>
    <row r="9" spans="1:16" s="60" customFormat="1" ht="15" customHeight="1" x14ac:dyDescent="0.25">
      <c r="A9" s="82"/>
      <c r="B9" s="77"/>
      <c r="C9" s="1249" t="s">
        <v>8</v>
      </c>
      <c r="D9" s="1249"/>
      <c r="E9" s="1249"/>
      <c r="F9" s="1250"/>
      <c r="G9" s="1251">
        <v>0.9</v>
      </c>
      <c r="H9" s="1251"/>
      <c r="I9" s="1251">
        <v>0.9</v>
      </c>
      <c r="J9" s="1251"/>
      <c r="K9" s="62"/>
      <c r="L9"/>
      <c r="P9" s="68"/>
    </row>
    <row r="10" spans="1:16" s="60" customFormat="1" ht="15" customHeight="1" x14ac:dyDescent="0.25">
      <c r="A10" s="82"/>
      <c r="B10" s="77"/>
      <c r="C10" s="1252" t="s">
        <v>103</v>
      </c>
      <c r="D10" s="1252"/>
      <c r="E10" s="1252"/>
      <c r="F10" s="1253"/>
      <c r="G10" s="1251">
        <v>0.85</v>
      </c>
      <c r="H10" s="1251"/>
      <c r="I10" s="1251">
        <v>0.85</v>
      </c>
      <c r="J10" s="1251"/>
      <c r="K10" s="62"/>
      <c r="L10"/>
      <c r="P10" s="68"/>
    </row>
    <row r="11" spans="1:16" s="60" customFormat="1" ht="15" x14ac:dyDescent="0.25">
      <c r="A11" s="82"/>
      <c r="B11" s="77"/>
      <c r="C11" s="1252"/>
      <c r="D11" s="1252"/>
      <c r="E11" s="1252"/>
      <c r="F11" s="1253"/>
      <c r="G11" s="1251">
        <v>0.05</v>
      </c>
      <c r="H11" s="1251"/>
      <c r="I11" s="1251">
        <v>0.05</v>
      </c>
      <c r="J11" s="1251"/>
      <c r="K11" s="62"/>
      <c r="L11"/>
      <c r="P11" s="68"/>
    </row>
    <row r="12" spans="1:16" ht="6" customHeight="1" x14ac:dyDescent="0.2">
      <c r="A12" s="1259"/>
      <c r="B12" s="1249"/>
      <c r="C12" s="1260"/>
      <c r="D12" s="1260"/>
      <c r="E12" s="1260"/>
      <c r="F12" s="1260"/>
      <c r="G12" s="1130"/>
      <c r="H12" s="1130"/>
      <c r="I12" s="1130"/>
      <c r="J12" s="1130"/>
      <c r="K12" s="103"/>
      <c r="L12" s="103"/>
      <c r="M12" s="103"/>
      <c r="P12" s="83"/>
    </row>
    <row r="13" spans="1:16" ht="14.25" customHeight="1" x14ac:dyDescent="0.2">
      <c r="A13" s="1267"/>
      <c r="B13" s="1252"/>
      <c r="C13" s="1260"/>
      <c r="D13" s="1260"/>
      <c r="E13" s="105"/>
      <c r="F13" s="106"/>
      <c r="G13" s="90" t="s">
        <v>0</v>
      </c>
      <c r="H13" s="90" t="s">
        <v>1</v>
      </c>
      <c r="I13" s="90" t="s">
        <v>2</v>
      </c>
      <c r="J13" s="90" t="s">
        <v>3</v>
      </c>
      <c r="K13" s="107"/>
      <c r="L13" s="104"/>
      <c r="M13" s="104"/>
      <c r="P13" s="83"/>
    </row>
    <row r="14" spans="1:16" ht="14.25" customHeight="1" x14ac:dyDescent="0.2">
      <c r="A14" s="1124" t="s">
        <v>102</v>
      </c>
      <c r="B14" s="1125"/>
      <c r="C14" s="1125"/>
      <c r="D14" s="1125"/>
      <c r="E14" s="1125"/>
      <c r="F14" s="1263"/>
      <c r="G14" s="94">
        <f>(G10*I10)/(G9*I9)</f>
        <v>0.89197530864197516</v>
      </c>
      <c r="H14" s="94">
        <f>(G10*I11)/(G9*I9)</f>
        <v>5.2469135802469133E-2</v>
      </c>
      <c r="I14" s="94">
        <f>(G11*I10)/(G9*I9)</f>
        <v>5.2469135802469133E-2</v>
      </c>
      <c r="J14" s="94">
        <f>(G11*I11)/(G9*I9)</f>
        <v>3.08641975308642E-3</v>
      </c>
      <c r="K14" s="108"/>
      <c r="L14" s="104"/>
      <c r="M14" s="104"/>
      <c r="P14" s="83"/>
    </row>
    <row r="15" spans="1:16" ht="14.25" customHeight="1" x14ac:dyDescent="0.2">
      <c r="A15" s="109"/>
      <c r="B15" s="101"/>
      <c r="C15" s="101"/>
      <c r="D15" s="101"/>
      <c r="E15" s="101"/>
      <c r="F15" s="101"/>
      <c r="G15" s="1331" t="s">
        <v>107</v>
      </c>
      <c r="H15" s="1331"/>
      <c r="I15" s="1331"/>
      <c r="J15" s="1331"/>
      <c r="K15" s="1332" t="s">
        <v>108</v>
      </c>
      <c r="L15" s="1332"/>
      <c r="M15" s="1332"/>
      <c r="P15" s="83"/>
    </row>
    <row r="16" spans="1:16" ht="27" customHeight="1" x14ac:dyDescent="0.2">
      <c r="A16" s="84"/>
      <c r="B16" s="1264" t="s">
        <v>6</v>
      </c>
      <c r="C16" s="1265"/>
      <c r="D16" s="91" t="s">
        <v>117</v>
      </c>
      <c r="E16" s="91" t="s">
        <v>116</v>
      </c>
      <c r="F16" s="102" t="s">
        <v>118</v>
      </c>
      <c r="G16" s="91" t="s">
        <v>98</v>
      </c>
      <c r="H16" s="91" t="s">
        <v>99</v>
      </c>
      <c r="I16" s="91" t="s">
        <v>100</v>
      </c>
      <c r="J16" s="91" t="s">
        <v>101</v>
      </c>
      <c r="K16" s="90" t="s">
        <v>4</v>
      </c>
      <c r="L16" s="91" t="s">
        <v>119</v>
      </c>
      <c r="M16" s="91" t="s">
        <v>115</v>
      </c>
      <c r="O16" s="91" t="s">
        <v>114</v>
      </c>
      <c r="P16" s="83"/>
    </row>
    <row r="17" spans="1:16" hidden="1" x14ac:dyDescent="0.2">
      <c r="A17" s="1266">
        <v>1</v>
      </c>
      <c r="B17" s="1261" t="s">
        <v>124</v>
      </c>
      <c r="C17" s="1262"/>
      <c r="D17" s="116">
        <v>0</v>
      </c>
      <c r="E17" s="114">
        <v>0</v>
      </c>
      <c r="F17" s="92">
        <f>D17+E17</f>
        <v>0</v>
      </c>
      <c r="G17" s="93">
        <v>0</v>
      </c>
      <c r="H17" s="93">
        <v>0</v>
      </c>
      <c r="I17" s="93">
        <v>0</v>
      </c>
      <c r="J17" s="93">
        <v>0</v>
      </c>
      <c r="K17" s="72"/>
      <c r="L17" s="72">
        <f>F17</f>
        <v>0</v>
      </c>
      <c r="M17" s="72">
        <v>0</v>
      </c>
      <c r="O17" s="116">
        <v>0</v>
      </c>
      <c r="P17" s="83"/>
    </row>
    <row r="18" spans="1:16" hidden="1" x14ac:dyDescent="0.2">
      <c r="A18" s="1266"/>
      <c r="B18" s="117"/>
      <c r="C18" s="116"/>
      <c r="D18" s="116"/>
      <c r="E18" s="114"/>
      <c r="F18" s="75">
        <v>1</v>
      </c>
      <c r="G18" s="93">
        <f>C18/F18</f>
        <v>0</v>
      </c>
      <c r="H18" s="93">
        <f>C18/F18</f>
        <v>0</v>
      </c>
      <c r="I18" s="93"/>
      <c r="J18" s="93"/>
      <c r="K18" s="72"/>
      <c r="L18" s="72"/>
      <c r="M18" s="72"/>
      <c r="O18" s="116">
        <v>0</v>
      </c>
      <c r="P18" s="83"/>
    </row>
    <row r="19" spans="1:16" hidden="1" x14ac:dyDescent="0.2">
      <c r="A19" s="1266">
        <v>1</v>
      </c>
      <c r="B19" s="1261" t="s">
        <v>7</v>
      </c>
      <c r="C19" s="1262"/>
      <c r="D19" s="116">
        <v>0.15</v>
      </c>
      <c r="E19" s="114">
        <v>0</v>
      </c>
      <c r="F19" s="92">
        <f t="shared" ref="F19:F30" si="0">D19+E19</f>
        <v>0.15</v>
      </c>
      <c r="G19" s="93"/>
      <c r="H19" s="93"/>
      <c r="I19" s="93">
        <f>$O$19/$F$19</f>
        <v>0</v>
      </c>
      <c r="J19" s="93">
        <f>F19*O19</f>
        <v>0</v>
      </c>
      <c r="K19" s="93">
        <f>ROUND((I11*G9*2)/(I9*G9*2),3)</f>
        <v>5.6000000000000001E-2</v>
      </c>
      <c r="L19" s="1268">
        <f>(K19*F19)+(K20*F20)</f>
        <v>4.1439999999999998E-2</v>
      </c>
      <c r="M19" s="1268">
        <f>O19/L19</f>
        <v>0</v>
      </c>
      <c r="O19" s="1325">
        <v>0</v>
      </c>
      <c r="P19" s="83"/>
    </row>
    <row r="20" spans="1:16" hidden="1" x14ac:dyDescent="0.2">
      <c r="A20" s="1266"/>
      <c r="B20" s="1261" t="s">
        <v>229</v>
      </c>
      <c r="C20" s="1262"/>
      <c r="D20" s="116">
        <v>3.3000000000000002E-2</v>
      </c>
      <c r="E20" s="114">
        <v>2E-3</v>
      </c>
      <c r="F20" s="92">
        <f t="shared" si="0"/>
        <v>3.5000000000000003E-2</v>
      </c>
      <c r="G20" s="93">
        <f>$O$19/$F$20</f>
        <v>0</v>
      </c>
      <c r="H20" s="93">
        <f>F20*O19</f>
        <v>0</v>
      </c>
      <c r="I20" s="93"/>
      <c r="J20" s="93"/>
      <c r="K20" s="93">
        <f>ROUND((I10*G9*2)/(I9*G9*2),3)</f>
        <v>0.94399999999999995</v>
      </c>
      <c r="L20" s="1268"/>
      <c r="M20" s="1268"/>
      <c r="O20" s="1326"/>
      <c r="P20" s="83"/>
    </row>
    <row r="21" spans="1:16" x14ac:dyDescent="0.2">
      <c r="A21" s="1266">
        <v>1</v>
      </c>
      <c r="B21" s="1261" t="s">
        <v>7</v>
      </c>
      <c r="C21" s="1262"/>
      <c r="D21" s="116">
        <v>0.15</v>
      </c>
      <c r="E21" s="114">
        <v>0</v>
      </c>
      <c r="F21" s="92">
        <f t="shared" si="0"/>
        <v>0.15</v>
      </c>
      <c r="G21" s="93"/>
      <c r="H21" s="93"/>
      <c r="I21" s="93">
        <f>$O$21/$F$21</f>
        <v>0.2</v>
      </c>
      <c r="J21" s="93">
        <f>$O$21/$F$21</f>
        <v>0.2</v>
      </c>
      <c r="K21" s="93">
        <f>(I11*G9*2)/(I9*G9*2)</f>
        <v>5.5555555555555559E-2</v>
      </c>
      <c r="L21" s="1268">
        <f>ROUND((K21*F21)+(K22*F22),3)</f>
        <v>4.1000000000000002E-2</v>
      </c>
      <c r="M21" s="1268">
        <f>ROUND(O21/L21,3)</f>
        <v>0.73199999999999998</v>
      </c>
      <c r="O21" s="1325">
        <v>0.03</v>
      </c>
      <c r="P21" s="83"/>
    </row>
    <row r="22" spans="1:16" x14ac:dyDescent="0.2">
      <c r="A22" s="1266"/>
      <c r="B22" s="1261" t="s">
        <v>243</v>
      </c>
      <c r="C22" s="1262"/>
      <c r="D22" s="116">
        <v>3.3000000000000002E-2</v>
      </c>
      <c r="E22" s="114">
        <v>2E-3</v>
      </c>
      <c r="F22" s="92">
        <f t="shared" si="0"/>
        <v>3.5000000000000003E-2</v>
      </c>
      <c r="G22" s="93">
        <f>$O$21/$F$22</f>
        <v>0.85714285714285698</v>
      </c>
      <c r="H22" s="93">
        <f>$O$21/$F$22</f>
        <v>0.85714285714285698</v>
      </c>
      <c r="J22" s="93"/>
      <c r="K22" s="93">
        <f>(I10*G9*2)/(I9*G9*2)</f>
        <v>0.94444444444444442</v>
      </c>
      <c r="L22" s="1268"/>
      <c r="M22" s="1268"/>
      <c r="O22" s="1326"/>
      <c r="P22" s="83"/>
    </row>
    <row r="23" spans="1:16" x14ac:dyDescent="0.2">
      <c r="A23" s="1266">
        <v>2</v>
      </c>
      <c r="B23" s="1261" t="s">
        <v>123</v>
      </c>
      <c r="C23" s="1262"/>
      <c r="D23" s="116">
        <v>0.15</v>
      </c>
      <c r="E23" s="114">
        <v>0</v>
      </c>
      <c r="F23" s="92">
        <f t="shared" si="0"/>
        <v>0.15</v>
      </c>
      <c r="G23" s="93"/>
      <c r="H23" s="93">
        <f>$O$23/$F$23</f>
        <v>1</v>
      </c>
      <c r="I23" s="93"/>
      <c r="J23" s="93">
        <f>$O$23/$F$23</f>
        <v>1</v>
      </c>
      <c r="K23" s="72">
        <f>ROUND((G11*I9*2)/(G9*I9*2),3)</f>
        <v>5.6000000000000001E-2</v>
      </c>
      <c r="L23" s="1333">
        <f>(K23*F23)+(K24*F24)</f>
        <v>4.5215999999999992E-2</v>
      </c>
      <c r="M23" s="1323">
        <f>ROUND(O23/L23,3)</f>
        <v>3.3170000000000002</v>
      </c>
      <c r="O23" s="1325">
        <v>0.15</v>
      </c>
      <c r="P23" s="83"/>
    </row>
    <row r="24" spans="1:16" x14ac:dyDescent="0.2">
      <c r="A24" s="1266"/>
      <c r="B24" s="1261" t="s">
        <v>242</v>
      </c>
      <c r="C24" s="1262"/>
      <c r="D24" s="116">
        <v>3.6999999999999998E-2</v>
      </c>
      <c r="E24" s="114">
        <v>2E-3</v>
      </c>
      <c r="F24" s="92">
        <f t="shared" si="0"/>
        <v>3.9E-2</v>
      </c>
      <c r="G24" s="93">
        <f>$O$23/$F$24</f>
        <v>3.8461538461538458</v>
      </c>
      <c r="H24" s="93"/>
      <c r="I24" s="93">
        <f>$O$23/$F$24</f>
        <v>3.8461538461538458</v>
      </c>
      <c r="J24" s="93"/>
      <c r="K24" s="72">
        <f>ROUND((G10*I9*2)/(G9*I9*2),3)</f>
        <v>0.94399999999999995</v>
      </c>
      <c r="L24" s="1334"/>
      <c r="M24" s="1324"/>
      <c r="O24" s="1326"/>
      <c r="P24" s="83"/>
    </row>
    <row r="25" spans="1:16" x14ac:dyDescent="0.2">
      <c r="A25" s="1266">
        <v>3</v>
      </c>
      <c r="B25" s="1261" t="s">
        <v>123</v>
      </c>
      <c r="C25" s="1262"/>
      <c r="D25" s="116">
        <v>0.15</v>
      </c>
      <c r="E25" s="114">
        <v>0</v>
      </c>
      <c r="F25" s="92">
        <f t="shared" si="0"/>
        <v>0.15</v>
      </c>
      <c r="G25" s="93"/>
      <c r="H25" s="93"/>
      <c r="I25" s="93">
        <f>$O$25/$F$25</f>
        <v>0.33333333333333337</v>
      </c>
      <c r="J25" s="93">
        <f>$O$25/$F$25</f>
        <v>0.33333333333333337</v>
      </c>
      <c r="K25" s="72">
        <f>ROUND((I11*G9*2)/(I9*G9*2),3)</f>
        <v>5.6000000000000001E-2</v>
      </c>
      <c r="L25" s="1335">
        <f>(K25*F25)+(K26*F26)</f>
        <v>4.5215999999999992E-2</v>
      </c>
      <c r="M25" s="1323">
        <f>ROUND((O25/L25),3)</f>
        <v>1.1060000000000001</v>
      </c>
      <c r="O25" s="1325">
        <v>0.05</v>
      </c>
      <c r="P25" s="83"/>
    </row>
    <row r="26" spans="1:16" x14ac:dyDescent="0.2">
      <c r="A26" s="1266"/>
      <c r="B26" s="1279" t="s">
        <v>235</v>
      </c>
      <c r="C26" s="1280"/>
      <c r="D26" s="73">
        <v>3.6999999999999998E-2</v>
      </c>
      <c r="E26" s="63">
        <v>2E-3</v>
      </c>
      <c r="F26" s="92">
        <f t="shared" si="0"/>
        <v>3.9E-2</v>
      </c>
      <c r="G26" s="93">
        <f>$O$25/$F$26</f>
        <v>1.2820512820512822</v>
      </c>
      <c r="H26" s="93">
        <f>$O$25/$F$26</f>
        <v>1.2820512820512822</v>
      </c>
      <c r="I26" s="93"/>
      <c r="J26" s="93"/>
      <c r="K26" s="72">
        <f>ROUND((I10*G9*2)/(I9*G9*2),3)</f>
        <v>0.94399999999999995</v>
      </c>
      <c r="L26" s="1335"/>
      <c r="M26" s="1324"/>
      <c r="O26" s="1326"/>
      <c r="P26" s="83"/>
    </row>
    <row r="27" spans="1:16" x14ac:dyDescent="0.2">
      <c r="A27" s="1266">
        <v>4</v>
      </c>
      <c r="B27" s="1279" t="s">
        <v>236</v>
      </c>
      <c r="C27" s="1280"/>
      <c r="D27" s="73">
        <v>0.26</v>
      </c>
      <c r="E27" s="63">
        <v>0</v>
      </c>
      <c r="F27" s="92">
        <f t="shared" si="0"/>
        <v>0.26</v>
      </c>
      <c r="G27" s="93">
        <f>$O$27/$F$27</f>
        <v>4.807692307692308E-2</v>
      </c>
      <c r="H27" s="93">
        <f>$O$27/$F$27</f>
        <v>4.807692307692308E-2</v>
      </c>
      <c r="I27" s="93">
        <f>$O$27/$F$27</f>
        <v>4.807692307692308E-2</v>
      </c>
      <c r="J27" s="93">
        <f>$O$27/$F$27</f>
        <v>4.807692307692308E-2</v>
      </c>
      <c r="K27" s="72"/>
      <c r="L27" s="72">
        <f>F27</f>
        <v>0.26</v>
      </c>
      <c r="M27" s="1323">
        <f>ROUND(O27/L27,3)</f>
        <v>4.8000000000000001E-2</v>
      </c>
      <c r="O27" s="63">
        <v>1.2500000000000001E-2</v>
      </c>
      <c r="P27" s="83"/>
    </row>
    <row r="28" spans="1:16" hidden="1" x14ac:dyDescent="0.2">
      <c r="A28" s="1266"/>
      <c r="B28" s="1279"/>
      <c r="C28" s="1280"/>
      <c r="D28" s="73">
        <v>1</v>
      </c>
      <c r="E28" s="63">
        <v>0</v>
      </c>
      <c r="F28" s="92">
        <f t="shared" si="0"/>
        <v>1</v>
      </c>
      <c r="G28" s="93">
        <f>$O$28/$F$28</f>
        <v>0</v>
      </c>
      <c r="H28" s="93">
        <f>$O$28/$F$28</f>
        <v>0</v>
      </c>
      <c r="I28" s="93">
        <f>$O$28/$F$28</f>
        <v>0</v>
      </c>
      <c r="J28" s="93">
        <f>$O$28/$F$28</f>
        <v>0</v>
      </c>
      <c r="K28" s="72"/>
      <c r="L28" s="72">
        <v>1</v>
      </c>
      <c r="M28" s="1324"/>
      <c r="O28" s="73">
        <v>0</v>
      </c>
      <c r="P28" s="83"/>
    </row>
    <row r="29" spans="1:16" hidden="1" x14ac:dyDescent="0.2">
      <c r="A29" s="1266">
        <v>7</v>
      </c>
      <c r="B29" s="1279"/>
      <c r="C29" s="1280"/>
      <c r="D29" s="73">
        <v>1</v>
      </c>
      <c r="E29" s="63">
        <v>0</v>
      </c>
      <c r="F29" s="92">
        <f t="shared" si="0"/>
        <v>1</v>
      </c>
      <c r="G29" s="93">
        <f>$O$29/$F$29</f>
        <v>0</v>
      </c>
      <c r="H29" s="93">
        <f>$O$29/$F$29</f>
        <v>0</v>
      </c>
      <c r="I29" s="93">
        <f>$O$29/$F$29</f>
        <v>0</v>
      </c>
      <c r="J29" s="93">
        <f>$O$29/$F$29</f>
        <v>0</v>
      </c>
      <c r="K29" s="72"/>
      <c r="L29" s="72">
        <v>1</v>
      </c>
      <c r="M29" s="1323">
        <f>O29/L29</f>
        <v>0</v>
      </c>
      <c r="O29" s="73">
        <v>0</v>
      </c>
      <c r="P29" s="83"/>
    </row>
    <row r="30" spans="1:16" hidden="1" x14ac:dyDescent="0.2">
      <c r="A30" s="1266"/>
      <c r="B30" s="1279"/>
      <c r="C30" s="1280"/>
      <c r="D30" s="73">
        <v>1</v>
      </c>
      <c r="E30" s="63">
        <v>0</v>
      </c>
      <c r="F30" s="92">
        <f t="shared" si="0"/>
        <v>1</v>
      </c>
      <c r="G30" s="93">
        <f>$O$30/$F$30</f>
        <v>0</v>
      </c>
      <c r="H30" s="93">
        <f>$O$30/$F$30</f>
        <v>0</v>
      </c>
      <c r="I30" s="93">
        <f>$O$30/$F$30</f>
        <v>0</v>
      </c>
      <c r="J30" s="93">
        <f>$O$30/$F$30</f>
        <v>0</v>
      </c>
      <c r="K30" s="72"/>
      <c r="L30" s="72">
        <v>1</v>
      </c>
      <c r="M30" s="1324"/>
      <c r="O30" s="73">
        <v>0</v>
      </c>
      <c r="P30" s="83"/>
    </row>
    <row r="31" spans="1:16" x14ac:dyDescent="0.2">
      <c r="A31" s="85"/>
      <c r="B31" s="60"/>
      <c r="C31" s="60"/>
      <c r="D31" s="60"/>
      <c r="E31" s="60"/>
      <c r="F31" s="61"/>
      <c r="G31" s="93">
        <f>SUM(G17:G30)+$K$5+$K$6</f>
        <v>6.1734249084249075</v>
      </c>
      <c r="H31" s="93">
        <f>SUM(H17:H30)+$K$5+$K$6</f>
        <v>3.3272710622710622</v>
      </c>
      <c r="I31" s="93">
        <f>SUM(I17:I30)+$K$5+$K$6</f>
        <v>4.5675641025641021</v>
      </c>
      <c r="J31" s="93">
        <f>SUM(J17:J30)+$K$5+$K$6</f>
        <v>1.7214102564102565</v>
      </c>
      <c r="K31" s="1271"/>
      <c r="L31" s="1272"/>
      <c r="M31" s="1273"/>
      <c r="P31" s="83"/>
    </row>
    <row r="32" spans="1:16" x14ac:dyDescent="0.2">
      <c r="A32" s="85"/>
      <c r="B32" s="60"/>
      <c r="C32" s="64"/>
      <c r="D32" s="95"/>
      <c r="E32" s="95"/>
      <c r="F32" s="95"/>
      <c r="G32" s="1274">
        <f>ROUND(1/((G14/G31)+(H14/H31)+(I14/I31)+(J14/J31)),3)</f>
        <v>5.7619999999999996</v>
      </c>
      <c r="H32" s="1275"/>
      <c r="I32" s="1275"/>
      <c r="J32" s="1330"/>
      <c r="K32" s="1276">
        <f>SUM(M17:M30)+K5+K6</f>
        <v>5.343</v>
      </c>
      <c r="L32" s="1277"/>
      <c r="M32" s="1278"/>
      <c r="P32" s="83"/>
    </row>
    <row r="33" spans="1:16" ht="12.75" customHeight="1" x14ac:dyDescent="0.2">
      <c r="A33" s="85"/>
      <c r="B33" s="60"/>
      <c r="C33" s="74"/>
      <c r="D33" s="76"/>
      <c r="E33" s="95"/>
      <c r="F33" s="95"/>
      <c r="G33" s="96"/>
      <c r="H33" s="96"/>
      <c r="I33" s="96"/>
      <c r="J33" s="96"/>
      <c r="K33" s="96"/>
      <c r="L33" s="96"/>
      <c r="M33" s="96"/>
      <c r="O33" s="64" t="s">
        <v>106</v>
      </c>
      <c r="P33" s="83"/>
    </row>
    <row r="34" spans="1:16" ht="15" x14ac:dyDescent="0.2">
      <c r="A34" s="86"/>
      <c r="O34" s="199">
        <f>SUM(O17:O30)*1000</f>
        <v>242.5</v>
      </c>
      <c r="P34" s="110" t="s">
        <v>120</v>
      </c>
    </row>
    <row r="35" spans="1:16" ht="6.75" customHeight="1" x14ac:dyDescent="0.2">
      <c r="A35" s="86"/>
      <c r="P35" s="83"/>
    </row>
    <row r="36" spans="1:16" ht="15" x14ac:dyDescent="0.2">
      <c r="A36" s="86"/>
      <c r="F36" s="1236" t="s">
        <v>93</v>
      </c>
      <c r="G36" s="1236"/>
      <c r="H36" s="1236"/>
      <c r="I36" s="258">
        <f>ROUND(1/((G32+K32)/2),3)</f>
        <v>0.18</v>
      </c>
      <c r="J36" s="237"/>
      <c r="K36" s="1269" t="s">
        <v>96</v>
      </c>
      <c r="L36" s="1270"/>
      <c r="P36" s="83"/>
    </row>
    <row r="37" spans="1:16" x14ac:dyDescent="0.2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9"/>
    </row>
  </sheetData>
  <mergeCells count="63">
    <mergeCell ref="I8:J8"/>
    <mergeCell ref="G10:H10"/>
    <mergeCell ref="M19:M20"/>
    <mergeCell ref="A17:A18"/>
    <mergeCell ref="A19:A20"/>
    <mergeCell ref="L19:L20"/>
    <mergeCell ref="A12:B12"/>
    <mergeCell ref="A14:F14"/>
    <mergeCell ref="G15:J15"/>
    <mergeCell ref="K15:M15"/>
    <mergeCell ref="A13:B13"/>
    <mergeCell ref="B16:C16"/>
    <mergeCell ref="B17:C17"/>
    <mergeCell ref="B19:C19"/>
    <mergeCell ref="B20:C20"/>
    <mergeCell ref="A21:A22"/>
    <mergeCell ref="B21:C21"/>
    <mergeCell ref="F36:H36"/>
    <mergeCell ref="K36:L36"/>
    <mergeCell ref="K31:M31"/>
    <mergeCell ref="G32:J32"/>
    <mergeCell ref="K32:M32"/>
    <mergeCell ref="B22:C22"/>
    <mergeCell ref="M29:M30"/>
    <mergeCell ref="B27:C27"/>
    <mergeCell ref="B28:C28"/>
    <mergeCell ref="B29:C29"/>
    <mergeCell ref="B30:C30"/>
    <mergeCell ref="B24:C24"/>
    <mergeCell ref="B25:C25"/>
    <mergeCell ref="B26:C26"/>
    <mergeCell ref="A29:A30"/>
    <mergeCell ref="B23:C23"/>
    <mergeCell ref="A27:A28"/>
    <mergeCell ref="M23:M24"/>
    <mergeCell ref="M27:M28"/>
    <mergeCell ref="L25:L26"/>
    <mergeCell ref="M25:M26"/>
    <mergeCell ref="A25:A26"/>
    <mergeCell ref="A23:A24"/>
    <mergeCell ref="D3:L3"/>
    <mergeCell ref="D5:I5"/>
    <mergeCell ref="K5:L5"/>
    <mergeCell ref="K6:L6"/>
    <mergeCell ref="C13:D13"/>
    <mergeCell ref="I10:J10"/>
    <mergeCell ref="G11:H11"/>
    <mergeCell ref="I11:J11"/>
    <mergeCell ref="C9:F9"/>
    <mergeCell ref="C10:F11"/>
    <mergeCell ref="G9:H9"/>
    <mergeCell ref="I9:J9"/>
    <mergeCell ref="C12:D12"/>
    <mergeCell ref="E12:F12"/>
    <mergeCell ref="G12:J12"/>
    <mergeCell ref="G8:H8"/>
    <mergeCell ref="O25:O26"/>
    <mergeCell ref="O23:O24"/>
    <mergeCell ref="O21:O22"/>
    <mergeCell ref="O19:O20"/>
    <mergeCell ref="L23:L24"/>
    <mergeCell ref="M21:M22"/>
    <mergeCell ref="L21:L22"/>
  </mergeCells>
  <pageMargins left="0.9055118110236221" right="0.9055118110236221" top="0.74803149606299213" bottom="0.74803149606299213" header="0.31496062992125984" footer="0.31496062992125984"/>
  <pageSetup paperSize="9" orientation="landscape" r:id="rId1"/>
  <headerFooter>
    <oddHeader xml:space="preserve">&amp;RPielikums Nr.4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1F58-D6B7-4B90-B43F-3431608A8BEC}">
  <dimension ref="A1:U38"/>
  <sheetViews>
    <sheetView showGridLines="0" view="pageBreakPreview" zoomScaleNormal="100" zoomScaleSheetLayoutView="100" workbookViewId="0">
      <selection activeCell="O27" sqref="O27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6384" width="9.140625" style="2"/>
  </cols>
  <sheetData>
    <row r="1" spans="1:21" ht="20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1.75" customHeight="1" x14ac:dyDescent="0.2">
      <c r="A3" s="354"/>
      <c r="B3" s="571"/>
      <c r="C3" s="941" t="s">
        <v>523</v>
      </c>
      <c r="D3" s="941"/>
      <c r="E3" s="941"/>
      <c r="F3" s="941"/>
      <c r="G3" s="569"/>
      <c r="H3" s="569"/>
      <c r="I3" s="569"/>
      <c r="J3" s="569"/>
      <c r="K3" s="569"/>
      <c r="L3" s="569"/>
      <c r="M3" s="569"/>
      <c r="N3" s="569"/>
      <c r="O3" s="570"/>
      <c r="P3" s="83"/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</row>
    <row r="5" spans="1:21" ht="15" x14ac:dyDescent="0.25">
      <c r="A5" s="354"/>
      <c r="B5" s="355"/>
      <c r="C5" s="341"/>
      <c r="D5" s="942" t="s">
        <v>307</v>
      </c>
      <c r="E5" s="942"/>
      <c r="F5" s="942"/>
      <c r="G5" s="942"/>
      <c r="H5" s="942"/>
      <c r="I5" s="942"/>
      <c r="J5" s="357" t="s">
        <v>308</v>
      </c>
      <c r="K5" s="930">
        <v>0.13</v>
      </c>
      <c r="L5" s="873"/>
      <c r="M5" s="396"/>
      <c r="P5" s="83"/>
    </row>
    <row r="6" spans="1:21" ht="15" x14ac:dyDescent="0.25">
      <c r="A6" s="354"/>
      <c r="B6" s="355"/>
      <c r="C6" s="341"/>
      <c r="D6" s="341"/>
      <c r="E6" s="341"/>
      <c r="F6" s="341"/>
      <c r="G6" s="341"/>
      <c r="H6" s="341"/>
      <c r="I6" s="341"/>
      <c r="J6" s="357" t="s">
        <v>309</v>
      </c>
      <c r="K6" s="843">
        <v>0.13</v>
      </c>
      <c r="L6" s="928"/>
      <c r="P6" s="83"/>
    </row>
    <row r="7" spans="1:21" ht="10.5" hidden="1" customHeight="1" x14ac:dyDescent="0.2">
      <c r="A7" s="354"/>
      <c r="B7" s="355"/>
      <c r="C7" s="341"/>
      <c r="D7" s="341"/>
      <c r="E7" s="341"/>
      <c r="F7" s="341"/>
      <c r="G7" s="341"/>
      <c r="H7" s="341"/>
      <c r="I7" s="341"/>
      <c r="J7" s="357" t="s">
        <v>310</v>
      </c>
      <c r="K7" s="939">
        <v>0</v>
      </c>
      <c r="L7" s="940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</row>
    <row r="9" spans="1:21" ht="9.75" customHeight="1" x14ac:dyDescent="0.25">
      <c r="A9" s="354"/>
      <c r="B9" s="355"/>
      <c r="C9" s="341"/>
      <c r="D9" s="341"/>
      <c r="E9" s="341"/>
      <c r="F9" s="341"/>
      <c r="G9" s="892" t="s">
        <v>112</v>
      </c>
      <c r="H9" s="892"/>
      <c r="I9" s="892" t="s">
        <v>113</v>
      </c>
      <c r="J9" s="892"/>
      <c r="K9" s="341"/>
      <c r="L9" s="359"/>
      <c r="P9" s="83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882"/>
      <c r="G10" s="880">
        <v>0.6</v>
      </c>
      <c r="H10" s="880"/>
      <c r="I10" s="880">
        <v>0.6</v>
      </c>
      <c r="J10" s="880"/>
      <c r="K10" s="341"/>
      <c r="L10" s="359"/>
      <c r="P10" s="83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891"/>
      <c r="G11" s="880">
        <f>G10-G12</f>
        <v>0.55499999999999994</v>
      </c>
      <c r="H11" s="880"/>
      <c r="I11" s="880">
        <f>I10-I12</f>
        <v>0.55499999999999994</v>
      </c>
      <c r="J11" s="880"/>
      <c r="K11" s="341"/>
      <c r="L11" s="359"/>
      <c r="P11" s="83"/>
    </row>
    <row r="12" spans="1:21" ht="15" x14ac:dyDescent="0.25">
      <c r="A12" s="354"/>
      <c r="B12" s="355"/>
      <c r="C12" s="891"/>
      <c r="D12" s="891"/>
      <c r="E12" s="891"/>
      <c r="F12" s="891"/>
      <c r="G12" s="880">
        <v>4.4999999999999998E-2</v>
      </c>
      <c r="H12" s="880"/>
      <c r="I12" s="880">
        <v>4.4999999999999998E-2</v>
      </c>
      <c r="J12" s="880"/>
      <c r="K12" s="341"/>
      <c r="L12" s="359"/>
      <c r="P12" s="83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</row>
    <row r="14" spans="1:21" ht="14.25" customHeight="1" x14ac:dyDescent="0.2">
      <c r="A14" s="890"/>
      <c r="B14" s="891"/>
      <c r="C14" s="883"/>
      <c r="D14" s="883"/>
      <c r="E14" s="361"/>
      <c r="F14" s="361"/>
      <c r="G14" s="467" t="s">
        <v>0</v>
      </c>
      <c r="H14" s="467" t="s">
        <v>1</v>
      </c>
      <c r="I14" s="467" t="s">
        <v>2</v>
      </c>
      <c r="J14" s="467" t="s">
        <v>3</v>
      </c>
      <c r="K14" s="466"/>
      <c r="L14" s="364"/>
      <c r="M14" s="364"/>
      <c r="P14" s="83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888"/>
      <c r="G15" s="468">
        <f>(G11*I11)/(G10*I10)</f>
        <v>0.85562499999999986</v>
      </c>
      <c r="H15" s="468">
        <f>(G11*I12)/(G10*I10)</f>
        <v>6.9374999999999992E-2</v>
      </c>
      <c r="I15" s="468">
        <f>(G12*I11)/(G10*I10)</f>
        <v>6.9374999999999992E-2</v>
      </c>
      <c r="J15" s="468">
        <f>(G12*I12)/(G10*I10)</f>
        <v>5.6249999999999998E-3</v>
      </c>
      <c r="K15" s="457"/>
      <c r="L15" s="364"/>
      <c r="M15" s="364"/>
      <c r="P15" s="83"/>
    </row>
    <row r="16" spans="1:21" ht="14.25" customHeight="1" x14ac:dyDescent="0.2">
      <c r="A16" s="367"/>
      <c r="B16" s="368"/>
      <c r="C16" s="368"/>
      <c r="D16" s="368"/>
      <c r="E16" s="368"/>
      <c r="F16" s="368"/>
      <c r="G16" s="938" t="s">
        <v>313</v>
      </c>
      <c r="H16" s="938"/>
      <c r="I16" s="938"/>
      <c r="J16" s="938"/>
      <c r="K16" s="938" t="s">
        <v>314</v>
      </c>
      <c r="L16" s="938"/>
      <c r="M16" s="938"/>
      <c r="P16" s="83"/>
      <c r="U16" s="2">
        <v>0</v>
      </c>
    </row>
    <row r="17" spans="1:17" ht="27" customHeight="1" x14ac:dyDescent="0.2">
      <c r="A17" s="369"/>
      <c r="B17" s="907" t="s">
        <v>6</v>
      </c>
      <c r="C17" s="907"/>
      <c r="D17" s="470" t="s">
        <v>315</v>
      </c>
      <c r="E17" s="470" t="s">
        <v>303</v>
      </c>
      <c r="F17" s="470" t="s">
        <v>316</v>
      </c>
      <c r="G17" s="470" t="s">
        <v>317</v>
      </c>
      <c r="H17" s="470" t="s">
        <v>318</v>
      </c>
      <c r="I17" s="470" t="s">
        <v>319</v>
      </c>
      <c r="J17" s="470" t="s">
        <v>320</v>
      </c>
      <c r="K17" s="568" t="s">
        <v>4</v>
      </c>
      <c r="L17" s="470" t="s">
        <v>119</v>
      </c>
      <c r="M17" s="470" t="s">
        <v>321</v>
      </c>
      <c r="O17" s="458" t="s">
        <v>322</v>
      </c>
      <c r="P17" s="83"/>
    </row>
    <row r="18" spans="1:17" hidden="1" x14ac:dyDescent="0.2">
      <c r="A18" s="887"/>
      <c r="B18" s="874" t="s">
        <v>402</v>
      </c>
      <c r="C18" s="874"/>
      <c r="D18" s="474">
        <v>0.26</v>
      </c>
      <c r="E18" s="474">
        <v>0</v>
      </c>
      <c r="F18" s="474">
        <f t="shared" ref="F18:F31" si="0">D18+E18</f>
        <v>0.26</v>
      </c>
      <c r="G18" s="459">
        <f>$O$18/$F$18</f>
        <v>0</v>
      </c>
      <c r="H18" s="459">
        <f>$O$18/$F$18</f>
        <v>0</v>
      </c>
      <c r="I18" s="459">
        <f>$O$18/$F$18</f>
        <v>0</v>
      </c>
      <c r="J18" s="459">
        <f>$O$18/$F$18</f>
        <v>0</v>
      </c>
      <c r="K18" s="456"/>
      <c r="L18" s="459">
        <f>F18</f>
        <v>0.26</v>
      </c>
      <c r="M18" s="459">
        <f>O18/L18</f>
        <v>0</v>
      </c>
      <c r="O18" s="474">
        <v>0</v>
      </c>
      <c r="P18" s="83"/>
    </row>
    <row r="19" spans="1:17" x14ac:dyDescent="0.2">
      <c r="A19" s="887"/>
      <c r="B19" s="874" t="s">
        <v>845</v>
      </c>
      <c r="C19" s="874"/>
      <c r="D19" s="474">
        <v>5.2999999999999999E-2</v>
      </c>
      <c r="E19" s="474">
        <v>1.4999999999999999E-2</v>
      </c>
      <c r="F19" s="474">
        <f t="shared" si="0"/>
        <v>6.8000000000000005E-2</v>
      </c>
      <c r="G19" s="459">
        <f>$O$19/$F$19</f>
        <v>0.36764705882352938</v>
      </c>
      <c r="H19" s="459">
        <f>$O$19/$F$19</f>
        <v>0.36764705882352938</v>
      </c>
      <c r="I19" s="459">
        <f>$O$19/$F$19</f>
        <v>0.36764705882352938</v>
      </c>
      <c r="J19" s="459">
        <f>$O$19/$F$19</f>
        <v>0.36764705882352938</v>
      </c>
      <c r="K19" s="456"/>
      <c r="L19" s="459">
        <f>F19</f>
        <v>6.8000000000000005E-2</v>
      </c>
      <c r="M19" s="459">
        <f>O19/L19</f>
        <v>0.36764705882352938</v>
      </c>
      <c r="O19" s="474">
        <v>2.5000000000000001E-2</v>
      </c>
      <c r="P19" s="83"/>
    </row>
    <row r="20" spans="1:17" hidden="1" x14ac:dyDescent="0.2">
      <c r="A20" s="887"/>
      <c r="B20" s="874" t="s">
        <v>123</v>
      </c>
      <c r="C20" s="874"/>
      <c r="D20" s="474">
        <v>0.13</v>
      </c>
      <c r="E20" s="474">
        <v>0</v>
      </c>
      <c r="F20" s="474">
        <f t="shared" si="0"/>
        <v>0.13</v>
      </c>
      <c r="G20" s="459"/>
      <c r="H20" s="459"/>
      <c r="I20" s="459">
        <f>O20/F20</f>
        <v>0</v>
      </c>
      <c r="J20" s="459">
        <f>O20/F20</f>
        <v>0</v>
      </c>
      <c r="K20" s="459">
        <f>(I12*I10*2)/(I10*I10*2)</f>
        <v>7.4999999999999997E-2</v>
      </c>
      <c r="L20" s="879">
        <f>ROUND((K20*F20)+(K21*F21),3)</f>
        <v>4.8000000000000001E-2</v>
      </c>
      <c r="M20" s="937">
        <f>ROUND(O20/L20,3)</f>
        <v>0</v>
      </c>
      <c r="O20" s="880">
        <v>0</v>
      </c>
      <c r="P20" s="83"/>
    </row>
    <row r="21" spans="1:17" hidden="1" x14ac:dyDescent="0.2">
      <c r="A21" s="887"/>
      <c r="B21" s="893" t="s">
        <v>538</v>
      </c>
      <c r="C21" s="894"/>
      <c r="D21" s="474">
        <v>3.9E-2</v>
      </c>
      <c r="E21" s="474">
        <v>2E-3</v>
      </c>
      <c r="F21" s="474">
        <f t="shared" si="0"/>
        <v>4.1000000000000002E-2</v>
      </c>
      <c r="G21" s="459">
        <f>O20/F21</f>
        <v>0</v>
      </c>
      <c r="H21" s="459">
        <f>O20/F21</f>
        <v>0</v>
      </c>
      <c r="I21" s="459"/>
      <c r="J21" s="459"/>
      <c r="K21" s="459">
        <f>(I11*I10*2)/(I10*I10*2)</f>
        <v>0.92499999999999993</v>
      </c>
      <c r="L21" s="879"/>
      <c r="M21" s="936"/>
      <c r="O21" s="880"/>
      <c r="P21" s="83"/>
    </row>
    <row r="22" spans="1:17" x14ac:dyDescent="0.2">
      <c r="A22" s="887"/>
      <c r="B22" s="874" t="s">
        <v>7</v>
      </c>
      <c r="C22" s="874"/>
      <c r="D22" s="474">
        <v>0.13</v>
      </c>
      <c r="E22" s="474">
        <v>0</v>
      </c>
      <c r="F22" s="474">
        <f t="shared" si="0"/>
        <v>0.13</v>
      </c>
      <c r="G22" s="459"/>
      <c r="H22" s="459"/>
      <c r="I22" s="459">
        <f>O22/F22</f>
        <v>1.1153846153846152</v>
      </c>
      <c r="J22" s="459">
        <f>O22/F22</f>
        <v>1.1153846153846152</v>
      </c>
      <c r="K22" s="459">
        <f>(I12*G10*2)/(I10*G10*2)</f>
        <v>7.4999999999999997E-2</v>
      </c>
      <c r="L22" s="879">
        <f t="shared" ref="L22" si="1">ROUND((K22*F22)+(K23*F23),3)</f>
        <v>4.3999999999999997E-2</v>
      </c>
      <c r="M22" s="937">
        <f>ROUND(O22/L22,3)</f>
        <v>3.2949999999999999</v>
      </c>
      <c r="O22" s="880">
        <v>0.14499999999999999</v>
      </c>
      <c r="P22" s="83"/>
    </row>
    <row r="23" spans="1:17" x14ac:dyDescent="0.2">
      <c r="A23" s="887"/>
      <c r="B23" s="893" t="s">
        <v>536</v>
      </c>
      <c r="C23" s="894"/>
      <c r="D23" s="474">
        <v>3.5999999999999997E-2</v>
      </c>
      <c r="E23" s="474">
        <v>1E-3</v>
      </c>
      <c r="F23" s="474">
        <f t="shared" si="0"/>
        <v>3.6999999999999998E-2</v>
      </c>
      <c r="G23" s="459">
        <f>O22/F23</f>
        <v>3.9189189189189189</v>
      </c>
      <c r="H23" s="459">
        <f>O22/F23</f>
        <v>3.9189189189189189</v>
      </c>
      <c r="I23" s="459"/>
      <c r="J23" s="459"/>
      <c r="K23" s="459">
        <f>(I11*G10*2)/(I10*G10*2)</f>
        <v>0.92499999999999993</v>
      </c>
      <c r="L23" s="879"/>
      <c r="M23" s="936"/>
      <c r="O23" s="880"/>
      <c r="P23" s="83"/>
    </row>
    <row r="24" spans="1:17" x14ac:dyDescent="0.2">
      <c r="A24" s="887"/>
      <c r="B24" s="874" t="s">
        <v>7</v>
      </c>
      <c r="C24" s="874"/>
      <c r="D24" s="474">
        <v>0.13</v>
      </c>
      <c r="E24" s="474">
        <v>0</v>
      </c>
      <c r="F24" s="474">
        <f t="shared" si="0"/>
        <v>0.13</v>
      </c>
      <c r="G24" s="459"/>
      <c r="H24" s="459">
        <f>O24/F24</f>
        <v>0.34615384615384615</v>
      </c>
      <c r="I24" s="459"/>
      <c r="J24" s="459">
        <f>$O$24/$F$24</f>
        <v>0.34615384615384615</v>
      </c>
      <c r="K24" s="459">
        <f>(G12*G10*2)/(G10*G10*2)</f>
        <v>7.4999999999999997E-2</v>
      </c>
      <c r="L24" s="879">
        <f t="shared" ref="L24" si="2">ROUND((K24*F24)+(K25*F25),3)</f>
        <v>4.3999999999999997E-2</v>
      </c>
      <c r="M24" s="937">
        <f>ROUND(O24/L24,3)</f>
        <v>1.0229999999999999</v>
      </c>
      <c r="O24" s="880">
        <v>4.4999999999999998E-2</v>
      </c>
      <c r="P24" s="83"/>
    </row>
    <row r="25" spans="1:17" x14ac:dyDescent="0.2">
      <c r="A25" s="887"/>
      <c r="B25" s="893" t="s">
        <v>536</v>
      </c>
      <c r="C25" s="894"/>
      <c r="D25" s="474">
        <v>3.5999999999999997E-2</v>
      </c>
      <c r="E25" s="474">
        <v>1E-3</v>
      </c>
      <c r="F25" s="474">
        <f t="shared" si="0"/>
        <v>3.6999999999999998E-2</v>
      </c>
      <c r="G25" s="459">
        <f>O24/F25</f>
        <v>1.2162162162162162</v>
      </c>
      <c r="H25" s="459"/>
      <c r="I25" s="459">
        <f>O24/F25</f>
        <v>1.2162162162162162</v>
      </c>
      <c r="J25" s="459"/>
      <c r="K25" s="459">
        <f>(G11*G10*2)/(G10*G10*2)</f>
        <v>0.92499999999999993</v>
      </c>
      <c r="L25" s="879"/>
      <c r="M25" s="936"/>
      <c r="O25" s="880"/>
      <c r="P25" s="83"/>
    </row>
    <row r="26" spans="1:17" x14ac:dyDescent="0.2">
      <c r="A26" s="887"/>
      <c r="B26" s="874" t="s">
        <v>835</v>
      </c>
      <c r="C26" s="874"/>
      <c r="D26" s="474">
        <v>3.3000000000000002E-2</v>
      </c>
      <c r="E26" s="474">
        <v>1E-3</v>
      </c>
      <c r="F26" s="474">
        <f t="shared" si="0"/>
        <v>3.4000000000000002E-2</v>
      </c>
      <c r="G26" s="459">
        <f>O26/F26</f>
        <v>2.9411764705882351</v>
      </c>
      <c r="H26" s="459">
        <f>O26/F26</f>
        <v>2.9411764705882351</v>
      </c>
      <c r="I26" s="459">
        <f>O26/F26</f>
        <v>2.9411764705882351</v>
      </c>
      <c r="J26" s="459">
        <f>O26/F26</f>
        <v>2.9411764705882351</v>
      </c>
      <c r="K26" s="459"/>
      <c r="L26" s="459">
        <f t="shared" ref="L26:L31" si="3">F26</f>
        <v>3.4000000000000002E-2</v>
      </c>
      <c r="M26" s="459">
        <f t="shared" ref="M26:M31" si="4">O26/L26</f>
        <v>2.9411764705882351</v>
      </c>
      <c r="O26" s="474">
        <v>0.1</v>
      </c>
      <c r="P26" s="83"/>
    </row>
    <row r="27" spans="1:17" hidden="1" x14ac:dyDescent="0.2">
      <c r="A27" s="887"/>
      <c r="B27" s="874" t="s">
        <v>845</v>
      </c>
      <c r="C27" s="874"/>
      <c r="D27" s="474">
        <v>5.2999999999999999E-2</v>
      </c>
      <c r="E27" s="474">
        <v>1.4999999999999999E-2</v>
      </c>
      <c r="F27" s="474">
        <f t="shared" si="0"/>
        <v>6.8000000000000005E-2</v>
      </c>
      <c r="G27" s="459">
        <f>$O$27/$F$27</f>
        <v>0</v>
      </c>
      <c r="H27" s="459">
        <f>$O$27/$F$27</f>
        <v>0</v>
      </c>
      <c r="I27" s="459">
        <f>$O$27/$F$27</f>
        <v>0</v>
      </c>
      <c r="J27" s="459">
        <f>$O$27/$F$27</f>
        <v>0</v>
      </c>
      <c r="K27" s="456"/>
      <c r="L27" s="459">
        <f t="shared" si="3"/>
        <v>6.8000000000000005E-2</v>
      </c>
      <c r="M27" s="459">
        <f t="shared" si="4"/>
        <v>0</v>
      </c>
      <c r="O27" s="474">
        <v>0</v>
      </c>
      <c r="P27" s="83"/>
    </row>
    <row r="28" spans="1:17" hidden="1" x14ac:dyDescent="0.2">
      <c r="A28" s="887"/>
      <c r="B28" s="874" t="s">
        <v>710</v>
      </c>
      <c r="C28" s="874"/>
      <c r="D28" s="474">
        <v>4.8000000000000001E-2</v>
      </c>
      <c r="E28" s="474">
        <v>0</v>
      </c>
      <c r="F28" s="474">
        <f t="shared" si="0"/>
        <v>4.8000000000000001E-2</v>
      </c>
      <c r="G28" s="459">
        <f>$O$28/$F$28</f>
        <v>0</v>
      </c>
      <c r="H28" s="459">
        <f>$O$28/$F$28</f>
        <v>0</v>
      </c>
      <c r="I28" s="459">
        <f>$O$28/$F$28</f>
        <v>0</v>
      </c>
      <c r="J28" s="459">
        <f>$O$28/$F$28</f>
        <v>0</v>
      </c>
      <c r="K28" s="456"/>
      <c r="L28" s="459">
        <f t="shared" si="3"/>
        <v>4.8000000000000001E-2</v>
      </c>
      <c r="M28" s="459">
        <f t="shared" si="4"/>
        <v>0</v>
      </c>
      <c r="O28" s="474">
        <v>0</v>
      </c>
      <c r="P28" s="83"/>
      <c r="Q28" s="443"/>
    </row>
    <row r="29" spans="1:17" hidden="1" x14ac:dyDescent="0.2">
      <c r="A29" s="887"/>
      <c r="B29" s="874" t="s">
        <v>619</v>
      </c>
      <c r="C29" s="874"/>
      <c r="D29" s="474">
        <v>0.26</v>
      </c>
      <c r="E29" s="474">
        <v>0</v>
      </c>
      <c r="F29" s="474">
        <f t="shared" si="0"/>
        <v>0.26</v>
      </c>
      <c r="G29" s="459">
        <f>$O$29/$F$29</f>
        <v>0</v>
      </c>
      <c r="H29" s="459">
        <f>$O$29/$F$29</f>
        <v>0</v>
      </c>
      <c r="I29" s="459">
        <f>$O$29/$F$29</f>
        <v>0</v>
      </c>
      <c r="J29" s="459">
        <f>$O$29/$F$29</f>
        <v>0</v>
      </c>
      <c r="K29" s="456"/>
      <c r="L29" s="459">
        <f t="shared" si="3"/>
        <v>0.26</v>
      </c>
      <c r="M29" s="459">
        <f t="shared" si="4"/>
        <v>0</v>
      </c>
      <c r="O29" s="474">
        <v>0</v>
      </c>
      <c r="P29" s="83"/>
    </row>
    <row r="30" spans="1:17" hidden="1" x14ac:dyDescent="0.2">
      <c r="A30" s="887"/>
      <c r="B30" s="874" t="s">
        <v>402</v>
      </c>
      <c r="C30" s="874"/>
      <c r="D30" s="474">
        <v>0.6</v>
      </c>
      <c r="E30" s="474">
        <v>0</v>
      </c>
      <c r="F30" s="474">
        <f t="shared" si="0"/>
        <v>0.6</v>
      </c>
      <c r="G30" s="459">
        <f>$O$30/$F$30</f>
        <v>0</v>
      </c>
      <c r="H30" s="459">
        <f>$O$30/$F$30</f>
        <v>0</v>
      </c>
      <c r="I30" s="459">
        <f>$O$30/$F$30</f>
        <v>0</v>
      </c>
      <c r="J30" s="459">
        <f>$O$30/$F$30</f>
        <v>0</v>
      </c>
      <c r="K30" s="456"/>
      <c r="L30" s="459">
        <f t="shared" si="3"/>
        <v>0.6</v>
      </c>
      <c r="M30" s="459">
        <f t="shared" si="4"/>
        <v>0</v>
      </c>
      <c r="O30" s="474">
        <v>0</v>
      </c>
      <c r="P30" s="83"/>
    </row>
    <row r="31" spans="1:17" hidden="1" x14ac:dyDescent="0.2">
      <c r="A31" s="887"/>
      <c r="B31" s="874"/>
      <c r="C31" s="874"/>
      <c r="D31" s="601">
        <v>1</v>
      </c>
      <c r="E31" s="474">
        <v>0</v>
      </c>
      <c r="F31" s="474">
        <f t="shared" si="0"/>
        <v>1</v>
      </c>
      <c r="G31" s="459">
        <f>$O$31/$F$31</f>
        <v>0</v>
      </c>
      <c r="H31" s="459">
        <f>$O$31/$F$31</f>
        <v>0</v>
      </c>
      <c r="I31" s="459">
        <f>$O$31/$F$31</f>
        <v>0</v>
      </c>
      <c r="J31" s="459">
        <f>$O$31/$F$31</f>
        <v>0</v>
      </c>
      <c r="K31" s="456"/>
      <c r="L31" s="459">
        <f t="shared" si="3"/>
        <v>1</v>
      </c>
      <c r="M31" s="459">
        <f t="shared" si="4"/>
        <v>0</v>
      </c>
      <c r="O31" s="601">
        <v>0</v>
      </c>
      <c r="P31" s="83"/>
    </row>
    <row r="32" spans="1:17" x14ac:dyDescent="0.2">
      <c r="A32" s="86"/>
      <c r="F32" s="349"/>
      <c r="G32" s="459">
        <f>SUM(G18:G31)+$K$5+$K$6+$K$7</f>
        <v>8.7039586645469011</v>
      </c>
      <c r="H32" s="459">
        <f>SUM(H18:H31)+$K$5+$K$6+$K$7</f>
        <v>7.8338962944845285</v>
      </c>
      <c r="I32" s="459">
        <f>SUM(I18:I31)+$K$5+$K$6+$K$7</f>
        <v>5.900424361012595</v>
      </c>
      <c r="J32" s="459">
        <f>SUM(J18:J31)+$K$5+$K$6+$K$7</f>
        <v>5.030361990950226</v>
      </c>
      <c r="K32" s="935"/>
      <c r="L32" s="935"/>
      <c r="M32" s="935"/>
      <c r="P32" s="83"/>
    </row>
    <row r="33" spans="1:16" x14ac:dyDescent="0.2">
      <c r="A33" s="86"/>
      <c r="C33" s="343"/>
      <c r="D33" s="377"/>
      <c r="E33" s="377"/>
      <c r="F33" s="377"/>
      <c r="G33" s="879">
        <f>ROUND(1/((G15/G32)+(H15/H32)+(I15/I32)+(J15/J32)),3)</f>
        <v>8.3309999999999995</v>
      </c>
      <c r="H33" s="879"/>
      <c r="I33" s="879"/>
      <c r="J33" s="879"/>
      <c r="K33" s="936">
        <f>SUM(M18:M31)</f>
        <v>7.6268235294117641</v>
      </c>
      <c r="L33" s="936"/>
      <c r="M33" s="936"/>
      <c r="P33" s="83"/>
    </row>
    <row r="34" spans="1:16" ht="12.75" customHeight="1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</row>
    <row r="35" spans="1:16" ht="15.75" x14ac:dyDescent="0.2">
      <c r="A35" s="86"/>
      <c r="O35" s="631">
        <f>SUM(O18:O31)*1000</f>
        <v>314.99999999999994</v>
      </c>
      <c r="P35" s="382" t="s">
        <v>120</v>
      </c>
    </row>
    <row r="36" spans="1:16" ht="6.75" customHeight="1" x14ac:dyDescent="0.2">
      <c r="A36" s="86"/>
      <c r="P36" s="83"/>
    </row>
    <row r="37" spans="1:16" ht="21" x14ac:dyDescent="0.2">
      <c r="A37" s="86"/>
      <c r="F37" s="902" t="s">
        <v>93</v>
      </c>
      <c r="G37" s="902"/>
      <c r="H37" s="902"/>
      <c r="I37" s="903">
        <f>ROUND(1/((G33+K33)/2+K5+K6),2)</f>
        <v>0.12</v>
      </c>
      <c r="J37" s="904"/>
      <c r="K37" s="905" t="s">
        <v>306</v>
      </c>
      <c r="L37" s="906"/>
      <c r="P37" s="83"/>
    </row>
    <row r="38" spans="1:16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</row>
  </sheetData>
  <mergeCells count="62">
    <mergeCell ref="K7:L7"/>
    <mergeCell ref="M1:P1"/>
    <mergeCell ref="C3:F3"/>
    <mergeCell ref="D5:I5"/>
    <mergeCell ref="K5:L5"/>
    <mergeCell ref="K6:L6"/>
    <mergeCell ref="C11:F12"/>
    <mergeCell ref="G11:H11"/>
    <mergeCell ref="I11:J11"/>
    <mergeCell ref="G12:H12"/>
    <mergeCell ref="I12:J12"/>
    <mergeCell ref="G9:H9"/>
    <mergeCell ref="I9:J9"/>
    <mergeCell ref="C10:F10"/>
    <mergeCell ref="G10:H10"/>
    <mergeCell ref="I10:J10"/>
    <mergeCell ref="A13:B13"/>
    <mergeCell ref="C13:D13"/>
    <mergeCell ref="E13:F13"/>
    <mergeCell ref="G13:J13"/>
    <mergeCell ref="A14:B14"/>
    <mergeCell ref="C14:D14"/>
    <mergeCell ref="A15:F15"/>
    <mergeCell ref="G16:J16"/>
    <mergeCell ref="K16:M16"/>
    <mergeCell ref="B17:C17"/>
    <mergeCell ref="A18:A19"/>
    <mergeCell ref="B18:C18"/>
    <mergeCell ref="B19:C19"/>
    <mergeCell ref="A20:A21"/>
    <mergeCell ref="B20:C20"/>
    <mergeCell ref="L20:L21"/>
    <mergeCell ref="M20:M21"/>
    <mergeCell ref="O20:O21"/>
    <mergeCell ref="B21:C21"/>
    <mergeCell ref="A22:A23"/>
    <mergeCell ref="B22:C22"/>
    <mergeCell ref="L22:L23"/>
    <mergeCell ref="M22:M23"/>
    <mergeCell ref="O22:O23"/>
    <mergeCell ref="B23:C23"/>
    <mergeCell ref="A24:A25"/>
    <mergeCell ref="B24:C24"/>
    <mergeCell ref="L24:L25"/>
    <mergeCell ref="M24:M25"/>
    <mergeCell ref="O24:O25"/>
    <mergeCell ref="B25:C25"/>
    <mergeCell ref="A26:A27"/>
    <mergeCell ref="B26:C26"/>
    <mergeCell ref="B27:C27"/>
    <mergeCell ref="A28:A29"/>
    <mergeCell ref="B28:C28"/>
    <mergeCell ref="B29:C29"/>
    <mergeCell ref="F37:H37"/>
    <mergeCell ref="I37:J37"/>
    <mergeCell ref="K37:L37"/>
    <mergeCell ref="A30:A31"/>
    <mergeCell ref="B30:C30"/>
    <mergeCell ref="B31:C31"/>
    <mergeCell ref="K32:M32"/>
    <mergeCell ref="G33:J33"/>
    <mergeCell ref="K33:M3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&amp;C&amp;A&amp;R&amp;F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34"/>
  <sheetViews>
    <sheetView topLeftCell="B1" workbookViewId="0">
      <selection activeCell="X8" sqref="X8"/>
    </sheetView>
  </sheetViews>
  <sheetFormatPr defaultColWidth="9.140625" defaultRowHeight="12.75" x14ac:dyDescent="0.2"/>
  <cols>
    <col min="1" max="1" width="2.42578125" style="2" customWidth="1"/>
    <col min="2" max="2" width="13.7109375" style="2" customWidth="1"/>
    <col min="3" max="3" width="7.42578125" style="2" customWidth="1"/>
    <col min="4" max="4" width="6.140625" style="2" customWidth="1"/>
    <col min="5" max="6" width="5.85546875" style="2" customWidth="1"/>
    <col min="7" max="7" width="6.7109375" style="2" customWidth="1"/>
    <col min="8" max="8" width="6.42578125" style="2" customWidth="1"/>
    <col min="9" max="9" width="5.42578125" style="2" customWidth="1"/>
    <col min="10" max="10" width="6.42578125" style="2" customWidth="1"/>
    <col min="11" max="11" width="6.5703125" style="2" customWidth="1"/>
    <col min="12" max="12" width="1" style="2" customWidth="1"/>
    <col min="13" max="13" width="6.85546875" style="2" customWidth="1"/>
    <col min="14" max="14" width="3.7109375" style="2" customWidth="1"/>
    <col min="15" max="16384" width="9.140625" style="2"/>
  </cols>
  <sheetData>
    <row r="1" spans="1:14" ht="21" x14ac:dyDescent="0.35">
      <c r="A1" s="1"/>
      <c r="B1" s="1"/>
      <c r="C1" s="1"/>
      <c r="D1" s="1"/>
      <c r="E1" s="1"/>
      <c r="F1" s="1"/>
      <c r="G1" s="1"/>
      <c r="H1" s="1"/>
      <c r="I1" s="1"/>
      <c r="J1" s="12"/>
      <c r="K1" s="12"/>
    </row>
    <row r="2" spans="1:14" ht="9.9499999999999993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  <c r="K2" s="80"/>
      <c r="L2" s="99"/>
      <c r="M2" s="99"/>
      <c r="N2" s="81"/>
    </row>
    <row r="3" spans="1:14" s="60" customFormat="1" ht="18.75" customHeight="1" x14ac:dyDescent="0.2">
      <c r="A3" s="82"/>
      <c r="B3" s="166">
        <v>4.2</v>
      </c>
      <c r="C3" s="1254" t="s">
        <v>228</v>
      </c>
      <c r="D3" s="1254"/>
      <c r="E3" s="1254"/>
      <c r="F3" s="1254"/>
      <c r="G3" s="1254"/>
      <c r="H3" s="1254"/>
      <c r="I3" s="1254"/>
      <c r="J3" s="1254"/>
      <c r="K3" s="1254"/>
      <c r="L3" s="1254"/>
      <c r="M3" s="1255"/>
      <c r="N3" s="68"/>
    </row>
    <row r="4" spans="1:14" s="60" customFormat="1" ht="15" x14ac:dyDescent="0.2">
      <c r="A4" s="82"/>
      <c r="B4" s="77"/>
      <c r="C4" s="62"/>
      <c r="D4" s="97"/>
      <c r="E4" s="97"/>
      <c r="F4" s="97"/>
      <c r="G4" s="97"/>
      <c r="H4" s="97"/>
      <c r="I4" s="97"/>
      <c r="J4" s="97"/>
      <c r="N4" s="68"/>
    </row>
    <row r="5" spans="1:14" s="60" customFormat="1" ht="15" customHeight="1" x14ac:dyDescent="0.25">
      <c r="A5" s="82"/>
      <c r="B5" s="1336" t="s">
        <v>109</v>
      </c>
      <c r="C5" s="1336"/>
      <c r="D5" s="1336"/>
      <c r="E5" s="1336"/>
      <c r="F5" s="1336"/>
      <c r="G5" s="1336"/>
      <c r="H5" s="164" t="s">
        <v>110</v>
      </c>
      <c r="I5" s="1284">
        <v>0.1</v>
      </c>
      <c r="J5" s="1285"/>
      <c r="K5" s="126"/>
      <c r="N5" s="68"/>
    </row>
    <row r="6" spans="1:14" s="60" customFormat="1" ht="15.75" x14ac:dyDescent="0.25">
      <c r="A6" s="82"/>
      <c r="B6" s="77"/>
      <c r="C6" s="62"/>
      <c r="D6" s="165"/>
      <c r="E6" s="165"/>
      <c r="F6" s="165"/>
      <c r="G6" s="165"/>
      <c r="H6" s="62" t="s">
        <v>95</v>
      </c>
      <c r="I6" s="1284">
        <v>0.1</v>
      </c>
      <c r="J6" s="1285"/>
      <c r="N6" s="68"/>
    </row>
    <row r="7" spans="1:14" s="60" customFormat="1" ht="15.75" x14ac:dyDescent="0.2">
      <c r="A7" s="82"/>
      <c r="B7" s="77"/>
      <c r="C7" s="62"/>
      <c r="D7" s="138"/>
      <c r="E7" s="138"/>
      <c r="F7" s="138"/>
      <c r="G7" s="138"/>
      <c r="H7" s="62" t="s">
        <v>126</v>
      </c>
      <c r="I7" s="1284">
        <v>0.3</v>
      </c>
      <c r="J7" s="1337"/>
      <c r="N7" s="68"/>
    </row>
    <row r="8" spans="1:14" s="60" customFormat="1" ht="15" x14ac:dyDescent="0.25">
      <c r="A8" s="82"/>
      <c r="B8" s="77"/>
      <c r="C8" s="62"/>
      <c r="D8" s="62"/>
      <c r="E8" s="62"/>
      <c r="F8" s="62"/>
      <c r="G8" s="1287"/>
      <c r="H8" s="1287"/>
      <c r="I8" s="62"/>
      <c r="J8"/>
      <c r="N8" s="68"/>
    </row>
    <row r="9" spans="1:14" s="60" customFormat="1" ht="15" x14ac:dyDescent="0.25">
      <c r="A9" s="82"/>
      <c r="B9" s="77"/>
      <c r="C9" s="1249" t="s">
        <v>8</v>
      </c>
      <c r="D9" s="1249"/>
      <c r="E9" s="1249"/>
      <c r="F9" s="1250"/>
      <c r="G9" s="1251">
        <v>0.6</v>
      </c>
      <c r="H9" s="1251"/>
      <c r="I9" s="62"/>
      <c r="J9"/>
      <c r="N9" s="68"/>
    </row>
    <row r="10" spans="1:14" s="60" customFormat="1" ht="15" customHeight="1" x14ac:dyDescent="0.25">
      <c r="A10" s="82"/>
      <c r="B10" s="1252" t="s">
        <v>103</v>
      </c>
      <c r="C10" s="1252"/>
      <c r="D10" s="1252"/>
      <c r="E10" s="1252"/>
      <c r="F10" s="1253"/>
      <c r="G10" s="1251">
        <v>0.52500000000000002</v>
      </c>
      <c r="H10" s="1251"/>
      <c r="I10" s="62"/>
      <c r="J10"/>
      <c r="N10" s="68"/>
    </row>
    <row r="11" spans="1:14" s="60" customFormat="1" ht="15" x14ac:dyDescent="0.25">
      <c r="A11" s="82"/>
      <c r="B11" s="1252"/>
      <c r="C11" s="1252"/>
      <c r="D11" s="1252"/>
      <c r="E11" s="1252"/>
      <c r="F11" s="1253"/>
      <c r="G11" s="1251">
        <v>7.4999999999999997E-2</v>
      </c>
      <c r="H11" s="1251"/>
      <c r="I11" s="62"/>
      <c r="J11"/>
      <c r="N11" s="68"/>
    </row>
    <row r="12" spans="1:14" x14ac:dyDescent="0.2">
      <c r="A12" s="1259"/>
      <c r="B12" s="1249"/>
      <c r="C12" s="1260"/>
      <c r="D12" s="1260"/>
      <c r="E12" s="1260"/>
      <c r="F12" s="1260"/>
      <c r="G12" s="1130"/>
      <c r="H12" s="1130"/>
      <c r="I12" s="103"/>
      <c r="J12" s="103"/>
      <c r="K12" s="103"/>
      <c r="N12" s="83"/>
    </row>
    <row r="13" spans="1:14" x14ac:dyDescent="0.2">
      <c r="A13" s="1267"/>
      <c r="B13" s="1252"/>
      <c r="C13" s="1260"/>
      <c r="D13" s="1260"/>
      <c r="E13" s="105"/>
      <c r="F13" s="106"/>
      <c r="G13" s="90" t="s">
        <v>0</v>
      </c>
      <c r="H13" s="90" t="s">
        <v>1</v>
      </c>
      <c r="I13" s="107"/>
      <c r="J13" s="104"/>
      <c r="K13" s="104"/>
      <c r="N13" s="83"/>
    </row>
    <row r="14" spans="1:14" x14ac:dyDescent="0.2">
      <c r="A14" s="1124" t="s">
        <v>102</v>
      </c>
      <c r="B14" s="1125"/>
      <c r="C14" s="1125"/>
      <c r="D14" s="1125"/>
      <c r="E14" s="1125"/>
      <c r="F14" s="1263"/>
      <c r="G14" s="94">
        <f>G10/G9</f>
        <v>0.87500000000000011</v>
      </c>
      <c r="H14" s="94">
        <f>G11/G9</f>
        <v>0.125</v>
      </c>
      <c r="I14" s="108"/>
      <c r="J14" s="104"/>
      <c r="K14" s="104"/>
      <c r="N14" s="83"/>
    </row>
    <row r="15" spans="1:14" ht="36.75" customHeight="1" x14ac:dyDescent="0.2">
      <c r="A15" s="109"/>
      <c r="B15" s="101"/>
      <c r="C15" s="101"/>
      <c r="D15" s="101"/>
      <c r="E15" s="101"/>
      <c r="F15" s="101"/>
      <c r="G15" s="1338" t="s">
        <v>107</v>
      </c>
      <c r="H15" s="1339"/>
      <c r="I15" s="1338" t="s">
        <v>108</v>
      </c>
      <c r="J15" s="1340"/>
      <c r="K15" s="1339"/>
      <c r="N15" s="83"/>
    </row>
    <row r="16" spans="1:14" ht="33.75" x14ac:dyDescent="0.2">
      <c r="A16" s="84"/>
      <c r="B16" s="1264" t="s">
        <v>6</v>
      </c>
      <c r="C16" s="1265"/>
      <c r="D16" s="91" t="s">
        <v>117</v>
      </c>
      <c r="E16" s="91" t="s">
        <v>116</v>
      </c>
      <c r="F16" s="102" t="s">
        <v>118</v>
      </c>
      <c r="G16" s="91" t="s">
        <v>98</v>
      </c>
      <c r="H16" s="91" t="s">
        <v>99</v>
      </c>
      <c r="I16" s="98" t="s">
        <v>4</v>
      </c>
      <c r="J16" s="91" t="s">
        <v>119</v>
      </c>
      <c r="K16" s="91" t="s">
        <v>115</v>
      </c>
      <c r="M16" s="91" t="s">
        <v>114</v>
      </c>
      <c r="N16" s="83"/>
    </row>
    <row r="17" spans="1:14" x14ac:dyDescent="0.2">
      <c r="A17" s="111">
        <v>1</v>
      </c>
      <c r="B17" s="134"/>
      <c r="C17" s="135"/>
      <c r="D17" s="116">
        <v>4.1000000000000002E-2</v>
      </c>
      <c r="E17" s="114">
        <v>8.0000000000000002E-3</v>
      </c>
      <c r="F17" s="92">
        <f>D17+E17</f>
        <v>4.9000000000000002E-2</v>
      </c>
      <c r="G17" s="93">
        <f>$M$17/$F$17</f>
        <v>5.1020408163265305</v>
      </c>
      <c r="H17" s="93">
        <f>$M$17/$F$17</f>
        <v>5.1020408163265305</v>
      </c>
      <c r="I17" s="72"/>
      <c r="J17" s="93">
        <f>F17</f>
        <v>4.9000000000000002E-2</v>
      </c>
      <c r="K17" s="93">
        <f>M17/J17</f>
        <v>5.1020408163265305</v>
      </c>
      <c r="M17" s="114">
        <v>0.25</v>
      </c>
      <c r="N17" s="83"/>
    </row>
    <row r="18" spans="1:14" hidden="1" x14ac:dyDescent="0.2">
      <c r="A18" s="111"/>
      <c r="B18" s="134"/>
      <c r="C18" s="135"/>
      <c r="D18" s="116"/>
      <c r="E18" s="114"/>
      <c r="F18" s="75">
        <v>1</v>
      </c>
      <c r="G18" s="93">
        <f>$M$18/$F$18</f>
        <v>0</v>
      </c>
      <c r="H18" s="93">
        <f>$M$18/$F$18</f>
        <v>0</v>
      </c>
      <c r="I18" s="72"/>
      <c r="J18" s="93">
        <f>F18</f>
        <v>1</v>
      </c>
      <c r="K18" s="93">
        <f>M18/J18</f>
        <v>0</v>
      </c>
      <c r="M18" s="114">
        <v>0</v>
      </c>
      <c r="N18" s="83"/>
    </row>
    <row r="19" spans="1:14" hidden="1" x14ac:dyDescent="0.2">
      <c r="A19" s="111"/>
      <c r="B19" s="136"/>
      <c r="C19" s="137"/>
      <c r="D19" s="116"/>
      <c r="E19" s="114"/>
      <c r="F19" s="75">
        <v>1</v>
      </c>
      <c r="G19" s="93">
        <f>$M$19/$F$19</f>
        <v>0</v>
      </c>
      <c r="H19" s="93">
        <f>$M$19/$F$19</f>
        <v>0</v>
      </c>
      <c r="I19" s="72"/>
      <c r="J19" s="93">
        <f>F19</f>
        <v>1</v>
      </c>
      <c r="K19" s="93">
        <f>M19/J19</f>
        <v>0</v>
      </c>
      <c r="M19" s="114">
        <v>0</v>
      </c>
      <c r="N19" s="83"/>
    </row>
    <row r="20" spans="1:14" x14ac:dyDescent="0.2">
      <c r="A20" s="1266">
        <v>2</v>
      </c>
      <c r="B20" s="134"/>
      <c r="C20" s="135"/>
      <c r="D20" s="116">
        <v>0.15</v>
      </c>
      <c r="E20" s="114">
        <v>0</v>
      </c>
      <c r="F20" s="92">
        <f t="shared" ref="F20:F26" si="0">D20+E20</f>
        <v>0.15</v>
      </c>
      <c r="G20" s="93"/>
      <c r="H20" s="93">
        <f>M20/F20</f>
        <v>0</v>
      </c>
      <c r="I20" s="93">
        <f>(G11*G9*2)/(G9*G9*2)</f>
        <v>0.125</v>
      </c>
      <c r="J20" s="1268">
        <f>(I20*F20)+(I21*F21)</f>
        <v>6.1624999999999999E-2</v>
      </c>
      <c r="K20" s="1268">
        <f>M20/J20</f>
        <v>0</v>
      </c>
      <c r="M20" s="1325"/>
      <c r="N20" s="83"/>
    </row>
    <row r="21" spans="1:14" x14ac:dyDescent="0.2">
      <c r="A21" s="1266"/>
      <c r="B21" s="134"/>
      <c r="C21" s="135"/>
      <c r="D21" s="116">
        <v>4.1000000000000002E-2</v>
      </c>
      <c r="E21" s="114">
        <v>8.0000000000000002E-3</v>
      </c>
      <c r="F21" s="92">
        <f t="shared" si="0"/>
        <v>4.9000000000000002E-2</v>
      </c>
      <c r="G21" s="93">
        <f>$M$20/$F$21</f>
        <v>0</v>
      </c>
      <c r="H21" s="93"/>
      <c r="I21" s="93">
        <f>(G10*G9*2)/(G9*G9*2)</f>
        <v>0.875</v>
      </c>
      <c r="J21" s="1268"/>
      <c r="K21" s="1268"/>
      <c r="M21" s="1326"/>
      <c r="N21" s="83"/>
    </row>
    <row r="22" spans="1:14" hidden="1" x14ac:dyDescent="0.2">
      <c r="A22" s="112">
        <v>3</v>
      </c>
      <c r="B22" s="1261" t="s">
        <v>7</v>
      </c>
      <c r="C22" s="1262"/>
      <c r="D22" s="116">
        <v>0.17</v>
      </c>
      <c r="E22" s="114">
        <v>0</v>
      </c>
      <c r="F22" s="92">
        <f t="shared" si="0"/>
        <v>0.17</v>
      </c>
      <c r="G22" s="93">
        <f>$M$22/$F$22</f>
        <v>0</v>
      </c>
      <c r="H22" s="93">
        <f>$M$22/$F$22</f>
        <v>0</v>
      </c>
      <c r="I22" s="93"/>
      <c r="J22" s="113">
        <f>F22</f>
        <v>0.17</v>
      </c>
      <c r="K22" s="113">
        <f>M22/J22</f>
        <v>0</v>
      </c>
      <c r="M22" s="114"/>
      <c r="N22" s="83"/>
    </row>
    <row r="23" spans="1:14" hidden="1" x14ac:dyDescent="0.2">
      <c r="A23" s="112">
        <v>4</v>
      </c>
      <c r="B23" s="1261" t="s">
        <v>104</v>
      </c>
      <c r="C23" s="1262"/>
      <c r="D23" s="116">
        <v>0.15</v>
      </c>
      <c r="E23" s="114">
        <v>0</v>
      </c>
      <c r="F23" s="92">
        <f t="shared" si="0"/>
        <v>0.15</v>
      </c>
      <c r="G23" s="93">
        <f>$M$23/$F$23</f>
        <v>0</v>
      </c>
      <c r="H23" s="93">
        <f>$M$23/$F$23</f>
        <v>0</v>
      </c>
      <c r="I23" s="72"/>
      <c r="J23" s="93">
        <f>F23</f>
        <v>0.15</v>
      </c>
      <c r="K23" s="113">
        <f>M23/J23</f>
        <v>0</v>
      </c>
      <c r="M23" s="114"/>
      <c r="N23" s="83"/>
    </row>
    <row r="24" spans="1:14" hidden="1" x14ac:dyDescent="0.2">
      <c r="A24" s="112">
        <v>5</v>
      </c>
      <c r="B24" s="1261" t="s">
        <v>41</v>
      </c>
      <c r="C24" s="1262"/>
      <c r="D24" s="116">
        <v>0.17</v>
      </c>
      <c r="E24" s="114">
        <v>0</v>
      </c>
      <c r="F24" s="92">
        <f t="shared" si="0"/>
        <v>0.17</v>
      </c>
      <c r="G24" s="93">
        <f>$M$24/$F$24</f>
        <v>0</v>
      </c>
      <c r="H24" s="93">
        <f>$M$24/$F$24</f>
        <v>0</v>
      </c>
      <c r="I24" s="72"/>
      <c r="J24" s="113">
        <v>1</v>
      </c>
      <c r="K24" s="113">
        <f>M24/J24</f>
        <v>0</v>
      </c>
      <c r="M24" s="114"/>
      <c r="N24" s="83"/>
    </row>
    <row r="25" spans="1:14" hidden="1" x14ac:dyDescent="0.2">
      <c r="A25" s="112"/>
      <c r="B25" s="1279"/>
      <c r="C25" s="1280"/>
      <c r="D25" s="73">
        <v>1</v>
      </c>
      <c r="E25" s="63">
        <v>0</v>
      </c>
      <c r="F25" s="92">
        <f t="shared" si="0"/>
        <v>1</v>
      </c>
      <c r="G25" s="93">
        <f>$M$25/$F$25</f>
        <v>0</v>
      </c>
      <c r="H25" s="93">
        <f>$M$25/$F$25</f>
        <v>0</v>
      </c>
      <c r="I25" s="72"/>
      <c r="J25" s="93">
        <f>F25</f>
        <v>1</v>
      </c>
      <c r="K25" s="113">
        <f>M25/J25</f>
        <v>0</v>
      </c>
      <c r="M25" s="73">
        <v>0</v>
      </c>
      <c r="N25" s="83"/>
    </row>
    <row r="26" spans="1:14" hidden="1" x14ac:dyDescent="0.2">
      <c r="A26" s="112"/>
      <c r="B26" s="1279"/>
      <c r="C26" s="1280"/>
      <c r="D26" s="73">
        <v>1</v>
      </c>
      <c r="E26" s="63">
        <v>0</v>
      </c>
      <c r="F26" s="92">
        <f t="shared" si="0"/>
        <v>1</v>
      </c>
      <c r="G26" s="93">
        <f>$M$26/$F$26</f>
        <v>0</v>
      </c>
      <c r="H26" s="93">
        <f>$M$26/$F$26</f>
        <v>0</v>
      </c>
      <c r="I26" s="72"/>
      <c r="J26" s="93">
        <v>1</v>
      </c>
      <c r="K26" s="113">
        <f>M26/J26</f>
        <v>0</v>
      </c>
      <c r="M26" s="73">
        <v>0</v>
      </c>
      <c r="N26" s="83"/>
    </row>
    <row r="27" spans="1:14" x14ac:dyDescent="0.2">
      <c r="A27" s="85"/>
      <c r="B27" s="60"/>
      <c r="C27" s="60"/>
      <c r="D27" s="60"/>
      <c r="E27" s="60"/>
      <c r="F27" s="61"/>
      <c r="G27" s="93">
        <f>SUM(G17:G26)+$I$5+$I$6+$I$7</f>
        <v>5.6020408163265296</v>
      </c>
      <c r="H27" s="93">
        <f>SUM(H17:H26)+$I$5+$I$6+$I$7</f>
        <v>5.6020408163265296</v>
      </c>
      <c r="I27" s="1271"/>
      <c r="J27" s="1272"/>
      <c r="K27" s="1273"/>
      <c r="N27" s="83"/>
    </row>
    <row r="28" spans="1:14" x14ac:dyDescent="0.2">
      <c r="A28" s="85"/>
      <c r="B28" s="60"/>
      <c r="C28" s="64"/>
      <c r="D28" s="95"/>
      <c r="E28" s="95"/>
      <c r="F28" s="95"/>
      <c r="G28" s="1274">
        <f>ROUND(1/((G14/G27)+(H14/H27)),3)</f>
        <v>5.6020000000000003</v>
      </c>
      <c r="H28" s="1275"/>
      <c r="I28" s="1276">
        <f>SUM(K17:K26)+I5+I6+I7</f>
        <v>5.6020408163265296</v>
      </c>
      <c r="J28" s="1277"/>
      <c r="K28" s="1278"/>
      <c r="N28" s="83"/>
    </row>
    <row r="29" spans="1:14" ht="15.75" x14ac:dyDescent="0.2">
      <c r="A29" s="85"/>
      <c r="B29" s="60"/>
      <c r="C29" s="74"/>
      <c r="D29" s="76"/>
      <c r="E29" s="95"/>
      <c r="F29" s="95"/>
      <c r="G29" s="96"/>
      <c r="H29" s="96"/>
      <c r="I29" s="96"/>
      <c r="J29" s="96"/>
      <c r="K29" s="96"/>
      <c r="M29" s="64" t="s">
        <v>106</v>
      </c>
      <c r="N29" s="83"/>
    </row>
    <row r="30" spans="1:14" ht="15" x14ac:dyDescent="0.2">
      <c r="A30" s="86"/>
      <c r="M30" s="199">
        <f>SUM(M17:M26)*1000</f>
        <v>250</v>
      </c>
      <c r="N30" s="118" t="s">
        <v>120</v>
      </c>
    </row>
    <row r="31" spans="1:14" x14ac:dyDescent="0.2">
      <c r="A31" s="86"/>
      <c r="N31" s="83"/>
    </row>
    <row r="32" spans="1:14" ht="15" x14ac:dyDescent="0.2">
      <c r="A32" s="86"/>
      <c r="E32" s="1236" t="s">
        <v>93</v>
      </c>
      <c r="F32" s="1236"/>
      <c r="G32" s="1236"/>
      <c r="H32" s="236">
        <f>ROUND(1/((G28+I28)/2),3)</f>
        <v>0.17899999999999999</v>
      </c>
      <c r="I32" s="237"/>
      <c r="J32" s="1269" t="s">
        <v>96</v>
      </c>
      <c r="K32" s="1270"/>
      <c r="N32" s="83"/>
    </row>
    <row r="33" spans="1:14" x14ac:dyDescent="0.2">
      <c r="A33" s="87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9"/>
    </row>
    <row r="34" spans="1:14" ht="22.5" customHeight="1" x14ac:dyDescent="0.2"/>
  </sheetData>
  <mergeCells count="35">
    <mergeCell ref="E32:G32"/>
    <mergeCell ref="J32:K32"/>
    <mergeCell ref="I27:K27"/>
    <mergeCell ref="G28:H28"/>
    <mergeCell ref="I28:K28"/>
    <mergeCell ref="B25:C25"/>
    <mergeCell ref="B26:C26"/>
    <mergeCell ref="B23:C23"/>
    <mergeCell ref="B24:C24"/>
    <mergeCell ref="A20:A21"/>
    <mergeCell ref="A13:B13"/>
    <mergeCell ref="C13:D13"/>
    <mergeCell ref="J20:J21"/>
    <mergeCell ref="K20:K21"/>
    <mergeCell ref="B22:C22"/>
    <mergeCell ref="A14:F14"/>
    <mergeCell ref="G15:H15"/>
    <mergeCell ref="I15:K15"/>
    <mergeCell ref="B16:C16"/>
    <mergeCell ref="M20:M21"/>
    <mergeCell ref="C3:M3"/>
    <mergeCell ref="A12:B12"/>
    <mergeCell ref="C12:D12"/>
    <mergeCell ref="E12:F12"/>
    <mergeCell ref="G12:H12"/>
    <mergeCell ref="G8:H8"/>
    <mergeCell ref="B10:F11"/>
    <mergeCell ref="I5:J5"/>
    <mergeCell ref="I6:J6"/>
    <mergeCell ref="C9:F9"/>
    <mergeCell ref="G9:H9"/>
    <mergeCell ref="G10:H10"/>
    <mergeCell ref="G11:H11"/>
    <mergeCell ref="B5:G5"/>
    <mergeCell ref="I7:J7"/>
  </mergeCells>
  <pageMargins left="0.9055118110236221" right="0.70866141732283472" top="0.74803149606299213" bottom="0.74803149606299213" header="0.31496062992125984" footer="0.31496062992125984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38"/>
  <sheetViews>
    <sheetView topLeftCell="A6" workbookViewId="0">
      <selection sqref="A1:P1"/>
    </sheetView>
  </sheetViews>
  <sheetFormatPr defaultColWidth="9.140625" defaultRowHeight="12.75" x14ac:dyDescent="0.2"/>
  <cols>
    <col min="1" max="1" width="4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140625" style="2"/>
    <col min="16" max="16" width="4.42578125" style="2" customWidth="1"/>
    <col min="17" max="16384" width="9.140625" style="2"/>
  </cols>
  <sheetData>
    <row r="1" spans="1:16" ht="34.5" customHeight="1" x14ac:dyDescent="0.2">
      <c r="A1" s="1345" t="s">
        <v>105</v>
      </c>
      <c r="B1" s="1346"/>
      <c r="C1" s="1346"/>
      <c r="D1" s="1346"/>
      <c r="E1" s="1346"/>
      <c r="F1" s="1346"/>
      <c r="G1" s="1346"/>
      <c r="H1" s="1346"/>
      <c r="I1" s="1346"/>
      <c r="J1" s="1346"/>
      <c r="K1" s="1346"/>
      <c r="L1" s="1346"/>
      <c r="M1" s="1346"/>
      <c r="N1" s="1346"/>
      <c r="O1" s="1346"/>
      <c r="P1" s="1347"/>
    </row>
    <row r="2" spans="1:16" ht="9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2"/>
      <c r="M2" s="12"/>
    </row>
    <row r="3" spans="1:16" ht="15" customHeight="1" x14ac:dyDescent="0.35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80"/>
      <c r="M3" s="80"/>
      <c r="N3" s="99"/>
      <c r="O3" s="99"/>
      <c r="P3" s="81"/>
    </row>
    <row r="4" spans="1:16" s="60" customFormat="1" ht="15" x14ac:dyDescent="0.2">
      <c r="A4" s="82"/>
      <c r="B4" s="77"/>
      <c r="C4" s="119">
        <v>1</v>
      </c>
      <c r="D4" s="1136" t="s">
        <v>122</v>
      </c>
      <c r="E4" s="1137"/>
      <c r="F4" s="1137"/>
      <c r="G4" s="1137"/>
      <c r="H4" s="1137"/>
      <c r="I4" s="1137"/>
      <c r="J4" s="1137"/>
      <c r="K4" s="1137"/>
      <c r="L4" s="1138"/>
      <c r="P4" s="68"/>
    </row>
    <row r="5" spans="1:16" s="60" customFormat="1" ht="9" customHeight="1" x14ac:dyDescent="0.2">
      <c r="A5" s="82"/>
      <c r="B5" s="77"/>
      <c r="C5" s="62"/>
      <c r="D5" s="97"/>
      <c r="E5" s="97"/>
      <c r="F5" s="97"/>
      <c r="G5" s="97"/>
      <c r="H5" s="97"/>
      <c r="I5" s="97"/>
      <c r="J5" s="97"/>
      <c r="K5" s="97"/>
      <c r="L5" s="97"/>
      <c r="P5" s="68"/>
    </row>
    <row r="6" spans="1:16" s="60" customFormat="1" ht="15" x14ac:dyDescent="0.25">
      <c r="A6" s="82"/>
      <c r="B6" s="77"/>
      <c r="C6" s="62"/>
      <c r="D6" s="1329" t="s">
        <v>109</v>
      </c>
      <c r="E6" s="1329"/>
      <c r="F6" s="1329"/>
      <c r="G6" s="1329"/>
      <c r="H6" s="1329"/>
      <c r="I6" s="1329"/>
      <c r="J6" s="100" t="s">
        <v>110</v>
      </c>
      <c r="K6" s="1284">
        <v>0.17</v>
      </c>
      <c r="L6" s="1285"/>
      <c r="M6" s="121">
        <v>0.1</v>
      </c>
      <c r="P6" s="68"/>
    </row>
    <row r="7" spans="1:16" s="60" customFormat="1" ht="15" x14ac:dyDescent="0.25">
      <c r="A7" s="82"/>
      <c r="B7" s="77"/>
      <c r="C7" s="62"/>
      <c r="D7" s="62"/>
      <c r="E7" s="62"/>
      <c r="F7" s="62"/>
      <c r="G7" s="62"/>
      <c r="H7" s="62"/>
      <c r="I7" s="62"/>
      <c r="J7" s="100" t="s">
        <v>111</v>
      </c>
      <c r="K7" s="1257">
        <v>0.04</v>
      </c>
      <c r="L7" s="1286"/>
      <c r="P7" s="68"/>
    </row>
    <row r="8" spans="1:16" s="60" customFormat="1" ht="8.25" customHeight="1" x14ac:dyDescent="0.25">
      <c r="A8" s="82"/>
      <c r="B8" s="77"/>
      <c r="C8" s="62"/>
      <c r="D8" s="62"/>
      <c r="E8" s="62"/>
      <c r="F8" s="62"/>
      <c r="G8" s="62"/>
      <c r="H8" s="62"/>
      <c r="I8" s="62"/>
      <c r="J8" s="100"/>
      <c r="K8" s="62"/>
      <c r="L8"/>
      <c r="P8" s="68"/>
    </row>
    <row r="9" spans="1:16" s="60" customFormat="1" ht="9.75" customHeight="1" x14ac:dyDescent="0.25">
      <c r="A9" s="82"/>
      <c r="B9" s="77"/>
      <c r="C9" s="62"/>
      <c r="D9" s="62"/>
      <c r="E9" s="62"/>
      <c r="F9" s="62"/>
      <c r="G9" s="1287" t="s">
        <v>112</v>
      </c>
      <c r="H9" s="1287"/>
      <c r="I9" s="1287" t="s">
        <v>113</v>
      </c>
      <c r="J9" s="1287"/>
      <c r="K9" s="62"/>
      <c r="L9"/>
      <c r="P9" s="68"/>
    </row>
    <row r="10" spans="1:16" s="60" customFormat="1" ht="15" customHeight="1" x14ac:dyDescent="0.25">
      <c r="A10" s="82"/>
      <c r="B10" s="77"/>
      <c r="C10" s="1249" t="s">
        <v>8</v>
      </c>
      <c r="D10" s="1249"/>
      <c r="E10" s="1249"/>
      <c r="F10" s="1250"/>
      <c r="G10" s="1251">
        <v>0.3</v>
      </c>
      <c r="H10" s="1251"/>
      <c r="I10" s="1251">
        <v>0.6</v>
      </c>
      <c r="J10" s="1251"/>
      <c r="K10" s="62"/>
      <c r="L10"/>
      <c r="P10" s="68"/>
    </row>
    <row r="11" spans="1:16" s="60" customFormat="1" ht="15" customHeight="1" x14ac:dyDescent="0.25">
      <c r="A11" s="82"/>
      <c r="B11" s="77"/>
      <c r="C11" s="1252" t="s">
        <v>103</v>
      </c>
      <c r="D11" s="1252"/>
      <c r="E11" s="1252"/>
      <c r="F11" s="1253"/>
      <c r="G11" s="1251">
        <v>0.25</v>
      </c>
      <c r="H11" s="1251"/>
      <c r="I11" s="1251">
        <v>0.55000000000000004</v>
      </c>
      <c r="J11" s="1251"/>
      <c r="K11" s="62"/>
      <c r="L11"/>
      <c r="P11" s="68"/>
    </row>
    <row r="12" spans="1:16" s="60" customFormat="1" ht="15" x14ac:dyDescent="0.25">
      <c r="A12" s="82"/>
      <c r="B12" s="77"/>
      <c r="C12" s="1252"/>
      <c r="D12" s="1252"/>
      <c r="E12" s="1252"/>
      <c r="F12" s="1253"/>
      <c r="G12" s="1251">
        <v>0.05</v>
      </c>
      <c r="H12" s="1251"/>
      <c r="I12" s="1251">
        <v>0.05</v>
      </c>
      <c r="J12" s="1251"/>
      <c r="K12" s="62"/>
      <c r="L12"/>
      <c r="P12" s="68"/>
    </row>
    <row r="13" spans="1:16" ht="6" customHeight="1" x14ac:dyDescent="0.2">
      <c r="A13" s="1259"/>
      <c r="B13" s="1249"/>
      <c r="C13" s="1260"/>
      <c r="D13" s="1260"/>
      <c r="E13" s="1260"/>
      <c r="F13" s="1260"/>
      <c r="G13" s="1130"/>
      <c r="H13" s="1130"/>
      <c r="I13" s="1130"/>
      <c r="J13" s="1130"/>
      <c r="K13" s="103"/>
      <c r="L13" s="103"/>
      <c r="M13" s="103"/>
      <c r="P13" s="83"/>
    </row>
    <row r="14" spans="1:16" ht="14.25" customHeight="1" x14ac:dyDescent="0.2">
      <c r="A14" s="1267"/>
      <c r="B14" s="1252"/>
      <c r="C14" s="1260"/>
      <c r="D14" s="1260"/>
      <c r="E14" s="105"/>
      <c r="F14" s="106"/>
      <c r="G14" s="90" t="s">
        <v>0</v>
      </c>
      <c r="H14" s="90" t="s">
        <v>1</v>
      </c>
      <c r="I14" s="90" t="s">
        <v>2</v>
      </c>
      <c r="J14" s="90" t="s">
        <v>3</v>
      </c>
      <c r="K14" s="107"/>
      <c r="L14" s="104"/>
      <c r="M14" s="104"/>
      <c r="P14" s="83"/>
    </row>
    <row r="15" spans="1:16" ht="14.25" customHeight="1" x14ac:dyDescent="0.2">
      <c r="A15" s="1124" t="s">
        <v>102</v>
      </c>
      <c r="B15" s="1125"/>
      <c r="C15" s="1125"/>
      <c r="D15" s="1125"/>
      <c r="E15" s="1125"/>
      <c r="F15" s="1263"/>
      <c r="G15" s="94">
        <f>(G11*I11)/(G10*I10)</f>
        <v>0.76388888888888895</v>
      </c>
      <c r="H15" s="94">
        <f>(G11*I12)/(G10*I10)</f>
        <v>6.9444444444444448E-2</v>
      </c>
      <c r="I15" s="94">
        <f>(G12*I11)/(G10*I10)</f>
        <v>0.15277777777777779</v>
      </c>
      <c r="J15" s="94">
        <f>(G12*I12)/(G10*I10)</f>
        <v>1.3888888888888892E-2</v>
      </c>
      <c r="K15" s="108"/>
      <c r="L15" s="104"/>
      <c r="M15" s="104"/>
      <c r="P15" s="83"/>
    </row>
    <row r="16" spans="1:16" ht="14.25" customHeight="1" x14ac:dyDescent="0.2">
      <c r="A16" s="109"/>
      <c r="B16" s="101"/>
      <c r="C16" s="101"/>
      <c r="D16" s="101"/>
      <c r="E16" s="101"/>
      <c r="F16" s="101"/>
      <c r="G16" s="1331" t="s">
        <v>107</v>
      </c>
      <c r="H16" s="1331"/>
      <c r="I16" s="1331"/>
      <c r="J16" s="1331"/>
      <c r="K16" s="1332" t="s">
        <v>108</v>
      </c>
      <c r="L16" s="1332"/>
      <c r="M16" s="1332"/>
      <c r="P16" s="83"/>
    </row>
    <row r="17" spans="1:16" ht="27" customHeight="1" x14ac:dyDescent="0.2">
      <c r="A17" s="84"/>
      <c r="B17" s="1264" t="s">
        <v>6</v>
      </c>
      <c r="C17" s="1265"/>
      <c r="D17" s="91" t="s">
        <v>117</v>
      </c>
      <c r="E17" s="91" t="s">
        <v>116</v>
      </c>
      <c r="F17" s="102" t="s">
        <v>118</v>
      </c>
      <c r="G17" s="91" t="s">
        <v>98</v>
      </c>
      <c r="H17" s="91" t="s">
        <v>99</v>
      </c>
      <c r="I17" s="91" t="s">
        <v>100</v>
      </c>
      <c r="J17" s="91" t="s">
        <v>101</v>
      </c>
      <c r="K17" s="90" t="s">
        <v>4</v>
      </c>
      <c r="L17" s="91" t="s">
        <v>119</v>
      </c>
      <c r="M17" s="91" t="s">
        <v>115</v>
      </c>
      <c r="O17" s="91" t="s">
        <v>114</v>
      </c>
      <c r="P17" s="83"/>
    </row>
    <row r="18" spans="1:16" x14ac:dyDescent="0.2">
      <c r="A18" s="1266">
        <v>1</v>
      </c>
      <c r="B18" s="1261" t="s">
        <v>121</v>
      </c>
      <c r="C18" s="1262"/>
      <c r="D18" s="116">
        <v>0.13</v>
      </c>
      <c r="E18" s="114">
        <v>0</v>
      </c>
      <c r="F18" s="92">
        <f>D18+E18</f>
        <v>0.13</v>
      </c>
      <c r="G18" s="93">
        <f>$O$18/$F$18</f>
        <v>0.19230769230769232</v>
      </c>
      <c r="H18" s="93">
        <f>$O$18/$F$18</f>
        <v>0.19230769230769232</v>
      </c>
      <c r="I18" s="93">
        <f>$O$18/$F$18</f>
        <v>0.19230769230769232</v>
      </c>
      <c r="J18" s="93">
        <f>$O$18/$F$18</f>
        <v>0.19230769230769232</v>
      </c>
      <c r="K18" s="72"/>
      <c r="L18" s="72">
        <f>F18</f>
        <v>0.13</v>
      </c>
      <c r="M18" s="93">
        <f>O18/L18</f>
        <v>0.19230769230769232</v>
      </c>
      <c r="O18" s="116">
        <v>2.5000000000000001E-2</v>
      </c>
      <c r="P18" s="83"/>
    </row>
    <row r="19" spans="1:16" hidden="1" x14ac:dyDescent="0.2">
      <c r="A19" s="1266"/>
      <c r="B19" s="117"/>
      <c r="C19" s="116"/>
      <c r="D19" s="116"/>
      <c r="E19" s="114"/>
      <c r="F19" s="75">
        <v>1</v>
      </c>
      <c r="G19" s="93">
        <f>C19/F19</f>
        <v>0</v>
      </c>
      <c r="H19" s="93">
        <f>C19/F19</f>
        <v>0</v>
      </c>
      <c r="I19" s="93"/>
      <c r="J19" s="93"/>
      <c r="K19" s="72"/>
      <c r="L19" s="72"/>
      <c r="M19" s="72"/>
      <c r="O19" s="116">
        <v>0</v>
      </c>
      <c r="P19" s="83"/>
    </row>
    <row r="20" spans="1:16" x14ac:dyDescent="0.2">
      <c r="A20" s="1266">
        <v>2</v>
      </c>
      <c r="B20" s="1261" t="s">
        <v>123</v>
      </c>
      <c r="C20" s="1262"/>
      <c r="D20" s="116">
        <v>0.13</v>
      </c>
      <c r="E20" s="114">
        <v>0</v>
      </c>
      <c r="F20" s="92">
        <f>D20+E20</f>
        <v>0.13</v>
      </c>
      <c r="G20" s="93"/>
      <c r="H20" s="93"/>
      <c r="I20" s="93">
        <f>$O$20/$F$20</f>
        <v>0.30769230769230771</v>
      </c>
      <c r="J20" s="93">
        <f>$O$20/$F$20</f>
        <v>0.30769230769230771</v>
      </c>
      <c r="K20" s="93">
        <f>(G12*I10*2)/(G10*I10*2)</f>
        <v>0.16666666666666666</v>
      </c>
      <c r="L20" s="1268"/>
      <c r="M20" s="1268">
        <f>(1/((K20/(O20/F20))+(K21/G21)))</f>
        <v>0.22173339199296083</v>
      </c>
      <c r="O20" s="116">
        <v>0.04</v>
      </c>
      <c r="P20" s="83"/>
    </row>
    <row r="21" spans="1:16" x14ac:dyDescent="0.2">
      <c r="A21" s="1266"/>
      <c r="B21" s="1261" t="s">
        <v>124</v>
      </c>
      <c r="C21" s="1262"/>
      <c r="D21" s="116"/>
      <c r="E21" s="114"/>
      <c r="F21" s="92"/>
      <c r="G21" s="120">
        <v>0.21</v>
      </c>
      <c r="H21" s="120">
        <v>0.21</v>
      </c>
      <c r="I21" s="93"/>
      <c r="J21" s="93"/>
      <c r="K21" s="93">
        <f>(G11*I10*2)/(G10*I10*2)</f>
        <v>0.83333333333333337</v>
      </c>
      <c r="L21" s="1268"/>
      <c r="M21" s="1268"/>
      <c r="O21" s="116"/>
      <c r="P21" s="83"/>
    </row>
    <row r="22" spans="1:16" x14ac:dyDescent="0.2">
      <c r="A22" s="1343">
        <v>3</v>
      </c>
      <c r="B22" s="1261" t="s">
        <v>7</v>
      </c>
      <c r="C22" s="1262"/>
      <c r="D22" s="116">
        <v>0.13</v>
      </c>
      <c r="E22" s="114">
        <v>0</v>
      </c>
      <c r="F22" s="92">
        <f>D22+E22</f>
        <v>0.13</v>
      </c>
      <c r="G22" s="93"/>
      <c r="H22" s="93">
        <f>$O$22/$F$22</f>
        <v>1.5384615384615385</v>
      </c>
      <c r="I22" s="93"/>
      <c r="J22" s="93">
        <f>$O$22/$F$22</f>
        <v>1.5384615384615385</v>
      </c>
      <c r="K22" s="93">
        <f>(I12*G10*2)/(I10*G10*2)</f>
        <v>8.3333333333333329E-2</v>
      </c>
      <c r="L22" s="1344">
        <f>ROUND((K22*F22)+(K23*F23),3)</f>
        <v>4.7E-2</v>
      </c>
      <c r="M22" s="1268">
        <f>ROUND(O22/L22,3)</f>
        <v>4.2549999999999999</v>
      </c>
      <c r="O22" s="116">
        <v>0.2</v>
      </c>
      <c r="P22" s="83"/>
    </row>
    <row r="23" spans="1:16" x14ac:dyDescent="0.2">
      <c r="A23" s="1343"/>
      <c r="B23" s="1261" t="s">
        <v>72</v>
      </c>
      <c r="C23" s="1262"/>
      <c r="D23" s="116">
        <v>3.6999999999999998E-2</v>
      </c>
      <c r="E23" s="114">
        <v>2E-3</v>
      </c>
      <c r="F23" s="92">
        <f>D23+E23</f>
        <v>3.9E-2</v>
      </c>
      <c r="G23" s="93">
        <f>$O$23/$F$23</f>
        <v>5.1282051282051286</v>
      </c>
      <c r="H23" s="93"/>
      <c r="I23" s="93">
        <f>$O$23/$F$23</f>
        <v>5.1282051282051286</v>
      </c>
      <c r="J23" s="93"/>
      <c r="K23" s="93">
        <f>(I11*G10*2)/(I10*G10*2)</f>
        <v>0.91666666666666674</v>
      </c>
      <c r="L23" s="1344"/>
      <c r="M23" s="1268"/>
      <c r="O23" s="116">
        <v>0.2</v>
      </c>
      <c r="P23" s="83"/>
    </row>
    <row r="24" spans="1:16" x14ac:dyDescent="0.2">
      <c r="A24" s="1343"/>
      <c r="B24" s="1261" t="s">
        <v>7</v>
      </c>
      <c r="C24" s="1262"/>
      <c r="D24" s="116">
        <v>0.13</v>
      </c>
      <c r="E24" s="114">
        <v>0</v>
      </c>
      <c r="F24" s="92">
        <f>D24+E24</f>
        <v>0.13</v>
      </c>
      <c r="G24" s="93"/>
      <c r="H24" s="93">
        <f>$O$24/$F$24</f>
        <v>0.23076923076923075</v>
      </c>
      <c r="I24" s="93"/>
      <c r="J24" s="93">
        <f>$O$24/$F$24</f>
        <v>0.23076923076923075</v>
      </c>
      <c r="K24" s="93">
        <f>(I12*G10*2)/(I10*G10*2)</f>
        <v>8.3333333333333329E-2</v>
      </c>
      <c r="L24" s="1344">
        <f>ROUND((K24*F24)+(K25*F25),3)</f>
        <v>4.1000000000000002E-2</v>
      </c>
      <c r="M24" s="1268">
        <f>ROUND(O24/L24,3)</f>
        <v>0.73199999999999998</v>
      </c>
      <c r="O24" s="116">
        <v>0.03</v>
      </c>
      <c r="P24" s="83"/>
    </row>
    <row r="25" spans="1:16" x14ac:dyDescent="0.2">
      <c r="A25" s="1343"/>
      <c r="B25" s="1261" t="s">
        <v>125</v>
      </c>
      <c r="C25" s="1262"/>
      <c r="D25" s="116">
        <v>3.2000000000000001E-2</v>
      </c>
      <c r="E25" s="114">
        <v>1E-3</v>
      </c>
      <c r="F25" s="92">
        <f>D25+E25</f>
        <v>3.3000000000000002E-2</v>
      </c>
      <c r="G25" s="93">
        <f>$O$25/$F$25</f>
        <v>0.90909090909090906</v>
      </c>
      <c r="H25" s="93"/>
      <c r="I25" s="93">
        <f>$O$25/$F$25</f>
        <v>0.90909090909090906</v>
      </c>
      <c r="J25" s="93"/>
      <c r="K25" s="93">
        <f>(I11*G10*2)/(I10*G10*2)</f>
        <v>0.91666666666666674</v>
      </c>
      <c r="L25" s="1344"/>
      <c r="M25" s="1268"/>
      <c r="O25" s="116">
        <v>0.03</v>
      </c>
      <c r="P25" s="83"/>
    </row>
    <row r="26" spans="1:16" x14ac:dyDescent="0.2">
      <c r="A26" s="1266">
        <v>5</v>
      </c>
      <c r="B26" s="1261"/>
      <c r="C26" s="1262"/>
      <c r="D26" s="116">
        <v>1</v>
      </c>
      <c r="E26" s="114">
        <v>0</v>
      </c>
      <c r="F26" s="92">
        <f t="shared" ref="F26:F31" si="0">D26+E26</f>
        <v>1</v>
      </c>
      <c r="G26" s="93">
        <f>$O$26/$F$26</f>
        <v>0</v>
      </c>
      <c r="H26" s="93">
        <f>$O$26/$F$26</f>
        <v>0</v>
      </c>
      <c r="I26" s="93">
        <f>$O$26/$F$26</f>
        <v>0</v>
      </c>
      <c r="J26" s="93">
        <f>$O$26/$F$26</f>
        <v>0</v>
      </c>
      <c r="K26" s="72"/>
      <c r="L26" s="1335">
        <v>1</v>
      </c>
      <c r="M26" s="1323">
        <f>ROUND((O26/L26),3)</f>
        <v>0</v>
      </c>
      <c r="O26" s="116">
        <v>0</v>
      </c>
      <c r="P26" s="83"/>
    </row>
    <row r="27" spans="1:16" x14ac:dyDescent="0.2">
      <c r="A27" s="1266"/>
      <c r="B27" s="1279"/>
      <c r="C27" s="1280"/>
      <c r="D27" s="73">
        <v>1</v>
      </c>
      <c r="E27" s="63">
        <v>0</v>
      </c>
      <c r="F27" s="92">
        <f t="shared" si="0"/>
        <v>1</v>
      </c>
      <c r="G27" s="93">
        <f>$O$27/$F$27</f>
        <v>0</v>
      </c>
      <c r="H27" s="93">
        <f>$O$27/$F$27</f>
        <v>0</v>
      </c>
      <c r="I27" s="93">
        <f>$O$27/$F$27</f>
        <v>0</v>
      </c>
      <c r="J27" s="93">
        <f>$O$27/$F$27</f>
        <v>0</v>
      </c>
      <c r="K27" s="72"/>
      <c r="L27" s="1335"/>
      <c r="M27" s="1324"/>
      <c r="O27" s="73">
        <v>0</v>
      </c>
      <c r="P27" s="83"/>
    </row>
    <row r="28" spans="1:16" x14ac:dyDescent="0.2">
      <c r="A28" s="1266">
        <v>6</v>
      </c>
      <c r="B28" s="1279"/>
      <c r="C28" s="1280"/>
      <c r="D28" s="73">
        <v>1</v>
      </c>
      <c r="E28" s="63">
        <v>0</v>
      </c>
      <c r="F28" s="92">
        <f t="shared" si="0"/>
        <v>1</v>
      </c>
      <c r="G28" s="93">
        <f>$O$28/$F$28</f>
        <v>0</v>
      </c>
      <c r="H28" s="93">
        <f>$O$28/$F$28</f>
        <v>0</v>
      </c>
      <c r="I28" s="93">
        <f>$O$28/$F$28</f>
        <v>0</v>
      </c>
      <c r="J28" s="93">
        <f>$O$28/$F$28</f>
        <v>0</v>
      </c>
      <c r="K28" s="72"/>
      <c r="L28" s="72">
        <f>F28</f>
        <v>1</v>
      </c>
      <c r="M28" s="1323">
        <f>ROUND(O28/L28,3)</f>
        <v>0</v>
      </c>
      <c r="O28" s="73">
        <v>0</v>
      </c>
      <c r="P28" s="83"/>
    </row>
    <row r="29" spans="1:16" x14ac:dyDescent="0.2">
      <c r="A29" s="1266"/>
      <c r="B29" s="1279"/>
      <c r="C29" s="1280"/>
      <c r="D29" s="73">
        <v>1</v>
      </c>
      <c r="E29" s="63">
        <v>0</v>
      </c>
      <c r="F29" s="92">
        <f t="shared" si="0"/>
        <v>1</v>
      </c>
      <c r="G29" s="93">
        <f>$O$29/$F$29</f>
        <v>0</v>
      </c>
      <c r="H29" s="93">
        <f>$O$29/$F$29</f>
        <v>0</v>
      </c>
      <c r="I29" s="93">
        <f>$O$29/$F$29</f>
        <v>0</v>
      </c>
      <c r="J29" s="93">
        <f>$O$29/$F$29</f>
        <v>0</v>
      </c>
      <c r="K29" s="72"/>
      <c r="L29" s="72">
        <v>1</v>
      </c>
      <c r="M29" s="1324"/>
      <c r="O29" s="73">
        <v>0</v>
      </c>
      <c r="P29" s="83"/>
    </row>
    <row r="30" spans="1:16" x14ac:dyDescent="0.2">
      <c r="A30" s="1266">
        <v>7</v>
      </c>
      <c r="B30" s="1279"/>
      <c r="C30" s="1280"/>
      <c r="D30" s="73">
        <v>1</v>
      </c>
      <c r="E30" s="63">
        <v>0</v>
      </c>
      <c r="F30" s="92">
        <f t="shared" si="0"/>
        <v>1</v>
      </c>
      <c r="G30" s="93">
        <f>$O$30/$F$30</f>
        <v>0</v>
      </c>
      <c r="H30" s="93">
        <f>$O$30/$F$30</f>
        <v>0</v>
      </c>
      <c r="I30" s="93">
        <f>$O$30/$F$30</f>
        <v>0</v>
      </c>
      <c r="J30" s="93">
        <f>$O$30/$F$30</f>
        <v>0</v>
      </c>
      <c r="K30" s="72"/>
      <c r="L30" s="72">
        <v>1</v>
      </c>
      <c r="M30" s="1323">
        <f>O30/L30</f>
        <v>0</v>
      </c>
      <c r="O30" s="73">
        <v>0</v>
      </c>
      <c r="P30" s="83"/>
    </row>
    <row r="31" spans="1:16" x14ac:dyDescent="0.2">
      <c r="A31" s="1266"/>
      <c r="B31" s="1279"/>
      <c r="C31" s="1280"/>
      <c r="D31" s="73">
        <v>1</v>
      </c>
      <c r="E31" s="63">
        <v>0</v>
      </c>
      <c r="F31" s="92">
        <f t="shared" si="0"/>
        <v>1</v>
      </c>
      <c r="G31" s="93">
        <f>$O$31/$F$31</f>
        <v>0</v>
      </c>
      <c r="H31" s="93">
        <f>$O$31/$F$31</f>
        <v>0</v>
      </c>
      <c r="I31" s="93">
        <f>$O$31/$F$31</f>
        <v>0</v>
      </c>
      <c r="J31" s="93">
        <f>$O$31/$F$31</f>
        <v>0</v>
      </c>
      <c r="K31" s="72"/>
      <c r="L31" s="72">
        <v>1</v>
      </c>
      <c r="M31" s="1324"/>
      <c r="O31" s="73">
        <v>0</v>
      </c>
      <c r="P31" s="83"/>
    </row>
    <row r="32" spans="1:16" x14ac:dyDescent="0.2">
      <c r="A32" s="85"/>
      <c r="B32" s="60"/>
      <c r="C32" s="60"/>
      <c r="D32" s="60"/>
      <c r="E32" s="60"/>
      <c r="F32" s="61"/>
      <c r="G32" s="93">
        <f>SUM(G18:G31)+$K$6+$K$7</f>
        <v>6.6496037296037303</v>
      </c>
      <c r="H32" s="93">
        <f>SUM(H18:H31)+$K$6+$K$7</f>
        <v>2.3815384615384616</v>
      </c>
      <c r="I32" s="93">
        <f>SUM(I18:I31)+$K$6+$K$7</f>
        <v>6.7472960372960378</v>
      </c>
      <c r="J32" s="93">
        <f>SUM(J18:J31)+$K$6+$K$7</f>
        <v>2.4792307692307691</v>
      </c>
      <c r="K32" s="1271"/>
      <c r="L32" s="1272"/>
      <c r="M32" s="1273"/>
      <c r="P32" s="83"/>
    </row>
    <row r="33" spans="1:16" x14ac:dyDescent="0.2">
      <c r="A33" s="85"/>
      <c r="B33" s="60"/>
      <c r="C33" s="64"/>
      <c r="D33" s="95"/>
      <c r="E33" s="95"/>
      <c r="F33" s="95"/>
      <c r="G33" s="1274">
        <f>ROUND(1/((G15/G32)+(H15/H32)+(I15/I32)+(J15/J32)),3)</f>
        <v>5.8040000000000003</v>
      </c>
      <c r="H33" s="1275"/>
      <c r="I33" s="1275"/>
      <c r="J33" s="1330"/>
      <c r="K33" s="1276">
        <f>SUM(M18:M31)+M6+K7</f>
        <v>5.5410410843006526</v>
      </c>
      <c r="L33" s="1277"/>
      <c r="M33" s="1278"/>
      <c r="P33" s="83"/>
    </row>
    <row r="34" spans="1:16" ht="12.75" customHeight="1" x14ac:dyDescent="0.2">
      <c r="A34" s="85"/>
      <c r="B34" s="60"/>
      <c r="C34" s="74"/>
      <c r="D34" s="76"/>
      <c r="E34" s="95"/>
      <c r="F34" s="95"/>
      <c r="G34" s="96"/>
      <c r="H34" s="96"/>
      <c r="I34" s="96"/>
      <c r="J34" s="96"/>
      <c r="K34" s="96"/>
      <c r="L34" s="96"/>
      <c r="M34" s="96"/>
      <c r="O34" s="64" t="s">
        <v>106</v>
      </c>
      <c r="P34" s="83"/>
    </row>
    <row r="35" spans="1:16" ht="15" x14ac:dyDescent="0.2">
      <c r="A35" s="86"/>
      <c r="O35" s="199">
        <f>SUM(O18:O31)*1000</f>
        <v>525</v>
      </c>
      <c r="P35" s="110" t="s">
        <v>120</v>
      </c>
    </row>
    <row r="36" spans="1:16" ht="6.75" customHeight="1" x14ac:dyDescent="0.2">
      <c r="A36" s="86"/>
      <c r="P36" s="83"/>
    </row>
    <row r="37" spans="1:16" ht="15" x14ac:dyDescent="0.2">
      <c r="A37" s="86"/>
      <c r="F37" s="1236" t="s">
        <v>93</v>
      </c>
      <c r="G37" s="1236"/>
      <c r="H37" s="1236"/>
      <c r="I37" s="1341">
        <f>ROUND(1/((G33+K33)/2),3)</f>
        <v>0.17599999999999999</v>
      </c>
      <c r="J37" s="1342"/>
      <c r="K37" s="1269" t="s">
        <v>96</v>
      </c>
      <c r="L37" s="1270"/>
      <c r="P37" s="83"/>
    </row>
    <row r="38" spans="1:16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</row>
  </sheetData>
  <mergeCells count="60">
    <mergeCell ref="G9:H9"/>
    <mergeCell ref="I9:J9"/>
    <mergeCell ref="A1:P1"/>
    <mergeCell ref="D4:L4"/>
    <mergeCell ref="D6:I6"/>
    <mergeCell ref="K6:L6"/>
    <mergeCell ref="K7:L7"/>
    <mergeCell ref="C10:F10"/>
    <mergeCell ref="G10:H10"/>
    <mergeCell ref="I10:J10"/>
    <mergeCell ref="C11:F12"/>
    <mergeCell ref="G11:H11"/>
    <mergeCell ref="I11:J11"/>
    <mergeCell ref="G12:H12"/>
    <mergeCell ref="I12:J12"/>
    <mergeCell ref="A13:B13"/>
    <mergeCell ref="C13:D13"/>
    <mergeCell ref="E13:F13"/>
    <mergeCell ref="G13:J13"/>
    <mergeCell ref="A14:B14"/>
    <mergeCell ref="C14:D14"/>
    <mergeCell ref="A15:F15"/>
    <mergeCell ref="G16:J16"/>
    <mergeCell ref="K16:M16"/>
    <mergeCell ref="B17:C17"/>
    <mergeCell ref="A18:A19"/>
    <mergeCell ref="B18:C18"/>
    <mergeCell ref="A20:A21"/>
    <mergeCell ref="B20:C20"/>
    <mergeCell ref="L20:L21"/>
    <mergeCell ref="M20:M21"/>
    <mergeCell ref="B21:C21"/>
    <mergeCell ref="B24:C24"/>
    <mergeCell ref="M24:M25"/>
    <mergeCell ref="B25:C25"/>
    <mergeCell ref="A26:A27"/>
    <mergeCell ref="B26:C26"/>
    <mergeCell ref="L26:L27"/>
    <mergeCell ref="M26:M27"/>
    <mergeCell ref="B27:C27"/>
    <mergeCell ref="A22:A25"/>
    <mergeCell ref="B22:C22"/>
    <mergeCell ref="L22:L23"/>
    <mergeCell ref="M22:M23"/>
    <mergeCell ref="B23:C23"/>
    <mergeCell ref="L24:L25"/>
    <mergeCell ref="A28:A29"/>
    <mergeCell ref="B28:C28"/>
    <mergeCell ref="M28:M29"/>
    <mergeCell ref="B29:C29"/>
    <mergeCell ref="A30:A31"/>
    <mergeCell ref="B30:C30"/>
    <mergeCell ref="M30:M31"/>
    <mergeCell ref="B31:C31"/>
    <mergeCell ref="K32:M32"/>
    <mergeCell ref="G33:J33"/>
    <mergeCell ref="K33:M33"/>
    <mergeCell ref="F37:H37"/>
    <mergeCell ref="I37:J37"/>
    <mergeCell ref="K37:L37"/>
  </mergeCells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1"/>
  <sheetViews>
    <sheetView topLeftCell="A11" workbookViewId="0">
      <selection activeCell="P32" sqref="P32"/>
    </sheetView>
  </sheetViews>
  <sheetFormatPr defaultColWidth="9.140625" defaultRowHeight="12.75" x14ac:dyDescent="0.2"/>
  <cols>
    <col min="1" max="1" width="4.140625" style="60" customWidth="1"/>
    <col min="2" max="2" width="8.140625" style="60" customWidth="1"/>
    <col min="3" max="4" width="7.7109375" style="60" customWidth="1"/>
    <col min="5" max="8" width="10.28515625" style="60" customWidth="1"/>
    <col min="9" max="9" width="1.5703125" style="60" customWidth="1"/>
    <col min="10" max="10" width="8.5703125" style="60" customWidth="1"/>
    <col min="11" max="11" width="5" style="60" customWidth="1"/>
    <col min="12" max="16384" width="9.140625" style="60"/>
  </cols>
  <sheetData>
    <row r="1" spans="1:11" ht="42" customHeight="1" x14ac:dyDescent="0.2">
      <c r="A1" s="1348" t="s">
        <v>105</v>
      </c>
      <c r="B1" s="1349"/>
      <c r="C1" s="1349"/>
      <c r="D1" s="1349"/>
      <c r="E1" s="1349"/>
      <c r="F1" s="1349"/>
      <c r="G1" s="1349"/>
      <c r="H1" s="1349"/>
      <c r="I1" s="1349"/>
      <c r="J1" s="1349"/>
      <c r="K1" s="1350"/>
    </row>
    <row r="3" spans="1:11" x14ac:dyDescent="0.2">
      <c r="A3" s="156"/>
      <c r="B3" s="65"/>
      <c r="C3" s="65"/>
      <c r="D3" s="65"/>
      <c r="E3" s="65"/>
      <c r="F3" s="65"/>
      <c r="G3" s="65"/>
      <c r="H3" s="65"/>
      <c r="I3" s="65"/>
      <c r="J3" s="65"/>
      <c r="K3" s="66"/>
    </row>
    <row r="4" spans="1:11" ht="15.75" customHeight="1" x14ac:dyDescent="0.2">
      <c r="A4" s="157"/>
      <c r="B4" s="155">
        <v>1</v>
      </c>
      <c r="C4" s="1136" t="s">
        <v>152</v>
      </c>
      <c r="D4" s="1137"/>
      <c r="E4" s="1137"/>
      <c r="F4" s="1137"/>
      <c r="G4" s="1137"/>
      <c r="H4" s="1137"/>
      <c r="I4" s="1137"/>
      <c r="J4" s="1138"/>
      <c r="K4" s="68"/>
    </row>
    <row r="5" spans="1:11" x14ac:dyDescent="0.2">
      <c r="A5" s="82"/>
      <c r="B5" s="62"/>
      <c r="C5" s="62"/>
      <c r="D5" s="62"/>
      <c r="E5" s="62"/>
      <c r="F5" s="62"/>
      <c r="G5" s="62"/>
      <c r="H5" s="62"/>
      <c r="I5" s="62"/>
      <c r="J5" s="62"/>
      <c r="K5" s="68"/>
    </row>
    <row r="6" spans="1:11" ht="15.75" x14ac:dyDescent="0.25">
      <c r="A6" s="82"/>
      <c r="B6" s="1242" t="s">
        <v>97</v>
      </c>
      <c r="C6" s="1242"/>
      <c r="D6" s="1242"/>
      <c r="E6" s="1242"/>
      <c r="F6" s="62" t="s">
        <v>94</v>
      </c>
      <c r="G6" s="1257">
        <v>0.17</v>
      </c>
      <c r="H6" s="1351"/>
      <c r="I6" s="1258"/>
      <c r="J6" s="133"/>
      <c r="K6" s="68"/>
    </row>
    <row r="7" spans="1:11" ht="15.75" x14ac:dyDescent="0.25">
      <c r="A7" s="82"/>
      <c r="B7" s="62"/>
      <c r="C7" s="62"/>
      <c r="D7" s="62"/>
      <c r="E7" s="62"/>
      <c r="F7" s="62" t="s">
        <v>95</v>
      </c>
      <c r="G7" s="1257">
        <v>0.04</v>
      </c>
      <c r="H7" s="1351"/>
      <c r="I7" s="1258"/>
      <c r="J7" s="133"/>
      <c r="K7" s="68"/>
    </row>
    <row r="8" spans="1:11" x14ac:dyDescent="0.2">
      <c r="A8" s="158"/>
      <c r="B8" s="144"/>
      <c r="C8" s="144"/>
      <c r="D8" s="144"/>
      <c r="E8" s="144"/>
      <c r="F8" s="144"/>
      <c r="G8" s="144"/>
      <c r="H8" s="129"/>
      <c r="I8" s="129"/>
      <c r="J8" s="129"/>
      <c r="K8" s="159"/>
    </row>
    <row r="9" spans="1:11" x14ac:dyDescent="0.2">
      <c r="A9" s="158"/>
      <c r="B9" s="144"/>
      <c r="C9" s="144"/>
      <c r="D9" s="1231" t="s">
        <v>155</v>
      </c>
      <c r="E9" s="1231"/>
      <c r="F9" s="1231"/>
      <c r="G9" s="129" t="s">
        <v>145</v>
      </c>
      <c r="H9" s="167">
        <v>0.4</v>
      </c>
      <c r="I9" s="129"/>
      <c r="J9" s="129"/>
      <c r="K9" s="159"/>
    </row>
    <row r="10" spans="1:11" ht="13.5" x14ac:dyDescent="0.2">
      <c r="A10" s="160"/>
      <c r="B10" s="149"/>
      <c r="C10" s="149"/>
      <c r="D10" s="1232" t="s">
        <v>156</v>
      </c>
      <c r="E10" s="1232"/>
      <c r="F10" s="1232"/>
      <c r="G10" s="132" t="s">
        <v>9</v>
      </c>
      <c r="H10" s="122">
        <v>69.7</v>
      </c>
      <c r="I10" s="132"/>
      <c r="K10" s="68"/>
    </row>
    <row r="11" spans="1:11" x14ac:dyDescent="0.2">
      <c r="A11" s="160"/>
      <c r="B11" s="150"/>
      <c r="C11" s="149"/>
      <c r="D11" s="1232" t="s">
        <v>157</v>
      </c>
      <c r="E11" s="1232"/>
      <c r="F11" s="1232"/>
      <c r="G11" s="130" t="s">
        <v>129</v>
      </c>
      <c r="H11" s="115">
        <v>42.3</v>
      </c>
      <c r="I11" s="130"/>
      <c r="K11" s="68"/>
    </row>
    <row r="12" spans="1:11" x14ac:dyDescent="0.2">
      <c r="A12" s="160"/>
      <c r="B12" s="150"/>
      <c r="C12" s="151"/>
      <c r="D12" s="1233" t="s">
        <v>158</v>
      </c>
      <c r="E12" s="1233"/>
      <c r="F12" s="1233"/>
      <c r="G12" s="130" t="s">
        <v>130</v>
      </c>
      <c r="H12" s="120">
        <f>ROUND(H10/(0.5*H11),2)</f>
        <v>3.3</v>
      </c>
      <c r="I12" s="130"/>
      <c r="K12" s="68"/>
    </row>
    <row r="13" spans="1:11" x14ac:dyDescent="0.2">
      <c r="A13" s="160"/>
      <c r="B13" s="150"/>
      <c r="C13" s="148"/>
      <c r="D13" s="150"/>
      <c r="E13" s="150"/>
      <c r="F13" s="150"/>
      <c r="G13" s="131"/>
      <c r="K13" s="68"/>
    </row>
    <row r="14" spans="1:11" x14ac:dyDescent="0.2">
      <c r="A14" s="160"/>
      <c r="B14" s="1232" t="s">
        <v>133</v>
      </c>
      <c r="C14" s="1232"/>
      <c r="D14" s="1232"/>
      <c r="E14" s="1232"/>
      <c r="F14" s="1232"/>
      <c r="G14" s="139" t="s">
        <v>10</v>
      </c>
      <c r="H14" s="140">
        <v>2</v>
      </c>
      <c r="I14" s="145"/>
      <c r="K14" s="68"/>
    </row>
    <row r="15" spans="1:11" x14ac:dyDescent="0.2">
      <c r="A15" s="85"/>
      <c r="G15" s="1229"/>
      <c r="H15" s="1229"/>
      <c r="I15" s="131"/>
      <c r="K15" s="68"/>
    </row>
    <row r="16" spans="1:11" ht="33" customHeight="1" x14ac:dyDescent="0.2">
      <c r="A16" s="67"/>
      <c r="B16" s="1230" t="s">
        <v>6</v>
      </c>
      <c r="C16" s="1230"/>
      <c r="D16" s="1230"/>
      <c r="E16" s="143" t="s">
        <v>134</v>
      </c>
      <c r="F16" s="143" t="s">
        <v>136</v>
      </c>
      <c r="G16" s="143" t="s">
        <v>135</v>
      </c>
      <c r="H16" s="143" t="s">
        <v>137</v>
      </c>
      <c r="I16" s="143"/>
      <c r="J16" s="143" t="s">
        <v>138</v>
      </c>
      <c r="K16" s="68"/>
    </row>
    <row r="17" spans="1:11" x14ac:dyDescent="0.2">
      <c r="A17" s="109">
        <v>1</v>
      </c>
      <c r="B17" s="1122" t="s">
        <v>148</v>
      </c>
      <c r="C17" s="1122"/>
      <c r="D17" s="1122"/>
      <c r="E17" s="121">
        <v>0.17</v>
      </c>
      <c r="F17" s="128">
        <v>0</v>
      </c>
      <c r="G17" s="93">
        <f t="shared" ref="G17:G23" si="0">E17+F17</f>
        <v>0.17</v>
      </c>
      <c r="H17" s="72">
        <f>ROUND(J17/G17,3)</f>
        <v>5.8999999999999997E-2</v>
      </c>
      <c r="I17" s="142"/>
      <c r="J17" s="128">
        <v>0.01</v>
      </c>
      <c r="K17" s="68"/>
    </row>
    <row r="18" spans="1:11" x14ac:dyDescent="0.2">
      <c r="A18" s="109">
        <v>2</v>
      </c>
      <c r="B18" s="1122" t="s">
        <v>150</v>
      </c>
      <c r="C18" s="1122"/>
      <c r="D18" s="1122"/>
      <c r="E18" s="121">
        <v>0.15</v>
      </c>
      <c r="F18" s="128">
        <v>0</v>
      </c>
      <c r="G18" s="93">
        <f t="shared" si="0"/>
        <v>0.15</v>
      </c>
      <c r="H18" s="72">
        <f t="shared" ref="H18:H23" si="1">ROUND(J18/G18,3)</f>
        <v>3.3000000000000002E-2</v>
      </c>
      <c r="I18" s="142"/>
      <c r="J18" s="128">
        <v>5.0000000000000001E-3</v>
      </c>
      <c r="K18" s="161"/>
    </row>
    <row r="19" spans="1:11" x14ac:dyDescent="0.2">
      <c r="A19" s="109">
        <v>3</v>
      </c>
      <c r="B19" s="1122" t="s">
        <v>149</v>
      </c>
      <c r="C19" s="1122"/>
      <c r="D19" s="1122"/>
      <c r="E19" s="121">
        <v>0.9</v>
      </c>
      <c r="F19" s="128">
        <v>0</v>
      </c>
      <c r="G19" s="93">
        <f t="shared" si="0"/>
        <v>0.9</v>
      </c>
      <c r="H19" s="72">
        <f t="shared" si="1"/>
        <v>5.6000000000000001E-2</v>
      </c>
      <c r="I19" s="142"/>
      <c r="J19" s="128">
        <v>0.05</v>
      </c>
      <c r="K19" s="68"/>
    </row>
    <row r="20" spans="1:11" x14ac:dyDescent="0.2">
      <c r="A20" s="109">
        <v>4</v>
      </c>
      <c r="B20" s="1122" t="s">
        <v>151</v>
      </c>
      <c r="C20" s="1122"/>
      <c r="D20" s="1122"/>
      <c r="E20" s="121">
        <v>3.5999999999999997E-2</v>
      </c>
      <c r="F20" s="128">
        <v>0.01</v>
      </c>
      <c r="G20" s="93">
        <f t="shared" si="0"/>
        <v>4.5999999999999999E-2</v>
      </c>
      <c r="H20" s="72">
        <f t="shared" si="1"/>
        <v>1.087</v>
      </c>
      <c r="I20" s="142"/>
      <c r="J20" s="128">
        <v>0.05</v>
      </c>
      <c r="K20" s="68"/>
    </row>
    <row r="21" spans="1:11" x14ac:dyDescent="0.2">
      <c r="A21" s="109">
        <v>5</v>
      </c>
      <c r="B21" s="1122" t="s">
        <v>11</v>
      </c>
      <c r="C21" s="1122"/>
      <c r="D21" s="1122"/>
      <c r="E21" s="168">
        <v>2</v>
      </c>
      <c r="F21" s="128">
        <v>0</v>
      </c>
      <c r="G21" s="93">
        <f t="shared" si="0"/>
        <v>2</v>
      </c>
      <c r="H21" s="72">
        <f t="shared" si="1"/>
        <v>0.05</v>
      </c>
      <c r="I21" s="142"/>
      <c r="J21" s="128">
        <v>0.1</v>
      </c>
      <c r="K21" s="68"/>
    </row>
    <row r="22" spans="1:11" hidden="1" x14ac:dyDescent="0.2">
      <c r="A22" s="109">
        <v>6</v>
      </c>
      <c r="B22" s="1122"/>
      <c r="C22" s="1122"/>
      <c r="D22" s="1122"/>
      <c r="E22" s="117">
        <v>1</v>
      </c>
      <c r="F22" s="146">
        <v>0</v>
      </c>
      <c r="G22" s="147">
        <f t="shared" si="0"/>
        <v>1</v>
      </c>
      <c r="H22" s="72">
        <f t="shared" si="1"/>
        <v>0</v>
      </c>
      <c r="I22" s="142"/>
      <c r="J22" s="128"/>
      <c r="K22" s="68"/>
    </row>
    <row r="23" spans="1:11" hidden="1" x14ac:dyDescent="0.2">
      <c r="A23" s="109">
        <v>7</v>
      </c>
      <c r="B23" s="1122"/>
      <c r="C23" s="1122"/>
      <c r="D23" s="1122"/>
      <c r="E23" s="117">
        <v>1</v>
      </c>
      <c r="F23" s="146">
        <v>0</v>
      </c>
      <c r="G23" s="147">
        <f t="shared" si="0"/>
        <v>1</v>
      </c>
      <c r="H23" s="72">
        <f t="shared" si="1"/>
        <v>0</v>
      </c>
      <c r="I23" s="142"/>
      <c r="J23" s="128"/>
      <c r="K23" s="68"/>
    </row>
    <row r="24" spans="1:11" x14ac:dyDescent="0.2">
      <c r="A24" s="67"/>
      <c r="B24" s="1123"/>
      <c r="C24" s="1123"/>
      <c r="D24" s="1123"/>
      <c r="E24" s="1123"/>
      <c r="F24" s="1123"/>
      <c r="G24" s="1123"/>
      <c r="H24" s="131"/>
      <c r="I24" s="131"/>
      <c r="J24" s="64" t="s">
        <v>106</v>
      </c>
      <c r="K24" s="68"/>
    </row>
    <row r="25" spans="1:11" ht="15" x14ac:dyDescent="0.2">
      <c r="A25" s="67"/>
      <c r="B25" s="141"/>
      <c r="C25" s="141"/>
      <c r="D25" s="141"/>
      <c r="E25" s="141"/>
      <c r="F25" s="141"/>
      <c r="G25" s="141"/>
      <c r="H25" s="131"/>
      <c r="I25" s="131"/>
      <c r="J25" s="199">
        <f>ROUND(SUM(J17:J23)*1000,0)</f>
        <v>215</v>
      </c>
      <c r="K25" s="68" t="s">
        <v>120</v>
      </c>
    </row>
    <row r="26" spans="1:11" x14ac:dyDescent="0.2">
      <c r="A26" s="67"/>
      <c r="B26" s="141"/>
      <c r="C26" s="141"/>
      <c r="D26" s="141"/>
      <c r="E26" s="141"/>
      <c r="F26" s="141"/>
      <c r="G26" s="141"/>
      <c r="H26" s="131"/>
      <c r="I26" s="131"/>
      <c r="K26" s="68"/>
    </row>
    <row r="27" spans="1:11" ht="13.5" x14ac:dyDescent="0.2">
      <c r="A27" s="1237" t="s">
        <v>159</v>
      </c>
      <c r="B27" s="1233"/>
      <c r="C27" s="1233"/>
      <c r="D27" s="1233"/>
      <c r="E27" s="1233"/>
      <c r="F27" s="1233"/>
      <c r="G27" s="154" t="s">
        <v>141</v>
      </c>
      <c r="H27" s="153">
        <f>SUM(H17:H24)+G6+G7</f>
        <v>1.4949999999999999</v>
      </c>
      <c r="I27" s="131"/>
      <c r="K27" s="161"/>
    </row>
    <row r="28" spans="1:11" ht="15.75" x14ac:dyDescent="0.2">
      <c r="A28" s="67"/>
      <c r="B28" s="1233" t="s">
        <v>160</v>
      </c>
      <c r="C28" s="1233"/>
      <c r="D28" s="1233"/>
      <c r="E28" s="1233"/>
      <c r="F28" s="1233"/>
      <c r="G28" s="139" t="s">
        <v>142</v>
      </c>
      <c r="H28" s="203">
        <f>H9+(H14*H27)</f>
        <v>3.3899999999999997</v>
      </c>
      <c r="I28" s="131"/>
      <c r="K28" s="68"/>
    </row>
    <row r="29" spans="1:11" ht="15.75" x14ac:dyDescent="0.2">
      <c r="A29" s="67"/>
      <c r="B29" s="1352" t="s">
        <v>153</v>
      </c>
      <c r="C29" s="1352"/>
      <c r="D29" s="1352"/>
      <c r="E29" s="1352"/>
      <c r="F29" s="1352"/>
      <c r="G29" s="139" t="s">
        <v>154</v>
      </c>
      <c r="H29" s="113">
        <f>IF(H12&gt;H28,H14/((0.457*H12)+H28),(2*H14/((3.14*H12)+H28)))*(LN((3.14*H12/H28)+1))</f>
        <v>0.40731656389999693</v>
      </c>
      <c r="I29" s="1128"/>
      <c r="J29" s="1128"/>
      <c r="K29" s="162"/>
    </row>
    <row r="30" spans="1:11" x14ac:dyDescent="0.2">
      <c r="A30" s="67"/>
      <c r="B30" s="202"/>
      <c r="C30" s="202"/>
      <c r="D30" s="202"/>
      <c r="E30" s="202"/>
      <c r="F30" s="202"/>
      <c r="G30" s="139"/>
      <c r="H30" s="96"/>
      <c r="I30" s="201"/>
      <c r="J30" s="201"/>
      <c r="K30" s="162"/>
    </row>
    <row r="31" spans="1:11" ht="15.75" x14ac:dyDescent="0.2">
      <c r="A31" s="67"/>
      <c r="B31" s="1352" t="s">
        <v>161</v>
      </c>
      <c r="C31" s="1352"/>
      <c r="D31" s="1352"/>
      <c r="E31" s="1352"/>
      <c r="F31" s="1352"/>
      <c r="G31" s="139" t="s">
        <v>162</v>
      </c>
      <c r="H31" s="205">
        <v>0.1</v>
      </c>
      <c r="I31" s="201"/>
      <c r="J31" s="201"/>
      <c r="K31" s="162"/>
    </row>
    <row r="32" spans="1:11" ht="14.25" x14ac:dyDescent="0.2">
      <c r="A32" s="67"/>
      <c r="B32" s="1352" t="s">
        <v>163</v>
      </c>
      <c r="C32" s="1352"/>
      <c r="D32" s="1352"/>
      <c r="E32" s="1352"/>
      <c r="F32" s="1352"/>
      <c r="G32" s="204" t="s">
        <v>182</v>
      </c>
      <c r="H32" s="205">
        <v>3.6999999999999998E-2</v>
      </c>
      <c r="I32" s="201"/>
      <c r="J32" s="201"/>
      <c r="K32" s="162"/>
    </row>
    <row r="33" spans="1:11" ht="14.25" x14ac:dyDescent="0.2">
      <c r="A33" s="67"/>
      <c r="B33" s="1352" t="s">
        <v>164</v>
      </c>
      <c r="C33" s="1352"/>
      <c r="D33" s="1352"/>
      <c r="E33" s="1352"/>
      <c r="F33" s="1352"/>
      <c r="G33" s="204" t="s">
        <v>165</v>
      </c>
      <c r="H33" s="205">
        <v>5.0000000000000001E-3</v>
      </c>
      <c r="I33" s="201"/>
      <c r="J33" s="201"/>
      <c r="K33" s="162"/>
    </row>
    <row r="34" spans="1:11" ht="15.75" x14ac:dyDescent="0.2">
      <c r="A34" s="67"/>
      <c r="B34" s="1352" t="s">
        <v>167</v>
      </c>
      <c r="C34" s="1352"/>
      <c r="D34" s="1352"/>
      <c r="E34" s="1352"/>
      <c r="F34" s="1352"/>
      <c r="G34" s="139" t="s">
        <v>166</v>
      </c>
      <c r="H34" s="113">
        <f>H31/(H32+H33)</f>
        <v>2.3809523809523814</v>
      </c>
      <c r="I34" s="201"/>
      <c r="J34" s="201"/>
      <c r="K34" s="162"/>
    </row>
    <row r="35" spans="1:11" ht="14.25" x14ac:dyDescent="0.2">
      <c r="A35" s="67"/>
      <c r="B35" s="1352" t="s">
        <v>168</v>
      </c>
      <c r="C35" s="1352"/>
      <c r="D35" s="1352"/>
      <c r="E35" s="1352"/>
      <c r="F35" s="1352"/>
      <c r="G35" s="139" t="s">
        <v>169</v>
      </c>
      <c r="H35" s="113">
        <f>H34-(H31/H14)</f>
        <v>2.3309523809523816</v>
      </c>
      <c r="I35" s="201"/>
      <c r="J35" s="201"/>
      <c r="K35" s="162"/>
    </row>
    <row r="36" spans="1:11" x14ac:dyDescent="0.2">
      <c r="A36" s="67"/>
      <c r="B36" s="1352" t="s">
        <v>170</v>
      </c>
      <c r="C36" s="1352"/>
      <c r="D36" s="1352"/>
      <c r="E36" s="1352"/>
      <c r="F36" s="1352"/>
      <c r="G36" s="139" t="s">
        <v>171</v>
      </c>
      <c r="H36" s="113">
        <f>H35*H14</f>
        <v>4.6619047619047631</v>
      </c>
      <c r="I36" s="201"/>
      <c r="J36" s="201"/>
      <c r="K36" s="162"/>
    </row>
    <row r="37" spans="1:11" x14ac:dyDescent="0.2">
      <c r="A37" s="67"/>
      <c r="B37" s="1352" t="s">
        <v>174</v>
      </c>
      <c r="C37" s="1352"/>
      <c r="D37" s="1352"/>
      <c r="E37" s="1352"/>
      <c r="F37" s="1352"/>
      <c r="G37" s="139" t="s">
        <v>42</v>
      </c>
      <c r="H37" s="206">
        <v>1</v>
      </c>
      <c r="I37" s="201"/>
      <c r="J37" s="201"/>
      <c r="K37" s="162"/>
    </row>
    <row r="38" spans="1:11" x14ac:dyDescent="0.2">
      <c r="A38" s="67"/>
      <c r="B38" s="1352" t="s">
        <v>175</v>
      </c>
      <c r="C38" s="1352"/>
      <c r="D38" s="1352"/>
      <c r="E38" s="1352"/>
      <c r="F38" s="1352"/>
      <c r="G38" s="204" t="s">
        <v>172</v>
      </c>
      <c r="H38" s="113">
        <f>-H14/3.14*((LN((2*H37/H28)+1)-LN(((2*H37/(H28+H36))+1))))</f>
        <v>-0.15405222819165965</v>
      </c>
      <c r="I38" s="201"/>
      <c r="J38" s="201"/>
      <c r="K38" s="162"/>
    </row>
    <row r="39" spans="1:11" x14ac:dyDescent="0.2">
      <c r="A39" s="67"/>
      <c r="B39" s="202"/>
      <c r="C39" s="202"/>
      <c r="D39" s="202"/>
      <c r="E39" s="202"/>
      <c r="F39" s="202"/>
      <c r="G39" s="139"/>
      <c r="H39" s="96"/>
      <c r="I39" s="201"/>
      <c r="J39" s="201"/>
      <c r="K39" s="162"/>
    </row>
    <row r="40" spans="1:11" ht="15" x14ac:dyDescent="0.2">
      <c r="A40" s="67"/>
      <c r="B40" s="202"/>
      <c r="C40" s="202"/>
      <c r="D40" s="202"/>
      <c r="E40" s="202"/>
      <c r="F40" s="202"/>
      <c r="G40" s="207" t="s">
        <v>93</v>
      </c>
      <c r="H40" s="200">
        <f>H29+((2*H38)/H12)</f>
        <v>0.31395157711717292</v>
      </c>
      <c r="I40" s="1126" t="s">
        <v>147</v>
      </c>
      <c r="J40" s="1127"/>
      <c r="K40" s="162"/>
    </row>
    <row r="41" spans="1:11" x14ac:dyDescent="0.2">
      <c r="A41" s="208"/>
      <c r="B41" s="209"/>
      <c r="C41" s="209"/>
      <c r="D41" s="209"/>
      <c r="E41" s="209"/>
      <c r="F41" s="209"/>
      <c r="G41" s="210"/>
      <c r="H41" s="211"/>
      <c r="I41" s="212"/>
      <c r="J41" s="212"/>
      <c r="K41" s="213"/>
    </row>
  </sheetData>
  <mergeCells count="33">
    <mergeCell ref="B38:F38"/>
    <mergeCell ref="I40:J40"/>
    <mergeCell ref="B33:F33"/>
    <mergeCell ref="B34:F34"/>
    <mergeCell ref="B35:F35"/>
    <mergeCell ref="B36:F36"/>
    <mergeCell ref="B37:F37"/>
    <mergeCell ref="B31:F31"/>
    <mergeCell ref="B32:F32"/>
    <mergeCell ref="B24:G24"/>
    <mergeCell ref="A27:F27"/>
    <mergeCell ref="B28:F28"/>
    <mergeCell ref="B29:F29"/>
    <mergeCell ref="I29:J29"/>
    <mergeCell ref="D9:F9"/>
    <mergeCell ref="D10:F10"/>
    <mergeCell ref="D11:F11"/>
    <mergeCell ref="D12:F12"/>
    <mergeCell ref="B14:F14"/>
    <mergeCell ref="G15:H15"/>
    <mergeCell ref="B17:D17"/>
    <mergeCell ref="B16:D16"/>
    <mergeCell ref="B19:D19"/>
    <mergeCell ref="B18:D18"/>
    <mergeCell ref="B20:D20"/>
    <mergeCell ref="B21:D21"/>
    <mergeCell ref="B22:D22"/>
    <mergeCell ref="B23:D23"/>
    <mergeCell ref="A1:K1"/>
    <mergeCell ref="C4:J4"/>
    <mergeCell ref="B6:E6"/>
    <mergeCell ref="G6:I6"/>
    <mergeCell ref="G7:I7"/>
  </mergeCells>
  <pageMargins left="0.9055118110236221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C108-AC3B-4AF0-B6CE-8D41345AF653}">
  <dimension ref="A1:W264"/>
  <sheetViews>
    <sheetView showGridLines="0" view="pageBreakPreview" zoomScaleNormal="100" zoomScaleSheetLayoutView="100" workbookViewId="0">
      <selection activeCell="N290" sqref="N290"/>
    </sheetView>
  </sheetViews>
  <sheetFormatPr defaultColWidth="9.140625" defaultRowHeight="12.75" x14ac:dyDescent="0.2"/>
  <cols>
    <col min="1" max="1" width="3.28515625" style="335" customWidth="1"/>
    <col min="2" max="2" width="8.7109375" style="2" customWidth="1"/>
    <col min="3" max="3" width="9" style="2" customWidth="1"/>
    <col min="4" max="4" width="7.7109375" style="2" customWidth="1"/>
    <col min="5" max="5" width="5.85546875" style="2" customWidth="1"/>
    <col min="6" max="6" width="5.7109375" style="2" customWidth="1"/>
    <col min="7" max="7" width="9.7109375" style="2" customWidth="1"/>
    <col min="8" max="8" width="6.85546875" style="2" customWidth="1"/>
    <col min="9" max="9" width="6.140625" style="2" customWidth="1"/>
    <col min="10" max="10" width="6.42578125" style="2" customWidth="1"/>
    <col min="11" max="11" width="6.85546875" style="2" customWidth="1"/>
    <col min="12" max="12" width="0.85546875" style="2" customWidth="1"/>
    <col min="13" max="13" width="7.7109375" style="2" customWidth="1"/>
    <col min="14" max="14" width="4.85546875" style="2" customWidth="1"/>
    <col min="15" max="16" width="9.140625" style="2"/>
    <col min="17" max="17" width="20.28515625" style="2" bestFit="1" customWidth="1"/>
    <col min="18" max="20" width="9.140625" style="2"/>
    <col min="21" max="21" width="13.7109375" style="2" bestFit="1" customWidth="1"/>
    <col min="22" max="16384" width="9.140625" style="2"/>
  </cols>
  <sheetData>
    <row r="1" spans="1:23" ht="15" customHeight="1" x14ac:dyDescent="0.2"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1:23" ht="18.75" hidden="1" customHeight="1" x14ac:dyDescent="0.2">
      <c r="A2" s="337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99"/>
      <c r="M2" s="99"/>
      <c r="N2" s="81"/>
      <c r="Q2" s="385" t="s">
        <v>823</v>
      </c>
      <c r="R2" s="495">
        <v>2</v>
      </c>
      <c r="U2" s="495" t="s">
        <v>422</v>
      </c>
      <c r="V2" s="99">
        <v>0.72</v>
      </c>
      <c r="W2" s="495">
        <v>0.72</v>
      </c>
    </row>
    <row r="3" spans="1:23" ht="15.75" hidden="1" x14ac:dyDescent="0.2">
      <c r="A3" s="339"/>
      <c r="B3" s="387"/>
      <c r="C3" s="868" t="s">
        <v>520</v>
      </c>
      <c r="D3" s="868"/>
      <c r="E3" s="868"/>
      <c r="F3" s="868"/>
      <c r="G3" s="868"/>
      <c r="H3" s="868"/>
      <c r="I3" s="868"/>
      <c r="J3" s="868"/>
      <c r="K3" s="868"/>
      <c r="L3" s="868"/>
      <c r="M3" s="869"/>
      <c r="N3" s="83"/>
      <c r="Q3" s="86" t="s">
        <v>496</v>
      </c>
      <c r="R3" s="496">
        <v>0.2</v>
      </c>
      <c r="U3" s="496" t="s">
        <v>486</v>
      </c>
      <c r="W3" s="496">
        <v>0.68</v>
      </c>
    </row>
    <row r="4" spans="1:23" ht="9" hidden="1" customHeight="1" x14ac:dyDescent="0.2">
      <c r="A4" s="339"/>
      <c r="B4" s="341"/>
      <c r="C4" s="341"/>
      <c r="D4" s="341"/>
      <c r="E4" s="341"/>
      <c r="F4" s="341"/>
      <c r="G4" s="341"/>
      <c r="H4" s="341"/>
      <c r="I4" s="341"/>
      <c r="J4" s="341"/>
      <c r="K4" s="341"/>
      <c r="N4" s="83"/>
      <c r="Q4" s="86" t="s">
        <v>497</v>
      </c>
      <c r="R4" s="496">
        <v>0.3</v>
      </c>
      <c r="U4" s="496" t="s">
        <v>498</v>
      </c>
      <c r="W4" s="496">
        <v>3.6999999999999998E-2</v>
      </c>
    </row>
    <row r="5" spans="1:23" ht="15" hidden="1" x14ac:dyDescent="0.25">
      <c r="A5" s="339"/>
      <c r="B5" s="341"/>
      <c r="C5" s="870" t="s">
        <v>299</v>
      </c>
      <c r="D5" s="870"/>
      <c r="E5" s="870"/>
      <c r="F5" s="870"/>
      <c r="G5" s="870"/>
      <c r="H5" s="870"/>
      <c r="I5" s="341" t="s">
        <v>300</v>
      </c>
      <c r="J5" s="843">
        <v>0.13</v>
      </c>
      <c r="K5" s="928"/>
      <c r="N5" s="83"/>
      <c r="Q5" s="86" t="s">
        <v>443</v>
      </c>
      <c r="R5" s="496">
        <v>0.2</v>
      </c>
      <c r="U5" s="496" t="s">
        <v>497</v>
      </c>
      <c r="W5" s="496">
        <v>3.7999999999999999E-2</v>
      </c>
    </row>
    <row r="6" spans="1:23" ht="15" hidden="1" x14ac:dyDescent="0.25">
      <c r="A6" s="339"/>
      <c r="B6" s="341"/>
      <c r="C6" s="870"/>
      <c r="D6" s="870"/>
      <c r="E6" s="870"/>
      <c r="F6" s="870"/>
      <c r="G6" s="870"/>
      <c r="H6" s="870"/>
      <c r="I6" s="341" t="s">
        <v>301</v>
      </c>
      <c r="J6" s="843">
        <v>0.04</v>
      </c>
      <c r="K6" s="928"/>
      <c r="N6" s="83"/>
      <c r="Q6" s="86" t="s">
        <v>828</v>
      </c>
      <c r="R6" s="496">
        <v>0.26</v>
      </c>
      <c r="U6" s="496" t="s">
        <v>404</v>
      </c>
      <c r="V6" s="2">
        <v>0.64</v>
      </c>
      <c r="W6" s="496">
        <v>0.09</v>
      </c>
    </row>
    <row r="7" spans="1:23" ht="9" hidden="1" customHeight="1" x14ac:dyDescent="0.2">
      <c r="A7" s="339"/>
      <c r="J7" s="762"/>
      <c r="K7" s="762"/>
      <c r="N7" s="83"/>
      <c r="Q7" s="86" t="s">
        <v>404</v>
      </c>
      <c r="R7" s="496">
        <v>0.64</v>
      </c>
      <c r="U7" s="496" t="s">
        <v>427</v>
      </c>
      <c r="V7" s="2">
        <v>3.5999999999999997E-2</v>
      </c>
      <c r="W7" s="496">
        <v>3.7999999999999999E-2</v>
      </c>
    </row>
    <row r="8" spans="1:23" ht="13.5" hidden="1" x14ac:dyDescent="0.25">
      <c r="A8" s="339"/>
      <c r="B8" s="907" t="s">
        <v>6</v>
      </c>
      <c r="C8" s="907"/>
      <c r="D8" s="907"/>
      <c r="E8" s="929" t="s">
        <v>515</v>
      </c>
      <c r="F8" s="929"/>
      <c r="G8" s="467" t="s">
        <v>303</v>
      </c>
      <c r="H8" s="929" t="s">
        <v>504</v>
      </c>
      <c r="I8" s="929"/>
      <c r="J8" s="929" t="s">
        <v>304</v>
      </c>
      <c r="K8" s="929"/>
      <c r="L8" s="343"/>
      <c r="M8" s="466" t="s">
        <v>305</v>
      </c>
      <c r="N8" s="83"/>
      <c r="Q8" s="86" t="s">
        <v>417</v>
      </c>
      <c r="R8" s="496">
        <v>0.19</v>
      </c>
      <c r="T8" s="2" t="s">
        <v>266</v>
      </c>
      <c r="U8" s="496" t="s">
        <v>386</v>
      </c>
      <c r="W8" s="496">
        <v>3.6999999999999998E-2</v>
      </c>
    </row>
    <row r="9" spans="1:23" hidden="1" x14ac:dyDescent="0.2">
      <c r="A9" s="344"/>
      <c r="B9" s="874" t="s">
        <v>402</v>
      </c>
      <c r="C9" s="874"/>
      <c r="D9" s="874"/>
      <c r="E9" s="908">
        <v>0.26</v>
      </c>
      <c r="F9" s="908"/>
      <c r="G9" s="474">
        <v>0</v>
      </c>
      <c r="H9" s="909">
        <f t="shared" ref="H9" si="0">E9+G9</f>
        <v>0.26</v>
      </c>
      <c r="I9" s="909"/>
      <c r="J9" s="822">
        <f>ROUND(M9/H9,3)</f>
        <v>3.7999999999999999E-2</v>
      </c>
      <c r="K9" s="822"/>
      <c r="M9" s="459">
        <v>0.01</v>
      </c>
      <c r="N9" s="83"/>
      <c r="Q9" s="86" t="s">
        <v>534</v>
      </c>
      <c r="R9" s="496">
        <v>8.5000000000000006E-2</v>
      </c>
      <c r="U9" s="496" t="s">
        <v>423</v>
      </c>
      <c r="V9" s="2">
        <v>3.6999999999999998E-2</v>
      </c>
      <c r="W9" s="496">
        <v>0.2</v>
      </c>
    </row>
    <row r="10" spans="1:23" hidden="1" x14ac:dyDescent="0.2">
      <c r="A10" s="344"/>
      <c r="B10" s="874" t="s">
        <v>404</v>
      </c>
      <c r="C10" s="874"/>
      <c r="D10" s="874"/>
      <c r="E10" s="908">
        <f>VLOOKUP(B10,Q2:R109,2,FALSE)</f>
        <v>0.64</v>
      </c>
      <c r="F10" s="908"/>
      <c r="G10" s="474">
        <v>0</v>
      </c>
      <c r="H10" s="909">
        <f>E10+G10</f>
        <v>0.64</v>
      </c>
      <c r="I10" s="909"/>
      <c r="J10" s="909">
        <f>ROUND(M10/H10,3)</f>
        <v>0.59399999999999997</v>
      </c>
      <c r="K10" s="909"/>
      <c r="M10" s="459">
        <v>0.38</v>
      </c>
      <c r="N10" s="83"/>
      <c r="Q10" s="86" t="s">
        <v>485</v>
      </c>
      <c r="R10" s="496">
        <v>5.2999999999999999E-2</v>
      </c>
      <c r="U10" s="497" t="s">
        <v>472</v>
      </c>
      <c r="V10" s="88">
        <v>3.7999999999999999E-2</v>
      </c>
      <c r="W10" s="497">
        <v>3.5000000000000003E-2</v>
      </c>
    </row>
    <row r="11" spans="1:23" ht="12.75" hidden="1" customHeight="1" x14ac:dyDescent="0.2">
      <c r="A11" s="344"/>
      <c r="B11" s="874" t="s">
        <v>386</v>
      </c>
      <c r="C11" s="874"/>
      <c r="D11" s="874"/>
      <c r="E11" s="908">
        <f>VLOOKUP(B11,Q3:R110,2,FALSE)</f>
        <v>3.5999999999999997E-2</v>
      </c>
      <c r="F11" s="908"/>
      <c r="G11" s="474">
        <v>1E-3</v>
      </c>
      <c r="H11" s="909">
        <f t="shared" ref="H11:H17" si="1">E11+G11</f>
        <v>3.6999999999999998E-2</v>
      </c>
      <c r="I11" s="909"/>
      <c r="J11" s="909">
        <f t="shared" ref="J11:J17" si="2">ROUND(M11/H11,3)</f>
        <v>2.7029999999999998</v>
      </c>
      <c r="K11" s="909"/>
      <c r="M11" s="459">
        <v>0.1</v>
      </c>
      <c r="N11" s="83"/>
      <c r="O11" s="2">
        <f>M19/J19</f>
        <v>0.14823599169878449</v>
      </c>
      <c r="Q11" s="86" t="s">
        <v>583</v>
      </c>
      <c r="R11" s="496">
        <v>0.129</v>
      </c>
      <c r="S11" s="411" t="s">
        <v>454</v>
      </c>
      <c r="U11" s="496" t="s">
        <v>488</v>
      </c>
      <c r="W11" s="496">
        <v>3.5999999999999997E-2</v>
      </c>
    </row>
    <row r="12" spans="1:23" hidden="1" x14ac:dyDescent="0.2">
      <c r="A12" s="344"/>
      <c r="B12" s="874" t="s">
        <v>831</v>
      </c>
      <c r="C12" s="874"/>
      <c r="D12" s="874"/>
      <c r="E12" s="908">
        <v>0.21</v>
      </c>
      <c r="F12" s="908"/>
      <c r="G12" s="474">
        <v>0</v>
      </c>
      <c r="H12" s="909">
        <f t="shared" si="1"/>
        <v>0.21</v>
      </c>
      <c r="I12" s="909"/>
      <c r="J12" s="822">
        <f t="shared" si="2"/>
        <v>0</v>
      </c>
      <c r="K12" s="822"/>
      <c r="M12" s="459">
        <v>0</v>
      </c>
      <c r="N12" s="83"/>
      <c r="Q12" s="86" t="s">
        <v>242</v>
      </c>
      <c r="R12" s="496">
        <v>3.6999999999999998E-2</v>
      </c>
      <c r="S12" s="411"/>
      <c r="U12" s="496"/>
      <c r="W12" s="496"/>
    </row>
    <row r="13" spans="1:23" ht="12.75" hidden="1" customHeight="1" x14ac:dyDescent="0.2">
      <c r="A13" s="344"/>
      <c r="B13" s="874" t="s">
        <v>709</v>
      </c>
      <c r="C13" s="874"/>
      <c r="D13" s="874"/>
      <c r="E13" s="908">
        <f>VLOOKUP(B13,Q5:R112,2,FALSE)</f>
        <v>3.3000000000000002E-2</v>
      </c>
      <c r="F13" s="908"/>
      <c r="G13" s="474">
        <v>1E-3</v>
      </c>
      <c r="H13" s="909">
        <f t="shared" si="1"/>
        <v>3.4000000000000002E-2</v>
      </c>
      <c r="I13" s="909"/>
      <c r="J13" s="909">
        <f>ROUND(M13/H13,3)</f>
        <v>0</v>
      </c>
      <c r="K13" s="909"/>
      <c r="M13" s="459">
        <v>0</v>
      </c>
      <c r="N13" s="83"/>
      <c r="Q13" s="86" t="s">
        <v>471</v>
      </c>
      <c r="R13" s="496">
        <v>0.09</v>
      </c>
      <c r="S13" s="411"/>
      <c r="U13" s="496" t="s">
        <v>468</v>
      </c>
      <c r="W13" s="496">
        <v>0.2</v>
      </c>
    </row>
    <row r="14" spans="1:23" hidden="1" x14ac:dyDescent="0.2">
      <c r="A14" s="344"/>
      <c r="B14" s="874" t="s">
        <v>124</v>
      </c>
      <c r="C14" s="874"/>
      <c r="D14" s="874"/>
      <c r="E14" s="908"/>
      <c r="F14" s="908"/>
      <c r="G14" s="474"/>
      <c r="H14" s="909"/>
      <c r="I14" s="909"/>
      <c r="J14" s="822">
        <v>0</v>
      </c>
      <c r="K14" s="822"/>
      <c r="M14" s="459">
        <v>0</v>
      </c>
      <c r="N14" s="83"/>
      <c r="Q14" s="86" t="s">
        <v>473</v>
      </c>
      <c r="R14" s="496">
        <v>3.7999999999999999E-2</v>
      </c>
      <c r="S14" s="411"/>
      <c r="U14" s="496" t="s">
        <v>422</v>
      </c>
      <c r="W14" s="496">
        <v>0.11</v>
      </c>
    </row>
    <row r="15" spans="1:23" hidden="1" x14ac:dyDescent="0.2">
      <c r="A15" s="344"/>
      <c r="B15" s="874" t="s">
        <v>404</v>
      </c>
      <c r="C15" s="874"/>
      <c r="D15" s="874"/>
      <c r="E15" s="908">
        <f>VLOOKUP(B15,Q7:R114,2,FALSE)</f>
        <v>0.64</v>
      </c>
      <c r="F15" s="908"/>
      <c r="G15" s="474">
        <v>0</v>
      </c>
      <c r="H15" s="909">
        <f t="shared" si="1"/>
        <v>0.64</v>
      </c>
      <c r="I15" s="909"/>
      <c r="J15" s="822">
        <f t="shared" si="2"/>
        <v>0</v>
      </c>
      <c r="K15" s="822"/>
      <c r="M15" s="459">
        <v>0</v>
      </c>
      <c r="N15" s="83"/>
      <c r="O15" s="433"/>
      <c r="Q15" s="86" t="s">
        <v>472</v>
      </c>
      <c r="R15" s="496">
        <v>0.13</v>
      </c>
      <c r="S15" s="411"/>
      <c r="U15" s="496"/>
      <c r="W15" s="496"/>
    </row>
    <row r="16" spans="1:23" ht="12.75" hidden="1" customHeight="1" x14ac:dyDescent="0.2">
      <c r="A16" s="344"/>
      <c r="B16" s="874" t="s">
        <v>386</v>
      </c>
      <c r="C16" s="874"/>
      <c r="D16" s="874"/>
      <c r="E16" s="908">
        <v>3.5999999999999997E-2</v>
      </c>
      <c r="F16" s="908"/>
      <c r="G16" s="474">
        <v>1E-3</v>
      </c>
      <c r="H16" s="909">
        <f t="shared" si="1"/>
        <v>3.6999999999999998E-2</v>
      </c>
      <c r="I16" s="909"/>
      <c r="J16" s="822">
        <f t="shared" si="2"/>
        <v>0</v>
      </c>
      <c r="K16" s="822"/>
      <c r="M16" s="459">
        <v>0</v>
      </c>
      <c r="N16" s="83"/>
      <c r="Q16" s="86" t="s">
        <v>422</v>
      </c>
      <c r="R16" s="496">
        <v>0.11</v>
      </c>
      <c r="S16" s="411"/>
      <c r="U16" s="496"/>
      <c r="W16" s="496"/>
    </row>
    <row r="17" spans="1:23" hidden="1" x14ac:dyDescent="0.2">
      <c r="A17" s="344"/>
      <c r="B17" s="874" t="s">
        <v>402</v>
      </c>
      <c r="C17" s="874"/>
      <c r="D17" s="874"/>
      <c r="E17" s="908">
        <v>0.26</v>
      </c>
      <c r="F17" s="908"/>
      <c r="G17" s="474">
        <v>0</v>
      </c>
      <c r="H17" s="909">
        <f t="shared" si="1"/>
        <v>0.26</v>
      </c>
      <c r="I17" s="909"/>
      <c r="J17" s="822">
        <f t="shared" si="2"/>
        <v>3.7999999999999999E-2</v>
      </c>
      <c r="K17" s="822"/>
      <c r="M17" s="459">
        <v>0.01</v>
      </c>
      <c r="N17" s="83"/>
      <c r="P17" s="443"/>
      <c r="Q17" s="86" t="s">
        <v>832</v>
      </c>
      <c r="R17" s="496">
        <v>0.13</v>
      </c>
      <c r="S17" s="411" t="s">
        <v>455</v>
      </c>
      <c r="U17" s="496" t="s">
        <v>456</v>
      </c>
      <c r="V17" s="2">
        <v>0.161</v>
      </c>
      <c r="W17" s="496">
        <v>0.22</v>
      </c>
    </row>
    <row r="18" spans="1:23" ht="6" hidden="1" customHeight="1" x14ac:dyDescent="0.2">
      <c r="A18" s="339"/>
      <c r="B18" s="418"/>
      <c r="C18" s="418"/>
      <c r="D18" s="418"/>
      <c r="E18" s="418"/>
      <c r="F18" s="418"/>
      <c r="G18" s="418"/>
      <c r="H18" s="418"/>
      <c r="I18" s="418"/>
      <c r="J18" s="348"/>
      <c r="K18" s="348"/>
      <c r="M18" s="343"/>
      <c r="N18" s="83"/>
      <c r="Q18" s="86" t="s">
        <v>465</v>
      </c>
      <c r="R18" s="496">
        <v>0.26</v>
      </c>
      <c r="U18" s="496" t="s">
        <v>471</v>
      </c>
      <c r="W18" s="497">
        <v>3.7999999999999999E-2</v>
      </c>
    </row>
    <row r="19" spans="1:23" ht="18.75" hidden="1" x14ac:dyDescent="0.35">
      <c r="A19" s="339"/>
      <c r="B19" s="349"/>
      <c r="C19" s="349"/>
      <c r="D19" s="349"/>
      <c r="E19" s="8"/>
      <c r="H19" s="862" t="s">
        <v>818</v>
      </c>
      <c r="I19" s="867"/>
      <c r="J19" s="933">
        <f>SUM(J9:K17)</f>
        <v>3.3729999999999998</v>
      </c>
      <c r="K19" s="934"/>
      <c r="M19" s="670">
        <f>SUM(M9:M18)</f>
        <v>0.5</v>
      </c>
      <c r="N19" s="83" t="s">
        <v>14</v>
      </c>
      <c r="Q19" s="86" t="s">
        <v>456</v>
      </c>
      <c r="R19" s="496">
        <v>0.161</v>
      </c>
      <c r="U19" s="496" t="s">
        <v>476</v>
      </c>
      <c r="W19" s="2">
        <v>2</v>
      </c>
    </row>
    <row r="20" spans="1:23" ht="6" hidden="1" customHeight="1" x14ac:dyDescent="0.25">
      <c r="A20" s="339"/>
      <c r="B20" s="862"/>
      <c r="C20" s="862"/>
      <c r="D20" s="862"/>
      <c r="E20" s="924"/>
      <c r="F20" s="924"/>
      <c r="G20" s="924"/>
      <c r="H20" s="8"/>
      <c r="I20" s="8"/>
      <c r="J20" s="351"/>
      <c r="N20" s="83"/>
      <c r="Q20" s="86" t="s">
        <v>475</v>
      </c>
      <c r="R20" s="496">
        <v>9.5000000000000001E-2</v>
      </c>
      <c r="U20" s="496" t="s">
        <v>477</v>
      </c>
    </row>
    <row r="21" spans="1:23" ht="21" hidden="1" x14ac:dyDescent="0.2">
      <c r="A21" s="339"/>
      <c r="B21" s="349"/>
      <c r="C21" s="349"/>
      <c r="D21" s="349"/>
      <c r="E21" s="901" t="s">
        <v>93</v>
      </c>
      <c r="F21" s="901"/>
      <c r="G21" s="901"/>
      <c r="H21" s="875">
        <f>ROUND(1/((SUM(J9:K17)+J5+J6)),2)</f>
        <v>0.28000000000000003</v>
      </c>
      <c r="I21" s="876"/>
      <c r="J21" s="877" t="s">
        <v>555</v>
      </c>
      <c r="K21" s="878"/>
      <c r="N21" s="83"/>
      <c r="O21" s="2">
        <f>1/H21</f>
        <v>3.5714285714285712</v>
      </c>
      <c r="Q21" s="86" t="s">
        <v>546</v>
      </c>
      <c r="R21" s="540">
        <v>3.6999999999999998E-2</v>
      </c>
      <c r="U21" s="496"/>
    </row>
    <row r="22" spans="1:23" ht="15" hidden="1" customHeight="1" x14ac:dyDescent="0.2">
      <c r="A22" s="352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Q22" s="86" t="s">
        <v>535</v>
      </c>
      <c r="R22" s="581">
        <v>2</v>
      </c>
      <c r="U22" s="497"/>
    </row>
    <row r="23" spans="1:23" ht="15" hidden="1" customHeight="1" x14ac:dyDescent="0.2"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P23" s="2">
        <f>M19/O11</f>
        <v>3.3729999999999993</v>
      </c>
      <c r="Q23" s="86" t="s">
        <v>229</v>
      </c>
      <c r="R23" s="496">
        <v>3.3000000000000002E-2</v>
      </c>
    </row>
    <row r="24" spans="1:23" ht="18.75" hidden="1" customHeight="1" x14ac:dyDescent="0.2">
      <c r="A24" s="337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99"/>
      <c r="M24" s="99"/>
      <c r="N24" s="81"/>
      <c r="Q24" s="86" t="s">
        <v>536</v>
      </c>
      <c r="R24" s="496">
        <v>3.5999999999999997E-2</v>
      </c>
      <c r="U24" s="495" t="s">
        <v>422</v>
      </c>
      <c r="V24" s="385">
        <v>0.72</v>
      </c>
      <c r="W24" s="495">
        <v>0.72</v>
      </c>
    </row>
    <row r="25" spans="1:23" ht="15.75" hidden="1" x14ac:dyDescent="0.2">
      <c r="A25" s="339"/>
      <c r="B25" s="387"/>
      <c r="C25" s="868" t="s">
        <v>356</v>
      </c>
      <c r="D25" s="868"/>
      <c r="E25" s="868"/>
      <c r="F25" s="868"/>
      <c r="G25" s="868"/>
      <c r="H25" s="868"/>
      <c r="I25" s="868"/>
      <c r="J25" s="868"/>
      <c r="K25" s="868"/>
      <c r="L25" s="868"/>
      <c r="M25" s="869"/>
      <c r="N25" s="83"/>
      <c r="P25" s="2">
        <f>1/H21</f>
        <v>3.5714285714285712</v>
      </c>
      <c r="Q25" s="86" t="s">
        <v>386</v>
      </c>
      <c r="R25" s="496">
        <v>3.5999999999999997E-2</v>
      </c>
      <c r="U25" s="496" t="s">
        <v>443</v>
      </c>
      <c r="V25" s="86"/>
      <c r="W25" s="496">
        <v>3.5999999999999997E-2</v>
      </c>
    </row>
    <row r="26" spans="1:23" ht="9" hidden="1" customHeight="1" x14ac:dyDescent="0.2">
      <c r="A26" s="339"/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N26" s="83"/>
      <c r="Q26" s="86" t="s">
        <v>537</v>
      </c>
      <c r="R26" s="496">
        <v>4.1000000000000002E-2</v>
      </c>
      <c r="U26" s="496"/>
      <c r="V26" s="86"/>
      <c r="W26" s="496"/>
    </row>
    <row r="27" spans="1:23" ht="15" hidden="1" customHeight="1" x14ac:dyDescent="0.25">
      <c r="A27" s="339"/>
      <c r="B27" s="341"/>
      <c r="C27" s="932" t="s">
        <v>299</v>
      </c>
      <c r="D27" s="932"/>
      <c r="E27" s="932"/>
      <c r="F27" s="932"/>
      <c r="G27" s="932"/>
      <c r="H27" s="932"/>
      <c r="I27" s="341" t="s">
        <v>300</v>
      </c>
      <c r="J27" s="930">
        <v>0.13</v>
      </c>
      <c r="K27" s="873"/>
      <c r="N27" s="83"/>
      <c r="Q27" s="86" t="s">
        <v>540</v>
      </c>
      <c r="R27" s="496">
        <v>3.3000000000000002E-2</v>
      </c>
      <c r="U27" s="496"/>
      <c r="V27" s="86"/>
      <c r="W27" s="496">
        <v>3.9E-2</v>
      </c>
    </row>
    <row r="28" spans="1:23" ht="15" hidden="1" x14ac:dyDescent="0.25">
      <c r="A28" s="339"/>
      <c r="B28" s="341"/>
      <c r="C28" s="932"/>
      <c r="D28" s="932"/>
      <c r="E28" s="932"/>
      <c r="F28" s="932"/>
      <c r="G28" s="932"/>
      <c r="H28" s="932"/>
      <c r="I28" s="341" t="s">
        <v>301</v>
      </c>
      <c r="J28" s="843">
        <v>0.04</v>
      </c>
      <c r="K28" s="928"/>
      <c r="N28" s="83"/>
      <c r="Q28" s="86" t="s">
        <v>539</v>
      </c>
      <c r="R28" s="496">
        <v>3.6999999999999998E-2</v>
      </c>
      <c r="U28" s="496" t="s">
        <v>426</v>
      </c>
      <c r="V28" s="86"/>
      <c r="W28" s="496">
        <v>0.09</v>
      </c>
    </row>
    <row r="29" spans="1:23" ht="9" hidden="1" customHeight="1" x14ac:dyDescent="0.2">
      <c r="A29" s="339"/>
      <c r="J29" s="762"/>
      <c r="K29" s="762"/>
      <c r="N29" s="83"/>
      <c r="Q29" s="86" t="s">
        <v>124</v>
      </c>
      <c r="R29" s="496">
        <v>2.5999999999999999E-2</v>
      </c>
      <c r="U29" s="496" t="s">
        <v>427</v>
      </c>
      <c r="V29" s="86">
        <v>3.5999999999999997E-2</v>
      </c>
      <c r="W29" s="496">
        <v>3.7999999999999999E-2</v>
      </c>
    </row>
    <row r="30" spans="1:23" ht="13.5" hidden="1" x14ac:dyDescent="0.25">
      <c r="A30" s="339"/>
      <c r="B30" s="907" t="s">
        <v>6</v>
      </c>
      <c r="C30" s="907"/>
      <c r="D30" s="907"/>
      <c r="E30" s="929" t="s">
        <v>516</v>
      </c>
      <c r="F30" s="929"/>
      <c r="G30" s="467" t="s">
        <v>303</v>
      </c>
      <c r="H30" s="929" t="s">
        <v>504</v>
      </c>
      <c r="I30" s="929"/>
      <c r="J30" s="929" t="s">
        <v>304</v>
      </c>
      <c r="K30" s="929"/>
      <c r="L30" s="343"/>
      <c r="M30" s="466" t="s">
        <v>305</v>
      </c>
      <c r="N30" s="83"/>
      <c r="Q30" s="86" t="s">
        <v>543</v>
      </c>
      <c r="R30" s="496">
        <v>7.1999999999999995E-2</v>
      </c>
      <c r="T30" s="2" t="s">
        <v>266</v>
      </c>
      <c r="U30" s="496" t="s">
        <v>386</v>
      </c>
      <c r="V30" s="86"/>
      <c r="W30" s="496">
        <v>3.3000000000000002E-2</v>
      </c>
    </row>
    <row r="31" spans="1:23" hidden="1" x14ac:dyDescent="0.2">
      <c r="A31" s="344"/>
      <c r="B31" s="874" t="s">
        <v>402</v>
      </c>
      <c r="C31" s="874"/>
      <c r="D31" s="874"/>
      <c r="E31" s="908">
        <v>0.26</v>
      </c>
      <c r="F31" s="908"/>
      <c r="G31" s="474">
        <v>0</v>
      </c>
      <c r="H31" s="909">
        <f>E31+G31</f>
        <v>0.26</v>
      </c>
      <c r="I31" s="909"/>
      <c r="J31" s="822">
        <f t="shared" ref="J31:J39" si="3">ROUND(M31/H31,3)</f>
        <v>3.7999999999999999E-2</v>
      </c>
      <c r="K31" s="822"/>
      <c r="M31" s="459">
        <v>0.01</v>
      </c>
      <c r="N31" s="83"/>
      <c r="Q31" s="86" t="s">
        <v>541</v>
      </c>
      <c r="R31" s="496">
        <v>0.13</v>
      </c>
      <c r="U31" s="496" t="s">
        <v>423</v>
      </c>
      <c r="V31" s="86">
        <v>3.6999999999999998E-2</v>
      </c>
      <c r="W31" s="496">
        <v>3.4000000000000002E-2</v>
      </c>
    </row>
    <row r="32" spans="1:23" hidden="1" x14ac:dyDescent="0.2">
      <c r="A32" s="344"/>
      <c r="B32" s="874" t="s">
        <v>422</v>
      </c>
      <c r="C32" s="874"/>
      <c r="D32" s="874"/>
      <c r="E32" s="908">
        <f>VLOOKUP(B32,Q2:R131,2,FALSE)</f>
        <v>0.11</v>
      </c>
      <c r="F32" s="908"/>
      <c r="G32" s="474">
        <v>0.08</v>
      </c>
      <c r="H32" s="909">
        <f t="shared" ref="H32:H39" si="4">E32+G32</f>
        <v>0.19</v>
      </c>
      <c r="I32" s="909"/>
      <c r="J32" s="822">
        <f t="shared" si="3"/>
        <v>1.3160000000000001</v>
      </c>
      <c r="K32" s="822"/>
      <c r="M32" s="459">
        <v>0.25</v>
      </c>
      <c r="N32" s="83"/>
      <c r="Q32" s="86" t="s">
        <v>542</v>
      </c>
      <c r="R32" s="496">
        <v>8.4000000000000005E-2</v>
      </c>
      <c r="U32" s="497" t="s">
        <v>357</v>
      </c>
      <c r="V32" s="87">
        <v>3.7999999999999999E-2</v>
      </c>
      <c r="W32" s="497">
        <v>3.5000000000000003E-2</v>
      </c>
    </row>
    <row r="33" spans="1:23" ht="13.9" hidden="1" customHeight="1" x14ac:dyDescent="0.2">
      <c r="A33" s="344"/>
      <c r="B33" s="874" t="s">
        <v>386</v>
      </c>
      <c r="C33" s="874"/>
      <c r="D33" s="874"/>
      <c r="E33" s="908">
        <f>VLOOKUP(B33,Q3:R132,2,FALSE)</f>
        <v>3.5999999999999997E-2</v>
      </c>
      <c r="F33" s="908"/>
      <c r="G33" s="474">
        <v>1E-3</v>
      </c>
      <c r="H33" s="909">
        <f t="shared" si="4"/>
        <v>3.6999999999999998E-2</v>
      </c>
      <c r="I33" s="909"/>
      <c r="J33" s="822">
        <f t="shared" si="3"/>
        <v>2.7029999999999998</v>
      </c>
      <c r="K33" s="822"/>
      <c r="M33" s="459">
        <v>0.1</v>
      </c>
      <c r="N33" s="83"/>
      <c r="Q33" s="86" t="s">
        <v>544</v>
      </c>
      <c r="R33" s="496">
        <v>0.1</v>
      </c>
      <c r="S33" s="411"/>
      <c r="W33" s="496">
        <v>3.5999999999999997E-2</v>
      </c>
    </row>
    <row r="34" spans="1:23" hidden="1" x14ac:dyDescent="0.2">
      <c r="A34" s="344"/>
      <c r="B34" s="874" t="s">
        <v>124</v>
      </c>
      <c r="C34" s="874"/>
      <c r="D34" s="874"/>
      <c r="E34" s="908">
        <v>0.02</v>
      </c>
      <c r="F34" s="908"/>
      <c r="G34" s="474">
        <v>0</v>
      </c>
      <c r="H34" s="909">
        <f t="shared" si="4"/>
        <v>0.02</v>
      </c>
      <c r="I34" s="909"/>
      <c r="J34" s="822">
        <f t="shared" si="3"/>
        <v>0</v>
      </c>
      <c r="K34" s="822"/>
      <c r="M34" s="459">
        <v>0</v>
      </c>
      <c r="N34" s="83"/>
      <c r="Q34" s="86" t="s">
        <v>545</v>
      </c>
      <c r="R34" s="496">
        <v>0.09</v>
      </c>
      <c r="S34" s="411"/>
      <c r="W34" s="496"/>
    </row>
    <row r="35" spans="1:23" ht="13.5" hidden="1" customHeight="1" x14ac:dyDescent="0.2">
      <c r="A35" s="344"/>
      <c r="B35" s="874" t="s">
        <v>422</v>
      </c>
      <c r="C35" s="874"/>
      <c r="D35" s="874"/>
      <c r="E35" s="908">
        <f>VLOOKUP(B35,Q2:R109,2,FALSE)</f>
        <v>0.11</v>
      </c>
      <c r="F35" s="908"/>
      <c r="G35" s="474">
        <v>0.04</v>
      </c>
      <c r="H35" s="909">
        <f t="shared" si="4"/>
        <v>0.15</v>
      </c>
      <c r="I35" s="909"/>
      <c r="J35" s="822">
        <f t="shared" si="3"/>
        <v>0</v>
      </c>
      <c r="K35" s="822"/>
      <c r="M35" s="459">
        <v>0</v>
      </c>
      <c r="N35" s="83"/>
      <c r="Q35" s="86" t="s">
        <v>546</v>
      </c>
      <c r="R35" s="496">
        <v>3.6999999999999998E-2</v>
      </c>
      <c r="S35" s="411"/>
      <c r="W35" s="496"/>
    </row>
    <row r="36" spans="1:23" hidden="1" x14ac:dyDescent="0.2">
      <c r="A36" s="344"/>
      <c r="B36" s="874" t="s">
        <v>386</v>
      </c>
      <c r="C36" s="874"/>
      <c r="D36" s="874"/>
      <c r="E36" s="908">
        <f>VLOOKUP(B36,Q3:R110,2,FALSE)</f>
        <v>3.5999999999999997E-2</v>
      </c>
      <c r="F36" s="908"/>
      <c r="G36" s="474">
        <v>1E-3</v>
      </c>
      <c r="H36" s="909">
        <f t="shared" si="4"/>
        <v>3.6999999999999998E-2</v>
      </c>
      <c r="I36" s="909"/>
      <c r="J36" s="822">
        <f t="shared" si="3"/>
        <v>0</v>
      </c>
      <c r="K36" s="822"/>
      <c r="M36" s="459">
        <v>0</v>
      </c>
      <c r="N36" s="83"/>
      <c r="Q36" s="86" t="s">
        <v>547</v>
      </c>
      <c r="R36" s="496">
        <v>3.7999999999999999E-2</v>
      </c>
      <c r="S36" s="411"/>
      <c r="W36" s="496"/>
    </row>
    <row r="37" spans="1:23" hidden="1" x14ac:dyDescent="0.2">
      <c r="A37" s="344"/>
      <c r="B37" s="874" t="s">
        <v>401</v>
      </c>
      <c r="C37" s="874"/>
      <c r="D37" s="874"/>
      <c r="E37" s="908">
        <v>0.13</v>
      </c>
      <c r="F37" s="908"/>
      <c r="G37" s="474">
        <v>0</v>
      </c>
      <c r="H37" s="909">
        <f t="shared" si="4"/>
        <v>0.13</v>
      </c>
      <c r="I37" s="909"/>
      <c r="J37" s="822">
        <f t="shared" si="3"/>
        <v>0</v>
      </c>
      <c r="K37" s="822"/>
      <c r="M37" s="459"/>
      <c r="N37" s="83"/>
      <c r="Q37" s="86" t="s">
        <v>548</v>
      </c>
      <c r="R37" s="496">
        <v>3.5999999999999997E-2</v>
      </c>
      <c r="S37" s="411"/>
      <c r="W37" s="496"/>
    </row>
    <row r="38" spans="1:23" hidden="1" x14ac:dyDescent="0.2">
      <c r="A38" s="344"/>
      <c r="B38" s="874" t="s">
        <v>827</v>
      </c>
      <c r="C38" s="874"/>
      <c r="D38" s="874"/>
      <c r="E38" s="908">
        <v>3.3000000000000002E-2</v>
      </c>
      <c r="F38" s="908"/>
      <c r="G38" s="474">
        <v>1E-3</v>
      </c>
      <c r="H38" s="909">
        <f t="shared" si="4"/>
        <v>3.4000000000000002E-2</v>
      </c>
      <c r="I38" s="909"/>
      <c r="J38" s="822">
        <f t="shared" si="3"/>
        <v>0</v>
      </c>
      <c r="K38" s="822"/>
      <c r="M38" s="459">
        <v>0</v>
      </c>
      <c r="N38" s="83"/>
      <c r="Q38" s="86" t="s">
        <v>557</v>
      </c>
      <c r="R38" s="496">
        <v>0.14000000000000001</v>
      </c>
      <c r="S38" s="411"/>
      <c r="W38" s="496"/>
    </row>
    <row r="39" spans="1:23" hidden="1" x14ac:dyDescent="0.2">
      <c r="A39" s="344"/>
      <c r="B39" s="874" t="s">
        <v>402</v>
      </c>
      <c r="C39" s="874"/>
      <c r="D39" s="874"/>
      <c r="E39" s="908">
        <v>0.26</v>
      </c>
      <c r="F39" s="908"/>
      <c r="G39" s="474">
        <v>0</v>
      </c>
      <c r="H39" s="909">
        <f t="shared" si="4"/>
        <v>0.26</v>
      </c>
      <c r="I39" s="909"/>
      <c r="J39" s="822">
        <f t="shared" si="3"/>
        <v>3.7999999999999999E-2</v>
      </c>
      <c r="K39" s="822"/>
      <c r="M39" s="459">
        <v>0.01</v>
      </c>
      <c r="N39" s="83"/>
      <c r="Q39" s="86" t="s">
        <v>828</v>
      </c>
      <c r="R39" s="496">
        <v>0.26</v>
      </c>
      <c r="S39" s="411"/>
      <c r="W39" s="496">
        <v>3.9E-2</v>
      </c>
    </row>
    <row r="40" spans="1:23" ht="6" hidden="1" customHeight="1" x14ac:dyDescent="0.2">
      <c r="A40" s="339"/>
      <c r="B40" s="418"/>
      <c r="C40" s="418"/>
      <c r="D40" s="418"/>
      <c r="E40" s="418"/>
      <c r="F40" s="418"/>
      <c r="G40" s="418"/>
      <c r="H40" s="418"/>
      <c r="I40" s="418"/>
      <c r="J40" s="348"/>
      <c r="K40" s="348"/>
      <c r="M40" s="343"/>
      <c r="N40" s="83"/>
      <c r="Q40" s="86" t="s">
        <v>558</v>
      </c>
      <c r="R40" s="496">
        <v>3.2000000000000001E-2</v>
      </c>
      <c r="W40" s="497">
        <v>3.7999999999999999E-2</v>
      </c>
    </row>
    <row r="41" spans="1:23" ht="18.75" hidden="1" x14ac:dyDescent="0.35">
      <c r="A41" s="339"/>
      <c r="B41" s="349"/>
      <c r="C41" s="349"/>
      <c r="D41" s="349"/>
      <c r="E41" s="8"/>
      <c r="H41" s="862" t="s">
        <v>818</v>
      </c>
      <c r="I41" s="867"/>
      <c r="J41" s="841">
        <f>SUM(J31:K40)</f>
        <v>4.0950000000000006</v>
      </c>
      <c r="K41" s="842"/>
      <c r="M41" s="670">
        <f>SUM(M31:M39)</f>
        <v>0.37</v>
      </c>
      <c r="N41" s="83" t="s">
        <v>14</v>
      </c>
      <c r="Q41" s="86" t="s">
        <v>559</v>
      </c>
      <c r="R41" s="496">
        <v>3.5999999999999997E-2</v>
      </c>
    </row>
    <row r="42" spans="1:23" ht="6" hidden="1" customHeight="1" x14ac:dyDescent="0.25">
      <c r="A42" s="339"/>
      <c r="B42" s="349"/>
      <c r="C42" s="349"/>
      <c r="D42" s="349"/>
      <c r="E42" s="8"/>
      <c r="H42" s="8"/>
      <c r="I42" s="691"/>
      <c r="J42" s="418"/>
      <c r="K42" s="418"/>
      <c r="M42" s="690"/>
      <c r="N42" s="83"/>
      <c r="Q42" s="86" t="s">
        <v>821</v>
      </c>
      <c r="R42" s="496">
        <v>0.08</v>
      </c>
    </row>
    <row r="43" spans="1:23" ht="21" hidden="1" x14ac:dyDescent="0.2">
      <c r="A43" s="339"/>
      <c r="B43" s="349"/>
      <c r="C43" s="349"/>
      <c r="D43" s="349"/>
      <c r="E43" s="902" t="s">
        <v>93</v>
      </c>
      <c r="F43" s="902"/>
      <c r="G43" s="902"/>
      <c r="H43" s="903">
        <f>ROUND(1/((SUM(J31:K39)+J27+J28)),2)</f>
        <v>0.23</v>
      </c>
      <c r="I43" s="904"/>
      <c r="J43" s="905" t="s">
        <v>306</v>
      </c>
      <c r="K43" s="906"/>
      <c r="N43" s="83"/>
      <c r="Q43" s="86" t="s">
        <v>834</v>
      </c>
      <c r="R43" s="540">
        <v>7.1999999999999995E-2</v>
      </c>
    </row>
    <row r="44" spans="1:23" ht="15" hidden="1" customHeight="1" x14ac:dyDescent="0.2">
      <c r="A44" s="352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9"/>
      <c r="Q44" s="86" t="s">
        <v>560</v>
      </c>
      <c r="R44" s="540">
        <v>0.1</v>
      </c>
    </row>
    <row r="45" spans="1:23" ht="15" hidden="1" customHeight="1" x14ac:dyDescent="0.2"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6"/>
      <c r="Q45" s="86" t="s">
        <v>235</v>
      </c>
      <c r="R45" s="540">
        <v>3.6999999999999998E-2</v>
      </c>
    </row>
    <row r="46" spans="1:23" ht="18.75" hidden="1" customHeight="1" x14ac:dyDescent="0.2">
      <c r="A46" s="337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99"/>
      <c r="M46" s="99"/>
      <c r="N46" s="81"/>
      <c r="Q46" s="86" t="s">
        <v>561</v>
      </c>
      <c r="R46" s="540">
        <v>3.2000000000000001E-2</v>
      </c>
      <c r="U46" s="495" t="s">
        <v>404</v>
      </c>
      <c r="V46" s="385">
        <v>0.72</v>
      </c>
      <c r="W46" s="495">
        <v>0.72</v>
      </c>
    </row>
    <row r="47" spans="1:23" ht="15.75" hidden="1" x14ac:dyDescent="0.25">
      <c r="A47" s="339"/>
      <c r="B47" s="387"/>
      <c r="C47" s="868" t="s">
        <v>523</v>
      </c>
      <c r="D47" s="925"/>
      <c r="E47" s="925"/>
      <c r="F47" s="925"/>
      <c r="G47" s="925"/>
      <c r="H47" s="925"/>
      <c r="I47" s="925"/>
      <c r="J47" s="925"/>
      <c r="K47" s="926"/>
      <c r="N47" s="83"/>
      <c r="Q47" s="86" t="s">
        <v>426</v>
      </c>
      <c r="R47" s="540">
        <v>0.2</v>
      </c>
      <c r="U47" s="496"/>
      <c r="V47" s="86"/>
      <c r="W47" s="496">
        <v>3.5999999999999997E-2</v>
      </c>
    </row>
    <row r="48" spans="1:23" ht="9" hidden="1" customHeight="1" x14ac:dyDescent="0.2">
      <c r="A48" s="33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N48" s="83"/>
      <c r="Q48" s="86" t="s">
        <v>573</v>
      </c>
      <c r="R48" s="540">
        <v>3.2000000000000001E-2</v>
      </c>
      <c r="U48" s="496"/>
      <c r="V48" s="86"/>
      <c r="W48" s="496"/>
    </row>
    <row r="49" spans="1:23" ht="15" hidden="1" x14ac:dyDescent="0.25">
      <c r="A49" s="339"/>
      <c r="B49" s="341"/>
      <c r="C49" s="927" t="s">
        <v>299</v>
      </c>
      <c r="D49" s="927"/>
      <c r="E49" s="927"/>
      <c r="F49" s="927"/>
      <c r="G49" s="927"/>
      <c r="H49" s="927"/>
      <c r="I49" s="341" t="s">
        <v>300</v>
      </c>
      <c r="J49" s="843">
        <v>0.13</v>
      </c>
      <c r="K49" s="928"/>
      <c r="N49" s="83"/>
      <c r="Q49" s="86" t="s">
        <v>574</v>
      </c>
      <c r="R49" s="540">
        <v>2.1000000000000001E-2</v>
      </c>
      <c r="U49" s="496"/>
      <c r="V49" s="86"/>
      <c r="W49" s="496">
        <v>3.6999999999999998E-2</v>
      </c>
    </row>
    <row r="50" spans="1:23" ht="15" hidden="1" x14ac:dyDescent="0.25">
      <c r="A50" s="339"/>
      <c r="B50" s="341"/>
      <c r="C50" s="341"/>
      <c r="D50" s="341"/>
      <c r="E50" s="341"/>
      <c r="F50" s="341"/>
      <c r="G50" s="341"/>
      <c r="H50" s="341"/>
      <c r="I50" s="341" t="s">
        <v>301</v>
      </c>
      <c r="J50" s="843">
        <v>0.04</v>
      </c>
      <c r="K50" s="928"/>
      <c r="N50" s="83"/>
      <c r="Q50" s="86" t="s">
        <v>597</v>
      </c>
      <c r="R50" s="540">
        <v>9.5000000000000001E-2</v>
      </c>
      <c r="U50" s="496" t="s">
        <v>426</v>
      </c>
      <c r="V50" s="86"/>
      <c r="W50" s="496">
        <v>0.09</v>
      </c>
    </row>
    <row r="51" spans="1:23" ht="9" hidden="1" customHeight="1" x14ac:dyDescent="0.2">
      <c r="A51" s="339"/>
      <c r="J51" s="762"/>
      <c r="K51" s="762"/>
      <c r="N51" s="83"/>
      <c r="Q51" s="86" t="s">
        <v>598</v>
      </c>
      <c r="R51" s="540">
        <v>0.3</v>
      </c>
      <c r="U51" s="496" t="s">
        <v>427</v>
      </c>
      <c r="V51" s="86">
        <v>3.5999999999999997E-2</v>
      </c>
      <c r="W51" s="496">
        <v>3.7999999999999999E-2</v>
      </c>
    </row>
    <row r="52" spans="1:23" ht="13.5" hidden="1" x14ac:dyDescent="0.25">
      <c r="A52" s="339"/>
      <c r="B52" s="907" t="s">
        <v>6</v>
      </c>
      <c r="C52" s="907"/>
      <c r="D52" s="907"/>
      <c r="E52" s="929" t="s">
        <v>506</v>
      </c>
      <c r="F52" s="929"/>
      <c r="G52" s="467" t="s">
        <v>303</v>
      </c>
      <c r="H52" s="929" t="s">
        <v>507</v>
      </c>
      <c r="I52" s="929"/>
      <c r="J52" s="929" t="s">
        <v>304</v>
      </c>
      <c r="K52" s="929"/>
      <c r="L52" s="343"/>
      <c r="M52" s="466" t="s">
        <v>305</v>
      </c>
      <c r="N52" s="83"/>
      <c r="Q52" s="86" t="s">
        <v>599</v>
      </c>
      <c r="R52" s="540">
        <v>3.1E-2</v>
      </c>
      <c r="T52" s="2" t="s">
        <v>266</v>
      </c>
      <c r="U52" s="496" t="s">
        <v>386</v>
      </c>
      <c r="V52" s="86"/>
      <c r="W52" s="496">
        <v>3.3000000000000002E-2</v>
      </c>
    </row>
    <row r="53" spans="1:23" hidden="1" x14ac:dyDescent="0.2">
      <c r="A53" s="344"/>
      <c r="B53" s="874" t="s">
        <v>402</v>
      </c>
      <c r="C53" s="874"/>
      <c r="D53" s="874"/>
      <c r="E53" s="908">
        <v>0.26</v>
      </c>
      <c r="F53" s="908"/>
      <c r="G53" s="474">
        <v>0</v>
      </c>
      <c r="H53" s="909">
        <f>E53+G53</f>
        <v>0.26</v>
      </c>
      <c r="I53" s="909"/>
      <c r="J53" s="822">
        <f t="shared" ref="J53:J61" si="5">ROUND(M53/H53,3)</f>
        <v>3.7999999999999999E-2</v>
      </c>
      <c r="K53" s="822"/>
      <c r="M53" s="459">
        <v>0.01</v>
      </c>
      <c r="N53" s="83"/>
      <c r="Q53" s="86" t="s">
        <v>485</v>
      </c>
      <c r="R53" s="540"/>
      <c r="U53" s="496" t="s">
        <v>423</v>
      </c>
      <c r="V53" s="86">
        <v>3.6999999999999998E-2</v>
      </c>
      <c r="W53" s="496">
        <v>3.4000000000000002E-2</v>
      </c>
    </row>
    <row r="54" spans="1:23" hidden="1" x14ac:dyDescent="0.2">
      <c r="A54" s="344"/>
      <c r="B54" s="874" t="s">
        <v>544</v>
      </c>
      <c r="C54" s="874"/>
      <c r="D54" s="874"/>
      <c r="E54" s="908">
        <f>VLOOKUP(B54,Q2:R153,2,FALSE)</f>
        <v>0.1</v>
      </c>
      <c r="F54" s="908"/>
      <c r="G54" s="474">
        <v>0.02</v>
      </c>
      <c r="H54" s="909">
        <f t="shared" ref="H54:H61" si="6">E54+G54</f>
        <v>0.12000000000000001</v>
      </c>
      <c r="I54" s="909"/>
      <c r="J54" s="822">
        <f t="shared" si="5"/>
        <v>2.0830000000000002</v>
      </c>
      <c r="K54" s="822"/>
      <c r="M54" s="459">
        <v>0.25</v>
      </c>
      <c r="N54" s="83"/>
      <c r="Q54" s="86" t="s">
        <v>600</v>
      </c>
      <c r="R54" s="540">
        <v>0.15</v>
      </c>
      <c r="U54" s="497" t="s">
        <v>357</v>
      </c>
      <c r="V54" s="87">
        <v>3.7999999999999999E-2</v>
      </c>
      <c r="W54" s="497">
        <v>3.5000000000000003E-2</v>
      </c>
    </row>
    <row r="55" spans="1:23" hidden="1" x14ac:dyDescent="0.2">
      <c r="A55" s="344"/>
      <c r="B55" s="874" t="s">
        <v>386</v>
      </c>
      <c r="C55" s="874"/>
      <c r="D55" s="874"/>
      <c r="E55" s="908">
        <f>VLOOKUP(B55,Q3:R154,2,FALSE)</f>
        <v>3.5999999999999997E-2</v>
      </c>
      <c r="F55" s="908"/>
      <c r="G55" s="474">
        <v>1E-3</v>
      </c>
      <c r="H55" s="909">
        <f t="shared" si="6"/>
        <v>3.6999999999999998E-2</v>
      </c>
      <c r="I55" s="909"/>
      <c r="J55" s="822">
        <f t="shared" si="5"/>
        <v>5.4050000000000002</v>
      </c>
      <c r="K55" s="822"/>
      <c r="M55" s="459">
        <v>0.2</v>
      </c>
      <c r="N55" s="83"/>
      <c r="Q55" s="86" t="s">
        <v>601</v>
      </c>
      <c r="R55" s="540">
        <v>3.7999999999999999E-2</v>
      </c>
      <c r="S55" s="411" t="s">
        <v>454</v>
      </c>
      <c r="W55" s="496">
        <v>3.5999999999999997E-2</v>
      </c>
    </row>
    <row r="56" spans="1:23" hidden="1" x14ac:dyDescent="0.2">
      <c r="A56" s="344"/>
      <c r="B56" s="874" t="s">
        <v>124</v>
      </c>
      <c r="C56" s="874"/>
      <c r="D56" s="874"/>
      <c r="E56" s="908">
        <v>2.1999999999999999E-2</v>
      </c>
      <c r="F56" s="908"/>
      <c r="G56" s="474">
        <v>0</v>
      </c>
      <c r="H56" s="909">
        <f t="shared" si="6"/>
        <v>2.1999999999999999E-2</v>
      </c>
      <c r="I56" s="909"/>
      <c r="J56" s="822">
        <f t="shared" si="5"/>
        <v>0</v>
      </c>
      <c r="K56" s="822"/>
      <c r="M56" s="459"/>
      <c r="N56" s="83"/>
      <c r="Q56" s="86" t="s">
        <v>602</v>
      </c>
      <c r="R56" s="540">
        <v>3.5000000000000003E-2</v>
      </c>
      <c r="S56" s="411"/>
      <c r="W56" s="496"/>
    </row>
    <row r="57" spans="1:23" hidden="1" x14ac:dyDescent="0.2">
      <c r="A57" s="344"/>
      <c r="B57" s="874" t="s">
        <v>404</v>
      </c>
      <c r="C57" s="874"/>
      <c r="D57" s="874"/>
      <c r="E57" s="908">
        <v>0.64</v>
      </c>
      <c r="F57" s="908"/>
      <c r="G57" s="474">
        <v>0</v>
      </c>
      <c r="H57" s="909">
        <f t="shared" si="6"/>
        <v>0.64</v>
      </c>
      <c r="I57" s="909"/>
      <c r="J57" s="822">
        <f t="shared" si="5"/>
        <v>0</v>
      </c>
      <c r="K57" s="822"/>
      <c r="M57" s="459">
        <v>0</v>
      </c>
      <c r="N57" s="83"/>
      <c r="Q57" s="86" t="s">
        <v>603</v>
      </c>
      <c r="R57" s="540">
        <v>3.5999999999999997E-2</v>
      </c>
      <c r="S57" s="411"/>
      <c r="W57" s="496"/>
    </row>
    <row r="58" spans="1:23" hidden="1" x14ac:dyDescent="0.2">
      <c r="A58" s="344"/>
      <c r="B58" s="874" t="s">
        <v>386</v>
      </c>
      <c r="C58" s="874"/>
      <c r="D58" s="874"/>
      <c r="E58" s="908">
        <v>3.6999999999999998E-2</v>
      </c>
      <c r="F58" s="908"/>
      <c r="G58" s="474">
        <v>2E-3</v>
      </c>
      <c r="H58" s="909">
        <f t="shared" si="6"/>
        <v>3.9E-2</v>
      </c>
      <c r="I58" s="909"/>
      <c r="J58" s="822">
        <f t="shared" si="5"/>
        <v>0</v>
      </c>
      <c r="K58" s="822"/>
      <c r="M58" s="459">
        <v>0</v>
      </c>
      <c r="N58" s="83"/>
      <c r="Q58" s="86" t="s">
        <v>365</v>
      </c>
      <c r="R58" s="496">
        <v>0.15</v>
      </c>
      <c r="S58" s="411"/>
      <c r="W58" s="496"/>
    </row>
    <row r="59" spans="1:23" hidden="1" x14ac:dyDescent="0.2">
      <c r="A59" s="344"/>
      <c r="B59" s="874" t="s">
        <v>401</v>
      </c>
      <c r="C59" s="874"/>
      <c r="D59" s="874"/>
      <c r="E59" s="908">
        <v>0.13</v>
      </c>
      <c r="F59" s="908"/>
      <c r="G59" s="474">
        <v>0</v>
      </c>
      <c r="H59" s="909">
        <f t="shared" si="6"/>
        <v>0.13</v>
      </c>
      <c r="I59" s="909"/>
      <c r="J59" s="822">
        <f t="shared" si="5"/>
        <v>0</v>
      </c>
      <c r="K59" s="822"/>
      <c r="M59" s="459"/>
      <c r="N59" s="83"/>
      <c r="Q59" s="86" t="s">
        <v>605</v>
      </c>
      <c r="R59" s="496">
        <v>0.14000000000000001</v>
      </c>
      <c r="S59" s="411"/>
      <c r="W59" s="496"/>
    </row>
    <row r="60" spans="1:23" hidden="1" x14ac:dyDescent="0.2">
      <c r="A60" s="344"/>
      <c r="B60" s="874" t="s">
        <v>413</v>
      </c>
      <c r="C60" s="874"/>
      <c r="D60" s="874"/>
      <c r="E60" s="908">
        <v>0.1</v>
      </c>
      <c r="F60" s="908"/>
      <c r="G60" s="474">
        <v>0</v>
      </c>
      <c r="H60" s="909">
        <f t="shared" si="6"/>
        <v>0.1</v>
      </c>
      <c r="I60" s="909"/>
      <c r="J60" s="822">
        <f t="shared" si="5"/>
        <v>0</v>
      </c>
      <c r="K60" s="822"/>
      <c r="M60" s="459"/>
      <c r="N60" s="83"/>
      <c r="Q60" s="86" t="s">
        <v>606</v>
      </c>
      <c r="R60" s="496">
        <v>3.3000000000000002E-2</v>
      </c>
      <c r="S60" s="411"/>
      <c r="W60" s="496"/>
    </row>
    <row r="61" spans="1:23" hidden="1" x14ac:dyDescent="0.2">
      <c r="A61" s="344"/>
      <c r="B61" s="874" t="s">
        <v>402</v>
      </c>
      <c r="C61" s="874"/>
      <c r="D61" s="874"/>
      <c r="E61" s="908">
        <v>0.26</v>
      </c>
      <c r="F61" s="908"/>
      <c r="G61" s="474">
        <v>0</v>
      </c>
      <c r="H61" s="909">
        <f t="shared" si="6"/>
        <v>0.26</v>
      </c>
      <c r="I61" s="909"/>
      <c r="J61" s="822">
        <f t="shared" si="5"/>
        <v>3.7999999999999999E-2</v>
      </c>
      <c r="K61" s="822"/>
      <c r="M61" s="459">
        <v>0.01</v>
      </c>
      <c r="N61" s="83"/>
      <c r="Q61" s="86" t="s">
        <v>639</v>
      </c>
      <c r="R61" s="496">
        <v>9.6000000000000002E-2</v>
      </c>
      <c r="S61" s="411" t="s">
        <v>640</v>
      </c>
      <c r="W61" s="496">
        <v>3.6999999999999998E-2</v>
      </c>
    </row>
    <row r="62" spans="1:23" ht="6" hidden="1" customHeight="1" x14ac:dyDescent="0.2">
      <c r="A62" s="339"/>
      <c r="B62" s="418"/>
      <c r="C62" s="418"/>
      <c r="D62" s="418"/>
      <c r="E62" s="418"/>
      <c r="F62" s="418"/>
      <c r="G62" s="418"/>
      <c r="H62" s="418"/>
      <c r="I62" s="418"/>
      <c r="J62" s="348"/>
      <c r="K62" s="348"/>
      <c r="M62" s="343"/>
      <c r="N62" s="83"/>
      <c r="Q62" s="86" t="s">
        <v>608</v>
      </c>
      <c r="R62" s="496">
        <v>3.6999999999999998E-2</v>
      </c>
      <c r="W62" s="497">
        <v>3.7999999999999999E-2</v>
      </c>
    </row>
    <row r="63" spans="1:23" ht="15.75" hidden="1" x14ac:dyDescent="0.25">
      <c r="A63" s="339"/>
      <c r="B63" s="349"/>
      <c r="C63" s="349"/>
      <c r="D63" s="349"/>
      <c r="E63" s="8"/>
      <c r="H63" s="8"/>
      <c r="I63" s="8"/>
      <c r="J63" s="933">
        <f>SUM(J53:K62)</f>
        <v>7.5640000000000001</v>
      </c>
      <c r="K63" s="934"/>
      <c r="M63" s="670">
        <f>SUM(M53:M61)</f>
        <v>0.47000000000000003</v>
      </c>
      <c r="N63" s="83" t="s">
        <v>14</v>
      </c>
      <c r="Q63" s="86" t="s">
        <v>609</v>
      </c>
      <c r="R63" s="496">
        <v>0.14000000000000001</v>
      </c>
    </row>
    <row r="64" spans="1:23" ht="6" hidden="1" customHeight="1" x14ac:dyDescent="0.25">
      <c r="A64" s="339"/>
      <c r="B64" s="862"/>
      <c r="C64" s="862"/>
      <c r="D64" s="862"/>
      <c r="E64" s="924"/>
      <c r="F64" s="924"/>
      <c r="G64" s="924"/>
      <c r="H64" s="8"/>
      <c r="I64" s="8"/>
      <c r="J64" s="351"/>
      <c r="N64" s="83"/>
      <c r="Q64" s="86" t="s">
        <v>824</v>
      </c>
      <c r="R64" s="496">
        <v>8.5500000000000007E-2</v>
      </c>
    </row>
    <row r="65" spans="1:23" ht="21" hidden="1" x14ac:dyDescent="0.2">
      <c r="A65" s="339"/>
      <c r="B65" s="349"/>
      <c r="C65" s="349"/>
      <c r="D65" s="349"/>
      <c r="E65" s="902" t="s">
        <v>93</v>
      </c>
      <c r="F65" s="902"/>
      <c r="G65" s="902"/>
      <c r="H65" s="903">
        <f>ROUND(1/((SUM(J53:K61)+J49+J50)),2)*O65</f>
        <v>0.13</v>
      </c>
      <c r="I65" s="904"/>
      <c r="J65" s="905" t="s">
        <v>306</v>
      </c>
      <c r="K65" s="906"/>
      <c r="N65" s="83"/>
      <c r="O65" s="564">
        <v>1</v>
      </c>
      <c r="Q65" s="86" t="s">
        <v>614</v>
      </c>
      <c r="R65" s="581">
        <v>2.3E-2</v>
      </c>
    </row>
    <row r="66" spans="1:23" ht="15" hidden="1" customHeight="1" x14ac:dyDescent="0.2">
      <c r="A66" s="352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9"/>
      <c r="Q66" s="86" t="s">
        <v>725</v>
      </c>
      <c r="R66" s="581">
        <v>3.7999999999999999E-2</v>
      </c>
    </row>
    <row r="67" spans="1:23" ht="15" hidden="1" customHeight="1" x14ac:dyDescent="0.2">
      <c r="Q67" s="86" t="s">
        <v>724</v>
      </c>
      <c r="R67" s="680">
        <v>8.5000000000000006E-2</v>
      </c>
    </row>
    <row r="68" spans="1:23" ht="18.75" hidden="1" customHeight="1" x14ac:dyDescent="0.2">
      <c r="A68" s="337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99"/>
      <c r="M68" s="99"/>
      <c r="N68" s="81"/>
      <c r="Q68" s="86" t="s">
        <v>477</v>
      </c>
      <c r="R68" s="496">
        <v>3.4000000000000002E-2</v>
      </c>
    </row>
    <row r="69" spans="1:23" ht="15.75" hidden="1" x14ac:dyDescent="0.2">
      <c r="A69" s="339"/>
      <c r="B69" s="387"/>
      <c r="C69" s="868" t="s">
        <v>519</v>
      </c>
      <c r="D69" s="868"/>
      <c r="E69" s="868"/>
      <c r="F69" s="868"/>
      <c r="G69" s="868"/>
      <c r="H69" s="868"/>
      <c r="I69" s="868"/>
      <c r="J69" s="868"/>
      <c r="K69" s="868"/>
      <c r="L69" s="868"/>
      <c r="M69" s="869"/>
      <c r="N69" s="83"/>
      <c r="P69" s="433">
        <v>0.1</v>
      </c>
      <c r="Q69" s="86" t="s">
        <v>264</v>
      </c>
      <c r="R69" s="496">
        <v>0.09</v>
      </c>
      <c r="U69" s="495" t="s">
        <v>223</v>
      </c>
      <c r="W69" s="495" t="s">
        <v>441</v>
      </c>
    </row>
    <row r="70" spans="1:23" ht="8.4499999999999993" hidden="1" customHeight="1" x14ac:dyDescent="0.2">
      <c r="A70" s="339"/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N70" s="83"/>
      <c r="P70" s="2">
        <v>0.13</v>
      </c>
      <c r="Q70" s="86" t="s">
        <v>538</v>
      </c>
      <c r="R70" s="496">
        <v>0.04</v>
      </c>
      <c r="U70" s="496"/>
      <c r="W70" s="496" t="s">
        <v>442</v>
      </c>
    </row>
    <row r="71" spans="1:23" ht="15" hidden="1" customHeight="1" x14ac:dyDescent="0.2">
      <c r="A71" s="339"/>
      <c r="B71" s="341"/>
      <c r="C71" s="870" t="s">
        <v>299</v>
      </c>
      <c r="D71" s="870"/>
      <c r="E71" s="870"/>
      <c r="F71" s="870"/>
      <c r="G71" s="870"/>
      <c r="H71" s="870"/>
      <c r="I71" s="341" t="s">
        <v>300</v>
      </c>
      <c r="J71" s="885">
        <v>0.1</v>
      </c>
      <c r="K71" s="886"/>
      <c r="N71" s="83"/>
      <c r="P71" s="2">
        <v>0.17</v>
      </c>
      <c r="Q71" s="86" t="s">
        <v>612</v>
      </c>
      <c r="R71" s="496">
        <v>4.1000000000000002E-2</v>
      </c>
      <c r="U71" s="496" t="s">
        <v>440</v>
      </c>
      <c r="W71" s="496" t="s">
        <v>444</v>
      </c>
    </row>
    <row r="72" spans="1:23" ht="14.25" hidden="1" x14ac:dyDescent="0.2">
      <c r="A72" s="339"/>
      <c r="B72" s="341"/>
      <c r="C72" s="870"/>
      <c r="D72" s="870"/>
      <c r="E72" s="870"/>
      <c r="F72" s="870"/>
      <c r="G72" s="870"/>
      <c r="H72" s="870"/>
      <c r="I72" s="341" t="s">
        <v>301</v>
      </c>
      <c r="J72" s="917">
        <v>0.04</v>
      </c>
      <c r="K72" s="918"/>
      <c r="N72" s="83"/>
      <c r="Q72" s="86" t="s">
        <v>616</v>
      </c>
      <c r="R72" s="496">
        <v>3.6999999999999998E-2</v>
      </c>
      <c r="U72" s="496" t="s">
        <v>402</v>
      </c>
      <c r="W72" s="496" t="s">
        <v>404</v>
      </c>
    </row>
    <row r="73" spans="1:23" ht="14.25" hidden="1" x14ac:dyDescent="0.2">
      <c r="A73" s="339"/>
      <c r="B73" s="341"/>
      <c r="C73" s="870"/>
      <c r="D73" s="870"/>
      <c r="E73" s="870"/>
      <c r="F73" s="870"/>
      <c r="G73" s="870"/>
      <c r="H73" s="870"/>
      <c r="I73" s="341" t="s">
        <v>323</v>
      </c>
      <c r="J73" s="885">
        <v>0.06</v>
      </c>
      <c r="K73" s="886"/>
      <c r="N73" s="83"/>
      <c r="Q73" s="86" t="s">
        <v>617</v>
      </c>
      <c r="R73" s="496">
        <v>0.68</v>
      </c>
      <c r="U73" s="496" t="s">
        <v>453</v>
      </c>
      <c r="W73" s="496" t="s">
        <v>351</v>
      </c>
    </row>
    <row r="74" spans="1:23" hidden="1" x14ac:dyDescent="0.2">
      <c r="A74" s="339"/>
      <c r="J74" s="919"/>
      <c r="K74" s="919"/>
      <c r="N74" s="83"/>
      <c r="Q74" s="86" t="s">
        <v>618</v>
      </c>
      <c r="R74" s="496">
        <v>3.5000000000000003E-2</v>
      </c>
      <c r="U74" s="496" t="s">
        <v>223</v>
      </c>
      <c r="W74" s="496"/>
    </row>
    <row r="75" spans="1:23" ht="13.5" hidden="1" x14ac:dyDescent="0.25">
      <c r="A75" s="339"/>
      <c r="B75" s="920" t="s">
        <v>6</v>
      </c>
      <c r="C75" s="920"/>
      <c r="D75" s="921"/>
      <c r="E75" s="922" t="s">
        <v>505</v>
      </c>
      <c r="F75" s="923"/>
      <c r="G75" s="568" t="s">
        <v>303</v>
      </c>
      <c r="H75" s="922" t="s">
        <v>507</v>
      </c>
      <c r="I75" s="923"/>
      <c r="J75" s="922" t="s">
        <v>304</v>
      </c>
      <c r="K75" s="923"/>
      <c r="L75" s="343"/>
      <c r="M75" s="467" t="s">
        <v>305</v>
      </c>
      <c r="N75" s="83"/>
      <c r="Q75" s="86" t="s">
        <v>621</v>
      </c>
      <c r="R75" s="496">
        <v>3.1E-2</v>
      </c>
      <c r="T75" s="2" t="s">
        <v>266</v>
      </c>
      <c r="U75" s="496"/>
      <c r="W75" s="496"/>
    </row>
    <row r="76" spans="1:23" hidden="1" x14ac:dyDescent="0.2">
      <c r="A76" s="344"/>
      <c r="B76" s="893" t="s">
        <v>440</v>
      </c>
      <c r="C76" s="912"/>
      <c r="D76" s="894"/>
      <c r="E76" s="795">
        <v>0.13</v>
      </c>
      <c r="F76" s="796"/>
      <c r="G76" s="474">
        <v>0</v>
      </c>
      <c r="H76" s="913">
        <f t="shared" ref="H76:H84" si="7">E76+G76</f>
        <v>0.13</v>
      </c>
      <c r="I76" s="914"/>
      <c r="J76" s="910">
        <f>ROUND(M76/H76,3)</f>
        <v>0</v>
      </c>
      <c r="K76" s="911"/>
      <c r="M76" s="459">
        <v>0</v>
      </c>
      <c r="N76" s="83"/>
      <c r="Q76" s="86" t="s">
        <v>622</v>
      </c>
      <c r="R76" s="496">
        <v>2.1999999999999999E-2</v>
      </c>
      <c r="U76" s="496"/>
      <c r="W76" s="496"/>
    </row>
    <row r="77" spans="1:23" hidden="1" x14ac:dyDescent="0.2">
      <c r="A77" s="344"/>
      <c r="B77" s="893" t="s">
        <v>386</v>
      </c>
      <c r="C77" s="912"/>
      <c r="D77" s="894"/>
      <c r="E77" s="908">
        <f>VLOOKUP(B77,Q2:R175,2,FALSE)</f>
        <v>3.5999999999999997E-2</v>
      </c>
      <c r="F77" s="908"/>
      <c r="G77" s="474">
        <v>1E-3</v>
      </c>
      <c r="H77" s="913">
        <f t="shared" si="7"/>
        <v>3.6999999999999998E-2</v>
      </c>
      <c r="I77" s="914"/>
      <c r="J77" s="910">
        <f>ROUND(M77/H77,3)</f>
        <v>0</v>
      </c>
      <c r="K77" s="911"/>
      <c r="M77" s="459">
        <v>0</v>
      </c>
      <c r="N77" s="83"/>
      <c r="Q77" s="86" t="s">
        <v>623</v>
      </c>
      <c r="R77" s="496">
        <v>2.1999999999999999E-2</v>
      </c>
      <c r="U77" s="496"/>
      <c r="W77" s="496"/>
    </row>
    <row r="78" spans="1:23" hidden="1" x14ac:dyDescent="0.2">
      <c r="A78" s="344"/>
      <c r="B78" s="893" t="s">
        <v>386</v>
      </c>
      <c r="C78" s="912"/>
      <c r="D78" s="894"/>
      <c r="E78" s="908">
        <v>4.1000000000000002E-2</v>
      </c>
      <c r="F78" s="908"/>
      <c r="G78" s="474">
        <v>1E-3</v>
      </c>
      <c r="H78" s="913">
        <f t="shared" si="7"/>
        <v>4.2000000000000003E-2</v>
      </c>
      <c r="I78" s="914"/>
      <c r="J78" s="910">
        <f t="shared" ref="J78:J84" si="8">ROUND(M78/H78,3)</f>
        <v>4.7619999999999996</v>
      </c>
      <c r="K78" s="911"/>
      <c r="M78" s="459">
        <v>0.2</v>
      </c>
      <c r="N78" s="83"/>
      <c r="Q78" s="86" t="s">
        <v>624</v>
      </c>
      <c r="R78" s="496">
        <v>3.1E-2</v>
      </c>
      <c r="U78" s="497"/>
      <c r="W78" s="497"/>
    </row>
    <row r="79" spans="1:23" ht="12.75" hidden="1" customHeight="1" x14ac:dyDescent="0.2">
      <c r="A79" s="344"/>
      <c r="B79" s="893" t="s">
        <v>829</v>
      </c>
      <c r="C79" s="912"/>
      <c r="D79" s="894"/>
      <c r="E79" s="908">
        <f>VLOOKUP(B79,Q10:R177,2,FALSE)</f>
        <v>3.7999999999999999E-2</v>
      </c>
      <c r="F79" s="908"/>
      <c r="G79" s="474">
        <v>1E-3</v>
      </c>
      <c r="H79" s="913">
        <f t="shared" si="7"/>
        <v>3.9E-2</v>
      </c>
      <c r="I79" s="914"/>
      <c r="J79" s="910">
        <f t="shared" si="8"/>
        <v>0</v>
      </c>
      <c r="K79" s="911"/>
      <c r="M79" s="459">
        <v>0</v>
      </c>
      <c r="N79" s="83"/>
      <c r="O79" s="2">
        <v>0.12</v>
      </c>
      <c r="Q79" s="86" t="s">
        <v>627</v>
      </c>
      <c r="R79" s="496">
        <v>3.5000000000000003E-2</v>
      </c>
    </row>
    <row r="80" spans="1:23" ht="12.75" hidden="1" customHeight="1" x14ac:dyDescent="0.2">
      <c r="A80" s="344"/>
      <c r="B80" s="893" t="s">
        <v>548</v>
      </c>
      <c r="C80" s="912"/>
      <c r="D80" s="894"/>
      <c r="E80" s="908">
        <f>VLOOKUP(B80,Q11:R178,2,FALSE)</f>
        <v>3.5999999999999997E-2</v>
      </c>
      <c r="F80" s="908"/>
      <c r="G80" s="474">
        <v>1E-3</v>
      </c>
      <c r="H80" s="913">
        <f t="shared" si="7"/>
        <v>3.6999999999999998E-2</v>
      </c>
      <c r="I80" s="914"/>
      <c r="J80" s="910">
        <f t="shared" si="8"/>
        <v>0</v>
      </c>
      <c r="K80" s="911"/>
      <c r="M80" s="459">
        <v>0</v>
      </c>
      <c r="N80" s="83"/>
      <c r="Q80" s="86" t="s">
        <v>615</v>
      </c>
      <c r="R80" s="496">
        <v>3.1E-2</v>
      </c>
    </row>
    <row r="81" spans="1:23" ht="12.75" hidden="1" customHeight="1" x14ac:dyDescent="0.2">
      <c r="A81" s="344"/>
      <c r="B81" s="893" t="s">
        <v>441</v>
      </c>
      <c r="C81" s="912"/>
      <c r="D81" s="894"/>
      <c r="E81" s="795">
        <v>2</v>
      </c>
      <c r="F81" s="796"/>
      <c r="G81" s="474">
        <v>0</v>
      </c>
      <c r="H81" s="913">
        <f t="shared" si="7"/>
        <v>2</v>
      </c>
      <c r="I81" s="914"/>
      <c r="J81" s="913">
        <f t="shared" si="8"/>
        <v>0.11</v>
      </c>
      <c r="K81" s="914"/>
      <c r="M81" s="459">
        <v>0.22</v>
      </c>
      <c r="N81" s="83"/>
      <c r="Q81" s="86" t="s">
        <v>608</v>
      </c>
      <c r="R81" s="496">
        <v>3.6999999999999998E-2</v>
      </c>
    </row>
    <row r="82" spans="1:23" ht="12.75" hidden="1" customHeight="1" x14ac:dyDescent="0.2">
      <c r="A82" s="344"/>
      <c r="B82" s="893" t="s">
        <v>386</v>
      </c>
      <c r="C82" s="912"/>
      <c r="D82" s="894"/>
      <c r="E82" s="795">
        <v>3.5999999999999997E-2</v>
      </c>
      <c r="F82" s="796"/>
      <c r="G82" s="474">
        <v>2E-3</v>
      </c>
      <c r="H82" s="913">
        <f t="shared" si="7"/>
        <v>3.7999999999999999E-2</v>
      </c>
      <c r="I82" s="914"/>
      <c r="J82" s="910">
        <f t="shared" si="8"/>
        <v>0</v>
      </c>
      <c r="K82" s="911"/>
      <c r="M82" s="459">
        <v>0</v>
      </c>
      <c r="N82" s="83"/>
      <c r="Q82" s="86" t="s">
        <v>628</v>
      </c>
      <c r="R82" s="496">
        <v>0.105</v>
      </c>
    </row>
    <row r="83" spans="1:23" hidden="1" x14ac:dyDescent="0.2">
      <c r="A83" s="344"/>
      <c r="B83" s="893" t="s">
        <v>402</v>
      </c>
      <c r="C83" s="912"/>
      <c r="D83" s="894"/>
      <c r="E83" s="795">
        <v>0.26</v>
      </c>
      <c r="F83" s="796"/>
      <c r="G83" s="474">
        <v>0</v>
      </c>
      <c r="H83" s="913">
        <f t="shared" si="7"/>
        <v>0.26</v>
      </c>
      <c r="I83" s="914"/>
      <c r="J83" s="910">
        <f t="shared" si="8"/>
        <v>3.7999999999999999E-2</v>
      </c>
      <c r="K83" s="911"/>
      <c r="M83" s="459">
        <v>0.01</v>
      </c>
      <c r="N83" s="83"/>
      <c r="O83" s="443"/>
      <c r="Q83" s="86" t="s">
        <v>629</v>
      </c>
      <c r="R83" s="496">
        <v>3.6999999999999998E-2</v>
      </c>
    </row>
    <row r="84" spans="1:23" ht="12.75" hidden="1" customHeight="1" x14ac:dyDescent="0.2">
      <c r="A84" s="344"/>
      <c r="B84" s="893"/>
      <c r="C84" s="912"/>
      <c r="D84" s="894"/>
      <c r="E84" s="735">
        <v>1</v>
      </c>
      <c r="F84" s="736"/>
      <c r="G84" s="474">
        <v>0</v>
      </c>
      <c r="H84" s="913">
        <f t="shared" si="7"/>
        <v>1</v>
      </c>
      <c r="I84" s="914"/>
      <c r="J84" s="910">
        <f t="shared" si="8"/>
        <v>0</v>
      </c>
      <c r="K84" s="911"/>
      <c r="M84" s="465"/>
      <c r="N84" s="83"/>
      <c r="Q84" s="86" t="s">
        <v>630</v>
      </c>
      <c r="R84" s="496">
        <v>0.9</v>
      </c>
    </row>
    <row r="85" spans="1:23" hidden="1" x14ac:dyDescent="0.2">
      <c r="A85" s="339"/>
      <c r="B85" s="418"/>
      <c r="C85" s="418"/>
      <c r="D85" s="418"/>
      <c r="E85" s="418"/>
      <c r="F85" s="418"/>
      <c r="G85" s="418"/>
      <c r="H85" s="418"/>
      <c r="I85" s="418"/>
      <c r="J85" s="348"/>
      <c r="K85" s="348"/>
      <c r="M85" s="343" t="s">
        <v>106</v>
      </c>
      <c r="N85" s="83"/>
      <c r="Q85" s="86" t="s">
        <v>631</v>
      </c>
      <c r="R85" s="496">
        <v>0.13</v>
      </c>
    </row>
    <row r="86" spans="1:23" ht="15.75" hidden="1" x14ac:dyDescent="0.25">
      <c r="A86" s="339"/>
      <c r="B86" s="349"/>
      <c r="C86" s="349"/>
      <c r="D86" s="349"/>
      <c r="E86" s="8"/>
      <c r="H86" s="8"/>
      <c r="I86" s="8"/>
      <c r="J86" s="910">
        <f>SUM(J76:K85)</f>
        <v>4.91</v>
      </c>
      <c r="K86" s="911"/>
      <c r="M86" s="626">
        <f>SUM(M76:M84)*1000</f>
        <v>430.00000000000006</v>
      </c>
      <c r="N86" s="83" t="s">
        <v>120</v>
      </c>
      <c r="Q86" s="87" t="s">
        <v>632</v>
      </c>
      <c r="R86" s="497">
        <v>0.02</v>
      </c>
    </row>
    <row r="87" spans="1:23" ht="7.5" hidden="1" customHeight="1" x14ac:dyDescent="0.25">
      <c r="A87" s="339"/>
      <c r="B87" s="862"/>
      <c r="C87" s="862"/>
      <c r="D87" s="862"/>
      <c r="E87" s="924"/>
      <c r="F87" s="924"/>
      <c r="G87" s="924"/>
      <c r="H87" s="8"/>
      <c r="I87" s="8"/>
      <c r="J87" s="351"/>
      <c r="N87" s="83"/>
      <c r="Q87" s="2" t="s">
        <v>726</v>
      </c>
      <c r="R87" s="2">
        <v>0.105</v>
      </c>
    </row>
    <row r="88" spans="1:23" ht="21" hidden="1" x14ac:dyDescent="0.2">
      <c r="A88" s="339"/>
      <c r="B88" s="349"/>
      <c r="C88" s="349"/>
      <c r="D88" s="349"/>
      <c r="E88" s="901" t="s">
        <v>93</v>
      </c>
      <c r="F88" s="901"/>
      <c r="G88" s="915"/>
      <c r="H88" s="875">
        <f>ROUND(1/((SUM(J76:K84)+J71+J72+J73)),2)</f>
        <v>0.2</v>
      </c>
      <c r="I88" s="876"/>
      <c r="J88" s="877" t="s">
        <v>555</v>
      </c>
      <c r="K88" s="916"/>
      <c r="N88" s="83"/>
      <c r="Q88" s="2" t="s">
        <v>822</v>
      </c>
      <c r="R88" s="443">
        <v>9.8000000000000004E-2</v>
      </c>
    </row>
    <row r="89" spans="1:23" ht="18.75" hidden="1" customHeight="1" x14ac:dyDescent="0.2">
      <c r="A89" s="352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9"/>
      <c r="Q89" s="2" t="s">
        <v>825</v>
      </c>
      <c r="R89" s="681">
        <v>0.03</v>
      </c>
    </row>
    <row r="90" spans="1:23" ht="22.5" hidden="1" customHeight="1" x14ac:dyDescent="0.2">
      <c r="Q90" s="2" t="s">
        <v>723</v>
      </c>
      <c r="R90" s="434">
        <v>4.1000000000000002E-2</v>
      </c>
    </row>
    <row r="91" spans="1:23" ht="18.75" hidden="1" customHeight="1" x14ac:dyDescent="0.2">
      <c r="A91" s="337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99"/>
      <c r="M91" s="99"/>
      <c r="N91" s="81"/>
      <c r="Q91" s="86" t="s">
        <v>477</v>
      </c>
      <c r="R91" s="496">
        <v>3.4000000000000002E-2</v>
      </c>
    </row>
    <row r="92" spans="1:23" ht="15.75" hidden="1" customHeight="1" x14ac:dyDescent="0.2">
      <c r="A92" s="339"/>
      <c r="B92" s="387"/>
      <c r="C92" s="868" t="s">
        <v>519</v>
      </c>
      <c r="D92" s="868"/>
      <c r="E92" s="868"/>
      <c r="F92" s="868"/>
      <c r="G92" s="868"/>
      <c r="H92" s="868"/>
      <c r="I92" s="868"/>
      <c r="J92" s="868"/>
      <c r="K92" s="868"/>
      <c r="L92" s="868"/>
      <c r="M92" s="869"/>
      <c r="N92" s="83"/>
      <c r="P92" s="433">
        <v>0.1</v>
      </c>
      <c r="Q92" s="86" t="s">
        <v>11</v>
      </c>
      <c r="R92" s="496">
        <v>2</v>
      </c>
      <c r="U92" s="495" t="s">
        <v>223</v>
      </c>
      <c r="W92" s="495" t="s">
        <v>441</v>
      </c>
    </row>
    <row r="93" spans="1:23" hidden="1" x14ac:dyDescent="0.2">
      <c r="A93" s="339"/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N93" s="83"/>
      <c r="P93" s="2">
        <v>0.13</v>
      </c>
      <c r="Q93" s="86" t="s">
        <v>538</v>
      </c>
      <c r="R93" s="496">
        <v>0.04</v>
      </c>
      <c r="U93" s="496"/>
      <c r="W93" s="496" t="s">
        <v>442</v>
      </c>
    </row>
    <row r="94" spans="1:23" ht="15" hidden="1" customHeight="1" x14ac:dyDescent="0.2">
      <c r="A94" s="339"/>
      <c r="B94" s="341"/>
      <c r="C94" s="870" t="s">
        <v>299</v>
      </c>
      <c r="D94" s="870"/>
      <c r="E94" s="870"/>
      <c r="F94" s="870"/>
      <c r="G94" s="870"/>
      <c r="H94" s="870"/>
      <c r="I94" s="341" t="s">
        <v>300</v>
      </c>
      <c r="J94" s="885">
        <v>0.1</v>
      </c>
      <c r="K94" s="886"/>
      <c r="N94" s="83"/>
      <c r="P94" s="2">
        <v>0.17</v>
      </c>
      <c r="Q94" s="86" t="s">
        <v>125</v>
      </c>
      <c r="R94" s="496">
        <v>5.2999999999999999E-2</v>
      </c>
      <c r="U94" s="496" t="s">
        <v>440</v>
      </c>
      <c r="W94" s="496" t="s">
        <v>444</v>
      </c>
    </row>
    <row r="95" spans="1:23" ht="14.25" hidden="1" x14ac:dyDescent="0.2">
      <c r="A95" s="339"/>
      <c r="B95" s="341"/>
      <c r="C95" s="870"/>
      <c r="D95" s="870"/>
      <c r="E95" s="870"/>
      <c r="F95" s="870"/>
      <c r="G95" s="870"/>
      <c r="H95" s="870"/>
      <c r="I95" s="341" t="s">
        <v>301</v>
      </c>
      <c r="J95" s="917">
        <v>0.04</v>
      </c>
      <c r="K95" s="918"/>
      <c r="N95" s="83"/>
      <c r="Q95" s="86" t="s">
        <v>635</v>
      </c>
      <c r="R95" s="496">
        <v>3.5000000000000003E-2</v>
      </c>
      <c r="U95" s="496" t="s">
        <v>402</v>
      </c>
      <c r="W95" s="496" t="s">
        <v>404</v>
      </c>
    </row>
    <row r="96" spans="1:23" ht="14.25" hidden="1" x14ac:dyDescent="0.2">
      <c r="A96" s="339"/>
      <c r="B96" s="341"/>
      <c r="C96" s="870"/>
      <c r="D96" s="870"/>
      <c r="E96" s="870"/>
      <c r="F96" s="870"/>
      <c r="G96" s="870"/>
      <c r="H96" s="870"/>
      <c r="I96" s="341" t="s">
        <v>323</v>
      </c>
      <c r="J96" s="885">
        <v>0.06</v>
      </c>
      <c r="K96" s="886"/>
      <c r="N96" s="83"/>
      <c r="Q96" s="86" t="s">
        <v>636</v>
      </c>
      <c r="R96" s="496">
        <v>2.1999999999999999E-2</v>
      </c>
      <c r="U96" s="496" t="s">
        <v>453</v>
      </c>
      <c r="W96" s="496" t="s">
        <v>351</v>
      </c>
    </row>
    <row r="97" spans="1:23" hidden="1" x14ac:dyDescent="0.2">
      <c r="A97" s="339"/>
      <c r="J97" s="919"/>
      <c r="K97" s="919"/>
      <c r="N97" s="83"/>
      <c r="Q97" s="86" t="s">
        <v>627</v>
      </c>
      <c r="R97" s="496">
        <v>3.5000000000000003E-2</v>
      </c>
      <c r="U97" s="496" t="s">
        <v>223</v>
      </c>
      <c r="W97" s="496"/>
    </row>
    <row r="98" spans="1:23" ht="13.5" hidden="1" x14ac:dyDescent="0.25">
      <c r="A98" s="339"/>
      <c r="B98" s="920" t="s">
        <v>6</v>
      </c>
      <c r="C98" s="920"/>
      <c r="D98" s="921"/>
      <c r="E98" s="922" t="s">
        <v>505</v>
      </c>
      <c r="F98" s="923"/>
      <c r="G98" s="568" t="s">
        <v>303</v>
      </c>
      <c r="H98" s="922" t="s">
        <v>507</v>
      </c>
      <c r="I98" s="923"/>
      <c r="J98" s="922" t="s">
        <v>304</v>
      </c>
      <c r="K98" s="923"/>
      <c r="L98" s="343"/>
      <c r="M98" s="467" t="s">
        <v>305</v>
      </c>
      <c r="N98" s="83"/>
      <c r="Q98" s="86" t="s">
        <v>684</v>
      </c>
      <c r="R98" s="496">
        <v>3.7999999999999999E-2</v>
      </c>
      <c r="T98" s="2" t="s">
        <v>266</v>
      </c>
      <c r="U98" s="496"/>
      <c r="W98" s="496"/>
    </row>
    <row r="99" spans="1:23" hidden="1" x14ac:dyDescent="0.2">
      <c r="A99" s="344"/>
      <c r="B99" s="893" t="s">
        <v>440</v>
      </c>
      <c r="C99" s="912"/>
      <c r="D99" s="894"/>
      <c r="E99" s="795">
        <v>0.6</v>
      </c>
      <c r="F99" s="796"/>
      <c r="G99" s="474">
        <v>0</v>
      </c>
      <c r="H99" s="913">
        <f>E99+G99</f>
        <v>0.6</v>
      </c>
      <c r="I99" s="914"/>
      <c r="J99" s="910">
        <f>ROUND(M99/H99,3)</f>
        <v>0.1</v>
      </c>
      <c r="K99" s="911"/>
      <c r="M99" s="459">
        <v>0.06</v>
      </c>
      <c r="N99" s="83"/>
      <c r="Q99" s="86" t="s">
        <v>712</v>
      </c>
      <c r="R99" s="496">
        <v>3.5000000000000003E-2</v>
      </c>
      <c r="U99" s="496"/>
      <c r="W99" s="496"/>
    </row>
    <row r="100" spans="1:23" hidden="1" x14ac:dyDescent="0.2">
      <c r="A100" s="344"/>
      <c r="B100" s="893" t="s">
        <v>608</v>
      </c>
      <c r="C100" s="912"/>
      <c r="D100" s="894"/>
      <c r="E100" s="795">
        <f>VLOOKUP(B100,Q3:R109,2,FALSE)</f>
        <v>3.6999999999999998E-2</v>
      </c>
      <c r="F100" s="796"/>
      <c r="G100" s="474">
        <v>1E-3</v>
      </c>
      <c r="H100" s="913">
        <f>E100+G100</f>
        <v>3.7999999999999999E-2</v>
      </c>
      <c r="I100" s="914"/>
      <c r="J100" s="910">
        <f>ROUND(M100/H100,3)</f>
        <v>8.5530000000000008</v>
      </c>
      <c r="K100" s="911"/>
      <c r="M100" s="459">
        <v>0.32500000000000001</v>
      </c>
      <c r="N100" s="83"/>
      <c r="Q100" s="86" t="s">
        <v>713</v>
      </c>
      <c r="R100" s="496">
        <v>3.5999999999999997E-2</v>
      </c>
      <c r="S100" s="2">
        <v>100</v>
      </c>
      <c r="U100" s="496"/>
      <c r="W100" s="496"/>
    </row>
    <row r="101" spans="1:23" hidden="1" x14ac:dyDescent="0.2">
      <c r="A101" s="344"/>
      <c r="B101" s="893" t="s">
        <v>631</v>
      </c>
      <c r="C101" s="912"/>
      <c r="D101" s="894"/>
      <c r="E101" s="795">
        <f>VLOOKUP(B101,Q2:R109,2,FALSE)</f>
        <v>0.13</v>
      </c>
      <c r="F101" s="796"/>
      <c r="G101" s="474">
        <v>0</v>
      </c>
      <c r="H101" s="913">
        <f>E101+G101</f>
        <v>0.13</v>
      </c>
      <c r="I101" s="914"/>
      <c r="J101" s="910">
        <f t="shared" ref="J101:J107" si="9">ROUND(M101/H101,3)</f>
        <v>0</v>
      </c>
      <c r="K101" s="911"/>
      <c r="M101" s="459">
        <v>0</v>
      </c>
      <c r="N101" s="83"/>
      <c r="Q101" s="86" t="s">
        <v>714</v>
      </c>
      <c r="R101" s="496">
        <v>0.12</v>
      </c>
      <c r="U101" s="497"/>
      <c r="W101" s="497"/>
    </row>
    <row r="102" spans="1:23" ht="12.75" hidden="1" customHeight="1" x14ac:dyDescent="0.2">
      <c r="A102" s="344"/>
      <c r="B102" s="893" t="s">
        <v>548</v>
      </c>
      <c r="C102" s="912"/>
      <c r="D102" s="894"/>
      <c r="E102" s="795">
        <f>VLOOKUP(B102,Q4:R110,2,FALSE)</f>
        <v>3.5999999999999997E-2</v>
      </c>
      <c r="F102" s="796"/>
      <c r="G102" s="474">
        <v>1E-3</v>
      </c>
      <c r="H102" s="913">
        <f>E102+G102</f>
        <v>3.6999999999999998E-2</v>
      </c>
      <c r="I102" s="914"/>
      <c r="J102" s="910">
        <f t="shared" si="9"/>
        <v>0</v>
      </c>
      <c r="K102" s="911"/>
      <c r="M102" s="459">
        <v>0</v>
      </c>
      <c r="N102" s="83"/>
      <c r="O102" s="2">
        <v>0.12</v>
      </c>
      <c r="Q102" s="86" t="s">
        <v>715</v>
      </c>
      <c r="R102" s="496">
        <v>3.3000000000000002E-2</v>
      </c>
    </row>
    <row r="103" spans="1:23" ht="12.75" hidden="1" customHeight="1" x14ac:dyDescent="0.2">
      <c r="A103" s="344"/>
      <c r="B103" s="893" t="s">
        <v>530</v>
      </c>
      <c r="C103" s="912"/>
      <c r="D103" s="894"/>
      <c r="E103" s="795">
        <v>0.15</v>
      </c>
      <c r="F103" s="796"/>
      <c r="G103" s="474">
        <v>0</v>
      </c>
      <c r="H103" s="913">
        <v>3.6999999999999998E-2</v>
      </c>
      <c r="I103" s="914"/>
      <c r="J103" s="910">
        <f t="shared" si="9"/>
        <v>0</v>
      </c>
      <c r="K103" s="911"/>
      <c r="M103" s="459">
        <v>0</v>
      </c>
      <c r="N103" s="83"/>
      <c r="Q103" s="86" t="s">
        <v>718</v>
      </c>
      <c r="R103" s="496">
        <v>3.2000000000000001E-2</v>
      </c>
    </row>
    <row r="104" spans="1:23" ht="12.75" hidden="1" customHeight="1" x14ac:dyDescent="0.2">
      <c r="A104" s="344"/>
      <c r="B104" s="893" t="s">
        <v>441</v>
      </c>
      <c r="C104" s="912"/>
      <c r="D104" s="894"/>
      <c r="E104" s="795">
        <v>2</v>
      </c>
      <c r="F104" s="796"/>
      <c r="G104" s="474">
        <v>0</v>
      </c>
      <c r="H104" s="913">
        <f>E104+G104</f>
        <v>2</v>
      </c>
      <c r="I104" s="914"/>
      <c r="J104" s="913">
        <f t="shared" si="9"/>
        <v>0.11</v>
      </c>
      <c r="K104" s="914"/>
      <c r="M104" s="459">
        <v>0.22</v>
      </c>
      <c r="N104" s="83"/>
      <c r="P104" s="443"/>
      <c r="Q104" s="86" t="s">
        <v>719</v>
      </c>
      <c r="R104" s="496">
        <v>3.5999999999999997E-2</v>
      </c>
    </row>
    <row r="105" spans="1:23" ht="12.75" hidden="1" customHeight="1" x14ac:dyDescent="0.2">
      <c r="A105" s="344"/>
      <c r="B105" s="893" t="s">
        <v>237</v>
      </c>
      <c r="C105" s="912"/>
      <c r="D105" s="894"/>
      <c r="E105" s="795">
        <v>0</v>
      </c>
      <c r="F105" s="796"/>
      <c r="G105" s="474">
        <v>0</v>
      </c>
      <c r="H105" s="913">
        <v>2</v>
      </c>
      <c r="I105" s="914"/>
      <c r="J105" s="910">
        <f t="shared" si="9"/>
        <v>0</v>
      </c>
      <c r="K105" s="911"/>
      <c r="M105" s="459">
        <v>0</v>
      </c>
      <c r="N105" s="83"/>
      <c r="Q105" s="86" t="s">
        <v>720</v>
      </c>
      <c r="R105" s="496">
        <v>3.7999999999999999E-2</v>
      </c>
    </row>
    <row r="106" spans="1:23" hidden="1" x14ac:dyDescent="0.2">
      <c r="A106" s="344"/>
      <c r="B106" s="893" t="s">
        <v>822</v>
      </c>
      <c r="C106" s="912"/>
      <c r="D106" s="894"/>
      <c r="E106" s="795">
        <f>VLOOKUP(B106,Q3:R115,2,FALSE)</f>
        <v>9.8000000000000004E-2</v>
      </c>
      <c r="F106" s="796"/>
      <c r="G106" s="474">
        <v>0</v>
      </c>
      <c r="H106" s="913">
        <f>E106+G106</f>
        <v>9.8000000000000004E-2</v>
      </c>
      <c r="I106" s="914"/>
      <c r="J106" s="910">
        <f t="shared" si="9"/>
        <v>0</v>
      </c>
      <c r="K106" s="911"/>
      <c r="M106" s="459">
        <v>0</v>
      </c>
      <c r="N106" s="83"/>
      <c r="Q106" s="86" t="s">
        <v>721</v>
      </c>
      <c r="R106" s="496">
        <v>3.3000000000000002E-2</v>
      </c>
    </row>
    <row r="107" spans="1:23" ht="12.75" hidden="1" customHeight="1" x14ac:dyDescent="0.2">
      <c r="A107" s="344"/>
      <c r="B107" s="893" t="s">
        <v>402</v>
      </c>
      <c r="C107" s="912"/>
      <c r="D107" s="894"/>
      <c r="E107" s="735">
        <v>0.26</v>
      </c>
      <c r="F107" s="736"/>
      <c r="G107" s="474">
        <v>0</v>
      </c>
      <c r="H107" s="913">
        <f>E107+G107</f>
        <v>0.26</v>
      </c>
      <c r="I107" s="914"/>
      <c r="J107" s="910">
        <f t="shared" si="9"/>
        <v>4.8000000000000001E-2</v>
      </c>
      <c r="K107" s="911"/>
      <c r="M107" s="459">
        <v>1.2500000000000001E-2</v>
      </c>
      <c r="N107" s="83"/>
      <c r="Q107" s="86" t="s">
        <v>722</v>
      </c>
      <c r="R107" s="496">
        <v>0.23</v>
      </c>
    </row>
    <row r="108" spans="1:23" hidden="1" x14ac:dyDescent="0.2">
      <c r="A108" s="339"/>
      <c r="B108" s="418"/>
      <c r="C108" s="418"/>
      <c r="D108" s="418"/>
      <c r="E108" s="418"/>
      <c r="F108" s="418"/>
      <c r="G108" s="418"/>
      <c r="H108" s="418"/>
      <c r="I108" s="418"/>
      <c r="J108" s="348"/>
      <c r="K108" s="348"/>
      <c r="M108" s="343" t="s">
        <v>106</v>
      </c>
      <c r="N108" s="83"/>
      <c r="Q108" s="86" t="s">
        <v>826</v>
      </c>
      <c r="R108" s="496">
        <v>4.1000000000000002E-2</v>
      </c>
    </row>
    <row r="109" spans="1:23" ht="18.75" hidden="1" x14ac:dyDescent="0.35">
      <c r="A109" s="339"/>
      <c r="B109" s="349"/>
      <c r="C109" s="349"/>
      <c r="D109" s="349"/>
      <c r="E109" s="8"/>
      <c r="H109" s="862" t="s">
        <v>818</v>
      </c>
      <c r="I109" s="867"/>
      <c r="J109" s="910">
        <f>SUM(J99:K108)</f>
        <v>8.8109999999999999</v>
      </c>
      <c r="K109" s="911"/>
      <c r="M109" s="670">
        <f>SUM(M99:M107)</f>
        <v>0.61749999999999994</v>
      </c>
      <c r="N109" s="83" t="s">
        <v>120</v>
      </c>
      <c r="Q109" s="87" t="s">
        <v>829</v>
      </c>
      <c r="R109" s="497">
        <v>3.7999999999999999E-2</v>
      </c>
    </row>
    <row r="110" spans="1:23" ht="4.9000000000000004" hidden="1" customHeight="1" x14ac:dyDescent="0.25">
      <c r="A110" s="339"/>
      <c r="B110" s="862"/>
      <c r="C110" s="862"/>
      <c r="D110" s="862"/>
      <c r="E110" s="924"/>
      <c r="F110" s="924"/>
      <c r="G110" s="924"/>
      <c r="H110" s="8"/>
      <c r="I110" s="8"/>
      <c r="J110" s="351"/>
      <c r="N110" s="83"/>
    </row>
    <row r="111" spans="1:23" ht="21" hidden="1" x14ac:dyDescent="0.2">
      <c r="A111" s="339"/>
      <c r="B111" s="349"/>
      <c r="C111" s="349"/>
      <c r="D111" s="349"/>
      <c r="E111" s="901" t="s">
        <v>93</v>
      </c>
      <c r="F111" s="901"/>
      <c r="G111" s="915"/>
      <c r="H111" s="875">
        <f>ROUND(1/((SUM(J99:K107)+J94+J95+J96)),2)</f>
        <v>0.11</v>
      </c>
      <c r="I111" s="876"/>
      <c r="J111" s="877" t="s">
        <v>555</v>
      </c>
      <c r="K111" s="916"/>
      <c r="N111" s="83"/>
      <c r="R111" s="931"/>
    </row>
    <row r="112" spans="1:23" ht="18.75" hidden="1" customHeight="1" x14ac:dyDescent="0.2">
      <c r="A112" s="352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9"/>
      <c r="R112" s="931"/>
    </row>
    <row r="113" spans="1:20" hidden="1" x14ac:dyDescent="0.2">
      <c r="R113" s="434"/>
    </row>
    <row r="114" spans="1:20" hidden="1" x14ac:dyDescent="0.2"/>
    <row r="115" spans="1:20" ht="11.25" hidden="1" customHeight="1" x14ac:dyDescent="0.2">
      <c r="A115" s="337"/>
      <c r="B115" s="338"/>
      <c r="C115" s="338"/>
      <c r="D115" s="338"/>
      <c r="E115" s="338"/>
      <c r="F115" s="338"/>
      <c r="G115" s="338"/>
      <c r="H115" s="338"/>
      <c r="I115" s="338"/>
      <c r="J115" s="338"/>
      <c r="K115" s="338"/>
      <c r="L115" s="99"/>
      <c r="M115" s="99"/>
      <c r="N115" s="81"/>
    </row>
    <row r="116" spans="1:20" ht="15.75" hidden="1" x14ac:dyDescent="0.25">
      <c r="A116" s="339"/>
      <c r="B116" s="387"/>
      <c r="C116" s="868" t="s">
        <v>518</v>
      </c>
      <c r="D116" s="925"/>
      <c r="E116" s="925"/>
      <c r="F116" s="925"/>
      <c r="G116" s="925"/>
      <c r="H116" s="925"/>
      <c r="I116" s="925"/>
      <c r="J116" s="925"/>
      <c r="K116" s="926"/>
      <c r="N116" s="83"/>
      <c r="Q116" s="495"/>
      <c r="R116" s="495"/>
      <c r="S116" s="2">
        <f>107:107</f>
        <v>0</v>
      </c>
    </row>
    <row r="117" spans="1:20" ht="4.5" hidden="1" customHeight="1" x14ac:dyDescent="0.2">
      <c r="A117" s="339"/>
      <c r="B117" s="341"/>
      <c r="C117" s="341"/>
      <c r="D117" s="341"/>
      <c r="E117" s="341"/>
      <c r="F117" s="341"/>
      <c r="G117" s="341"/>
      <c r="H117" s="341"/>
      <c r="I117" s="341"/>
      <c r="J117" s="341"/>
      <c r="K117" s="341"/>
      <c r="N117" s="83"/>
      <c r="Q117" s="496"/>
      <c r="R117" s="496"/>
    </row>
    <row r="118" spans="1:20" ht="15" hidden="1" x14ac:dyDescent="0.25">
      <c r="A118" s="339"/>
      <c r="B118" s="341"/>
      <c r="C118" s="927" t="s">
        <v>299</v>
      </c>
      <c r="D118" s="927"/>
      <c r="E118" s="927"/>
      <c r="F118" s="927"/>
      <c r="G118" s="927"/>
      <c r="H118" s="927"/>
      <c r="I118" s="341" t="s">
        <v>300</v>
      </c>
      <c r="J118" s="930">
        <v>0.1</v>
      </c>
      <c r="K118" s="873"/>
      <c r="N118" s="83"/>
      <c r="Q118" s="496"/>
      <c r="R118" s="496"/>
    </row>
    <row r="119" spans="1:20" ht="15" hidden="1" x14ac:dyDescent="0.25">
      <c r="A119" s="339"/>
      <c r="B119" s="341"/>
      <c r="C119" s="341"/>
      <c r="D119" s="341"/>
      <c r="E119" s="341"/>
      <c r="F119" s="341"/>
      <c r="G119" s="341"/>
      <c r="H119" s="341"/>
      <c r="I119" s="341" t="s">
        <v>301</v>
      </c>
      <c r="J119" s="843">
        <v>0.04</v>
      </c>
      <c r="K119" s="928"/>
      <c r="N119" s="83"/>
      <c r="Q119" s="496"/>
      <c r="R119" s="496"/>
    </row>
    <row r="120" spans="1:20" ht="15" hidden="1" x14ac:dyDescent="0.25">
      <c r="A120" s="339"/>
      <c r="B120" s="341"/>
      <c r="C120" s="341"/>
      <c r="D120" s="341"/>
      <c r="E120" s="341"/>
      <c r="F120" s="341"/>
      <c r="G120" s="341"/>
      <c r="H120" s="341"/>
      <c r="I120" s="341" t="s">
        <v>323</v>
      </c>
      <c r="J120" s="930">
        <v>0</v>
      </c>
      <c r="K120" s="873"/>
      <c r="N120" s="83"/>
      <c r="Q120" s="496"/>
      <c r="R120" s="496"/>
    </row>
    <row r="121" spans="1:20" ht="3.75" hidden="1" customHeight="1" x14ac:dyDescent="0.2">
      <c r="A121" s="339"/>
      <c r="J121" s="762"/>
      <c r="K121" s="762"/>
      <c r="N121" s="83"/>
      <c r="Q121" s="496"/>
      <c r="R121" s="496"/>
    </row>
    <row r="122" spans="1:20" ht="13.5" hidden="1" x14ac:dyDescent="0.25">
      <c r="A122" s="339"/>
      <c r="B122" s="907" t="s">
        <v>6</v>
      </c>
      <c r="C122" s="907"/>
      <c r="D122" s="907"/>
      <c r="E122" s="929" t="s">
        <v>505</v>
      </c>
      <c r="F122" s="929"/>
      <c r="G122" s="467" t="s">
        <v>303</v>
      </c>
      <c r="H122" s="929" t="s">
        <v>508</v>
      </c>
      <c r="I122" s="929"/>
      <c r="J122" s="929" t="s">
        <v>304</v>
      </c>
      <c r="K122" s="929"/>
      <c r="L122" s="343"/>
      <c r="M122" s="466" t="s">
        <v>305</v>
      </c>
      <c r="N122" s="83"/>
      <c r="Q122" s="496"/>
      <c r="R122" s="496"/>
      <c r="T122" s="2" t="s">
        <v>266</v>
      </c>
    </row>
    <row r="123" spans="1:20" hidden="1" x14ac:dyDescent="0.2">
      <c r="A123" s="344"/>
      <c r="B123" s="874" t="s">
        <v>223</v>
      </c>
      <c r="C123" s="874"/>
      <c r="D123" s="874"/>
      <c r="E123" s="908">
        <v>0.26</v>
      </c>
      <c r="F123" s="908"/>
      <c r="G123" s="474">
        <v>0</v>
      </c>
      <c r="H123" s="909">
        <f>E123+G123</f>
        <v>0.26</v>
      </c>
      <c r="I123" s="909"/>
      <c r="J123" s="822">
        <f>ROUND(M123/H123,3)</f>
        <v>0.115</v>
      </c>
      <c r="K123" s="822"/>
      <c r="M123" s="459">
        <v>0.03</v>
      </c>
      <c r="N123" s="83"/>
      <c r="Q123" s="497"/>
      <c r="R123" s="497"/>
    </row>
    <row r="124" spans="1:20" hidden="1" x14ac:dyDescent="0.2">
      <c r="A124" s="344"/>
      <c r="B124" s="893" t="s">
        <v>830</v>
      </c>
      <c r="C124" s="912"/>
      <c r="D124" s="894"/>
      <c r="E124" s="908">
        <v>3.5000000000000003E-2</v>
      </c>
      <c r="F124" s="908"/>
      <c r="G124" s="474">
        <v>1E-3</v>
      </c>
      <c r="H124" s="909">
        <f>E124+G124</f>
        <v>3.6000000000000004E-2</v>
      </c>
      <c r="I124" s="909"/>
      <c r="J124" s="822">
        <f>ROUND(M124/H124,3)</f>
        <v>1.389</v>
      </c>
      <c r="K124" s="822"/>
      <c r="M124" s="459">
        <v>0.05</v>
      </c>
      <c r="N124" s="83"/>
    </row>
    <row r="125" spans="1:20" hidden="1" x14ac:dyDescent="0.2">
      <c r="A125" s="344"/>
      <c r="B125" s="874" t="s">
        <v>712</v>
      </c>
      <c r="C125" s="874"/>
      <c r="D125" s="874"/>
      <c r="E125" s="908">
        <f>VLOOKUP(B125,Q2:R225,2,FALSE)</f>
        <v>3.5000000000000003E-2</v>
      </c>
      <c r="F125" s="908"/>
      <c r="G125" s="474">
        <v>1E-3</v>
      </c>
      <c r="H125" s="909">
        <f>E125+G125</f>
        <v>3.6000000000000004E-2</v>
      </c>
      <c r="I125" s="909"/>
      <c r="J125" s="822">
        <f t="shared" ref="J125:J132" si="10">ROUND(M125/H125,3)</f>
        <v>0</v>
      </c>
      <c r="K125" s="822"/>
      <c r="M125" s="459">
        <v>0</v>
      </c>
      <c r="N125" s="83"/>
    </row>
    <row r="126" spans="1:20" hidden="1" x14ac:dyDescent="0.2">
      <c r="A126" s="344"/>
      <c r="B126" s="874" t="s">
        <v>386</v>
      </c>
      <c r="C126" s="874"/>
      <c r="D126" s="874"/>
      <c r="E126" s="908">
        <v>3.4000000000000002E-2</v>
      </c>
      <c r="F126" s="908"/>
      <c r="G126" s="474">
        <v>1E-3</v>
      </c>
      <c r="H126" s="909">
        <f t="shared" ref="H126:H132" si="11">E126+G126</f>
        <v>3.5000000000000003E-2</v>
      </c>
      <c r="I126" s="909"/>
      <c r="J126" s="822">
        <f t="shared" si="10"/>
        <v>0</v>
      </c>
      <c r="K126" s="822"/>
      <c r="M126" s="459">
        <v>0</v>
      </c>
      <c r="N126" s="83"/>
    </row>
    <row r="127" spans="1:20" hidden="1" x14ac:dyDescent="0.2">
      <c r="A127" s="344"/>
      <c r="B127" s="874" t="s">
        <v>544</v>
      </c>
      <c r="C127" s="874"/>
      <c r="D127" s="874"/>
      <c r="E127" s="908">
        <f>VLOOKUP(B127,Q2:R225,2,FALSE)</f>
        <v>0.1</v>
      </c>
      <c r="F127" s="908"/>
      <c r="G127" s="474">
        <v>0</v>
      </c>
      <c r="H127" s="909">
        <f t="shared" si="11"/>
        <v>0.1</v>
      </c>
      <c r="I127" s="909"/>
      <c r="J127" s="822">
        <f t="shared" si="10"/>
        <v>0</v>
      </c>
      <c r="K127" s="822"/>
      <c r="M127" s="459">
        <v>0</v>
      </c>
      <c r="N127" s="83"/>
    </row>
    <row r="128" spans="1:20" hidden="1" x14ac:dyDescent="0.2">
      <c r="A128" s="344"/>
      <c r="B128" s="874" t="s">
        <v>544</v>
      </c>
      <c r="C128" s="874"/>
      <c r="D128" s="874"/>
      <c r="E128" s="908">
        <f>VLOOKUP(B128,Q3:R226,2,FALSE)</f>
        <v>0.1</v>
      </c>
      <c r="F128" s="908"/>
      <c r="G128" s="474">
        <v>1E-3</v>
      </c>
      <c r="H128" s="909">
        <f t="shared" si="11"/>
        <v>0.10100000000000001</v>
      </c>
      <c r="I128" s="909"/>
      <c r="J128" s="822">
        <f t="shared" si="10"/>
        <v>0</v>
      </c>
      <c r="K128" s="822"/>
      <c r="M128" s="459">
        <v>0</v>
      </c>
      <c r="N128" s="83"/>
    </row>
    <row r="129" spans="1:18" hidden="1" x14ac:dyDescent="0.2">
      <c r="A129" s="344"/>
      <c r="B129" s="874" t="s">
        <v>530</v>
      </c>
      <c r="C129" s="874"/>
      <c r="D129" s="874"/>
      <c r="E129" s="908">
        <v>0.6</v>
      </c>
      <c r="F129" s="908"/>
      <c r="G129" s="474">
        <v>0</v>
      </c>
      <c r="H129" s="909">
        <f t="shared" si="11"/>
        <v>0.6</v>
      </c>
      <c r="I129" s="909"/>
      <c r="J129" s="822">
        <f t="shared" si="10"/>
        <v>0</v>
      </c>
      <c r="K129" s="822"/>
      <c r="M129" s="459">
        <v>0</v>
      </c>
      <c r="N129" s="83"/>
    </row>
    <row r="130" spans="1:18" hidden="1" x14ac:dyDescent="0.2">
      <c r="A130" s="344"/>
      <c r="B130" s="874" t="s">
        <v>532</v>
      </c>
      <c r="C130" s="874"/>
      <c r="D130" s="874"/>
      <c r="E130" s="908">
        <v>2</v>
      </c>
      <c r="F130" s="908"/>
      <c r="G130" s="474">
        <v>0</v>
      </c>
      <c r="H130" s="909">
        <f t="shared" si="11"/>
        <v>2</v>
      </c>
      <c r="I130" s="909"/>
      <c r="J130" s="822">
        <f t="shared" si="10"/>
        <v>0.1</v>
      </c>
      <c r="K130" s="822"/>
      <c r="M130" s="459">
        <v>0.2</v>
      </c>
      <c r="N130" s="83"/>
    </row>
    <row r="131" spans="1:18" hidden="1" x14ac:dyDescent="0.2">
      <c r="A131" s="344"/>
      <c r="B131" s="874" t="s">
        <v>386</v>
      </c>
      <c r="C131" s="874"/>
      <c r="D131" s="874"/>
      <c r="E131" s="908">
        <v>3.5999999999999997E-2</v>
      </c>
      <c r="F131" s="908"/>
      <c r="G131" s="474">
        <v>1E-3</v>
      </c>
      <c r="H131" s="909">
        <f t="shared" si="11"/>
        <v>3.6999999999999998E-2</v>
      </c>
      <c r="I131" s="909"/>
      <c r="J131" s="822">
        <f t="shared" si="10"/>
        <v>3.2429999999999999</v>
      </c>
      <c r="K131" s="822"/>
      <c r="M131" s="459">
        <v>0.12</v>
      </c>
      <c r="N131" s="83"/>
    </row>
    <row r="132" spans="1:18" hidden="1" x14ac:dyDescent="0.2">
      <c r="A132" s="344"/>
      <c r="B132" s="874" t="s">
        <v>402</v>
      </c>
      <c r="C132" s="874"/>
      <c r="D132" s="874"/>
      <c r="E132" s="908">
        <v>0.26</v>
      </c>
      <c r="F132" s="908"/>
      <c r="G132" s="474">
        <v>0</v>
      </c>
      <c r="H132" s="909">
        <f t="shared" si="11"/>
        <v>0.26</v>
      </c>
      <c r="I132" s="909"/>
      <c r="J132" s="822">
        <f t="shared" si="10"/>
        <v>3.7999999999999999E-2</v>
      </c>
      <c r="K132" s="822"/>
      <c r="M132" s="459">
        <v>0.01</v>
      </c>
      <c r="N132" s="83"/>
    </row>
    <row r="133" spans="1:18" hidden="1" x14ac:dyDescent="0.2">
      <c r="A133" s="339"/>
      <c r="B133" s="418"/>
      <c r="C133" s="418"/>
      <c r="D133" s="418"/>
      <c r="E133" s="418"/>
      <c r="F133" s="418"/>
      <c r="G133" s="418"/>
      <c r="H133" s="418"/>
      <c r="I133" s="418"/>
      <c r="J133" s="348"/>
      <c r="K133" s="348"/>
      <c r="M133" s="343" t="s">
        <v>106</v>
      </c>
      <c r="N133" s="83"/>
    </row>
    <row r="134" spans="1:18" ht="15.75" hidden="1" x14ac:dyDescent="0.25">
      <c r="A134" s="339"/>
      <c r="B134" s="349"/>
      <c r="C134" s="349"/>
      <c r="D134" s="349"/>
      <c r="E134" s="8"/>
      <c r="H134" s="8"/>
      <c r="I134" s="8"/>
      <c r="J134" s="910">
        <f>SUM(J123:K133)</f>
        <v>4.8849999999999998</v>
      </c>
      <c r="K134" s="911"/>
      <c r="M134" s="626">
        <f>SUM(M123:M132)*1000</f>
        <v>410.00000000000006</v>
      </c>
      <c r="N134" s="83" t="s">
        <v>120</v>
      </c>
    </row>
    <row r="135" spans="1:18" ht="5.25" hidden="1" customHeight="1" x14ac:dyDescent="0.25">
      <c r="A135" s="339"/>
      <c r="B135" s="862"/>
      <c r="C135" s="862"/>
      <c r="D135" s="862"/>
      <c r="E135" s="924"/>
      <c r="F135" s="924"/>
      <c r="G135" s="924"/>
      <c r="H135" s="8"/>
      <c r="I135" s="8"/>
      <c r="J135" s="351"/>
      <c r="N135" s="83"/>
    </row>
    <row r="136" spans="1:18" ht="21" hidden="1" x14ac:dyDescent="0.2">
      <c r="A136" s="339"/>
      <c r="B136" s="349"/>
      <c r="C136" s="349"/>
      <c r="D136" s="349"/>
      <c r="E136" s="902" t="s">
        <v>93</v>
      </c>
      <c r="F136" s="902"/>
      <c r="G136" s="902"/>
      <c r="H136" s="903">
        <f>ROUND(1/((SUM(J123:K132)+J118+J119)),2)</f>
        <v>0.2</v>
      </c>
      <c r="I136" s="904"/>
      <c r="J136" s="905" t="s">
        <v>306</v>
      </c>
      <c r="K136" s="906"/>
      <c r="N136" s="83"/>
      <c r="R136" s="931"/>
    </row>
    <row r="137" spans="1:18" ht="7.5" hidden="1" customHeight="1" x14ac:dyDescent="0.2">
      <c r="A137" s="352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9"/>
      <c r="R137" s="931"/>
    </row>
    <row r="138" spans="1:18" ht="18.75" hidden="1" customHeight="1" x14ac:dyDescent="0.2">
      <c r="R138" s="434"/>
    </row>
    <row r="139" spans="1:18" ht="18.75" hidden="1" customHeight="1" x14ac:dyDescent="0.35">
      <c r="A139" s="78"/>
      <c r="B139" s="79"/>
      <c r="C139" s="79"/>
      <c r="D139" s="79"/>
      <c r="E139" s="79"/>
      <c r="F139" s="79"/>
      <c r="G139" s="79"/>
      <c r="H139" s="79"/>
      <c r="I139" s="79"/>
      <c r="J139" s="80"/>
      <c r="K139" s="80"/>
      <c r="L139" s="99"/>
      <c r="M139" s="99"/>
      <c r="N139" s="81"/>
    </row>
    <row r="140" spans="1:18" ht="15.75" hidden="1" x14ac:dyDescent="0.2">
      <c r="A140" s="354"/>
      <c r="B140" s="387"/>
      <c r="C140" s="868" t="s">
        <v>520</v>
      </c>
      <c r="D140" s="868"/>
      <c r="E140" s="868"/>
      <c r="F140" s="868"/>
      <c r="G140" s="868"/>
      <c r="H140" s="868"/>
      <c r="I140" s="868"/>
      <c r="J140" s="868"/>
      <c r="K140" s="868"/>
      <c r="L140" s="868"/>
      <c r="M140" s="869"/>
      <c r="N140" s="83"/>
      <c r="Q140" s="2" t="s">
        <v>610</v>
      </c>
    </row>
    <row r="141" spans="1:18" ht="11.25" hidden="1" customHeight="1" x14ac:dyDescent="0.2">
      <c r="A141" s="354"/>
      <c r="B141" s="355"/>
      <c r="C141" s="341"/>
      <c r="D141" s="356"/>
      <c r="E141" s="356"/>
      <c r="F141" s="356"/>
      <c r="G141" s="356"/>
      <c r="H141" s="356"/>
      <c r="I141" s="356"/>
      <c r="J141" s="356"/>
      <c r="N141" s="83"/>
    </row>
    <row r="142" spans="1:18" ht="15" hidden="1" customHeight="1" x14ac:dyDescent="0.25">
      <c r="A142" s="354"/>
      <c r="B142" s="871" t="s">
        <v>307</v>
      </c>
      <c r="C142" s="871"/>
      <c r="D142" s="871"/>
      <c r="E142" s="871"/>
      <c r="F142" s="871"/>
      <c r="G142" s="871"/>
      <c r="H142" s="357" t="s">
        <v>308</v>
      </c>
      <c r="I142" s="872">
        <v>0.13</v>
      </c>
      <c r="J142" s="873"/>
      <c r="K142" s="399"/>
      <c r="N142" s="83"/>
    </row>
    <row r="143" spans="1:18" ht="14.45" hidden="1" customHeight="1" x14ac:dyDescent="0.25">
      <c r="A143" s="354"/>
      <c r="B143" s="355"/>
      <c r="C143" s="341"/>
      <c r="D143" s="383"/>
      <c r="E143" s="383"/>
      <c r="F143" s="383"/>
      <c r="G143" s="383"/>
      <c r="H143" s="341" t="s">
        <v>301</v>
      </c>
      <c r="I143" s="872">
        <v>0.13</v>
      </c>
      <c r="J143" s="873"/>
      <c r="N143" s="83"/>
    </row>
    <row r="144" spans="1:18" ht="6" hidden="1" customHeight="1" x14ac:dyDescent="0.25">
      <c r="A144" s="354"/>
      <c r="B144" s="355"/>
      <c r="C144" s="341"/>
      <c r="D144" s="341"/>
      <c r="E144" s="341"/>
      <c r="F144" s="341"/>
      <c r="G144" s="892"/>
      <c r="H144" s="892"/>
      <c r="I144" s="341"/>
      <c r="J144" s="359"/>
      <c r="N144" s="83"/>
    </row>
    <row r="145" spans="1:19" ht="15" hidden="1" customHeight="1" x14ac:dyDescent="0.25">
      <c r="A145" s="354"/>
      <c r="B145" s="355"/>
      <c r="C145" s="882" t="s">
        <v>8</v>
      </c>
      <c r="D145" s="882"/>
      <c r="E145" s="882"/>
      <c r="F145" s="882"/>
      <c r="G145" s="880">
        <v>0.6</v>
      </c>
      <c r="H145" s="880"/>
      <c r="I145" s="341"/>
      <c r="J145" s="359"/>
      <c r="N145" s="83"/>
    </row>
    <row r="146" spans="1:19" ht="15" hidden="1" customHeight="1" x14ac:dyDescent="0.25">
      <c r="A146" s="354"/>
      <c r="B146" s="891" t="s">
        <v>311</v>
      </c>
      <c r="C146" s="891"/>
      <c r="D146" s="891"/>
      <c r="E146" s="891"/>
      <c r="F146" s="891"/>
      <c r="G146" s="880">
        <f>G145-G147</f>
        <v>0.54999999999999993</v>
      </c>
      <c r="H146" s="880"/>
      <c r="I146" s="341"/>
      <c r="J146" s="359"/>
      <c r="N146" s="83"/>
      <c r="S146" s="2">
        <f>jkl!H10*6.2</f>
        <v>274.04000000000002</v>
      </c>
    </row>
    <row r="147" spans="1:19" ht="15" hidden="1" x14ac:dyDescent="0.25">
      <c r="A147" s="354"/>
      <c r="B147" s="891"/>
      <c r="C147" s="891"/>
      <c r="D147" s="891"/>
      <c r="E147" s="891"/>
      <c r="F147" s="891"/>
      <c r="G147" s="880">
        <v>0.05</v>
      </c>
      <c r="H147" s="880"/>
      <c r="I147" s="341"/>
      <c r="J147" s="359"/>
      <c r="N147" s="83"/>
      <c r="Q147" s="2">
        <f>8.84-3.84-4.06-0.2</f>
        <v>0.74000000000000044</v>
      </c>
    </row>
    <row r="148" spans="1:19" ht="7.5" hidden="1" customHeight="1" x14ac:dyDescent="0.2">
      <c r="A148" s="881"/>
      <c r="B148" s="882"/>
      <c r="C148" s="883"/>
      <c r="D148" s="883"/>
      <c r="E148" s="883"/>
      <c r="F148" s="883"/>
      <c r="G148" s="884"/>
      <c r="H148" s="884"/>
      <c r="I148" s="360"/>
      <c r="J148" s="360"/>
      <c r="K148" s="360"/>
      <c r="N148" s="83"/>
    </row>
    <row r="149" spans="1:19" hidden="1" x14ac:dyDescent="0.2">
      <c r="A149" s="890"/>
      <c r="B149" s="891"/>
      <c r="C149" s="883"/>
      <c r="D149" s="883"/>
      <c r="E149" s="361"/>
      <c r="F149" s="361"/>
      <c r="G149" s="467" t="s">
        <v>0</v>
      </c>
      <c r="H149" s="467" t="s">
        <v>1</v>
      </c>
      <c r="I149" s="466"/>
      <c r="J149" s="364"/>
      <c r="K149" s="364"/>
      <c r="N149" s="83"/>
    </row>
    <row r="150" spans="1:19" hidden="1" x14ac:dyDescent="0.2">
      <c r="A150" s="887" t="s">
        <v>312</v>
      </c>
      <c r="B150" s="888"/>
      <c r="C150" s="888"/>
      <c r="D150" s="888"/>
      <c r="E150" s="888"/>
      <c r="F150" s="888"/>
      <c r="G150" s="468">
        <f>G146/G145</f>
        <v>0.91666666666666663</v>
      </c>
      <c r="H150" s="468">
        <f>G147/G145</f>
        <v>8.3333333333333343E-2</v>
      </c>
      <c r="I150" s="457"/>
      <c r="J150" s="364"/>
      <c r="K150" s="364"/>
      <c r="N150" s="83"/>
    </row>
    <row r="151" spans="1:19" ht="22.9" hidden="1" customHeight="1" x14ac:dyDescent="0.2">
      <c r="A151" s="367"/>
      <c r="B151" s="368"/>
      <c r="C151" s="368"/>
      <c r="D151" s="368"/>
      <c r="E151" s="368"/>
      <c r="F151" s="368"/>
      <c r="G151" s="889" t="s">
        <v>313</v>
      </c>
      <c r="H151" s="889"/>
      <c r="I151" s="889" t="s">
        <v>314</v>
      </c>
      <c r="J151" s="889"/>
      <c r="K151" s="889"/>
      <c r="N151" s="83"/>
    </row>
    <row r="152" spans="1:19" ht="24.75" hidden="1" customHeight="1" x14ac:dyDescent="0.2">
      <c r="A152" s="369"/>
      <c r="B152" s="907" t="s">
        <v>6</v>
      </c>
      <c r="C152" s="907"/>
      <c r="D152" s="470" t="s">
        <v>509</v>
      </c>
      <c r="E152" s="470" t="s">
        <v>303</v>
      </c>
      <c r="F152" s="470" t="s">
        <v>510</v>
      </c>
      <c r="G152" s="470" t="s">
        <v>419</v>
      </c>
      <c r="H152" s="470" t="s">
        <v>318</v>
      </c>
      <c r="I152" s="471" t="s">
        <v>4</v>
      </c>
      <c r="J152" s="470" t="s">
        <v>119</v>
      </c>
      <c r="K152" s="470" t="s">
        <v>321</v>
      </c>
      <c r="M152" s="458" t="s">
        <v>324</v>
      </c>
      <c r="N152" s="83"/>
    </row>
    <row r="153" spans="1:19" ht="12.75" hidden="1" customHeight="1" x14ac:dyDescent="0.2">
      <c r="A153" s="887"/>
      <c r="B153" s="874" t="s">
        <v>7</v>
      </c>
      <c r="C153" s="874"/>
      <c r="D153" s="474">
        <v>0.13</v>
      </c>
      <c r="E153" s="474">
        <v>0</v>
      </c>
      <c r="F153" s="474">
        <f>D153+E153</f>
        <v>0.13</v>
      </c>
      <c r="G153" s="459"/>
      <c r="H153" s="459">
        <f>M153/F153</f>
        <v>1.1538461538461537</v>
      </c>
      <c r="I153" s="459">
        <f>(G147*G145*2)/(G145*G145*2)</f>
        <v>8.3333333333333329E-2</v>
      </c>
      <c r="J153" s="879">
        <f>(I153*F153)+(I154*F154)</f>
        <v>4.3833333333333335E-2</v>
      </c>
      <c r="K153" s="879">
        <f>M153/J153</f>
        <v>3.4220532319391634</v>
      </c>
      <c r="M153" s="880">
        <v>0.15</v>
      </c>
      <c r="N153" s="83"/>
    </row>
    <row r="154" spans="1:19" hidden="1" x14ac:dyDescent="0.2">
      <c r="A154" s="887"/>
      <c r="B154" s="893" t="s">
        <v>712</v>
      </c>
      <c r="C154" s="894"/>
      <c r="D154" s="474">
        <f>VLOOKUP(B154,$Q$1:$R$123,2,FALSE)</f>
        <v>3.5000000000000003E-2</v>
      </c>
      <c r="E154" s="474">
        <v>1E-3</v>
      </c>
      <c r="F154" s="474">
        <f>D154+E154</f>
        <v>3.6000000000000004E-2</v>
      </c>
      <c r="G154" s="459">
        <f>M153/F154</f>
        <v>4.1666666666666661</v>
      </c>
      <c r="H154" s="459"/>
      <c r="I154" s="459">
        <f>(G146*G145*2)/(G145*G145*2)</f>
        <v>0.91666666666666663</v>
      </c>
      <c r="J154" s="879"/>
      <c r="K154" s="879"/>
      <c r="M154" s="880"/>
      <c r="N154" s="83"/>
    </row>
    <row r="155" spans="1:19" hidden="1" x14ac:dyDescent="0.2">
      <c r="A155" s="887"/>
      <c r="B155" s="874" t="s">
        <v>7</v>
      </c>
      <c r="C155" s="874"/>
      <c r="D155" s="474">
        <v>0.13</v>
      </c>
      <c r="E155" s="474">
        <v>0</v>
      </c>
      <c r="F155" s="474">
        <f>D155+E155</f>
        <v>0.13</v>
      </c>
      <c r="G155" s="459"/>
      <c r="H155" s="459">
        <f>M155/F155</f>
        <v>0</v>
      </c>
      <c r="I155" s="459">
        <f>I153</f>
        <v>8.3333333333333329E-2</v>
      </c>
      <c r="J155" s="879">
        <f>(I155*F155)+(I156*F156)</f>
        <v>4.5666666666666668E-2</v>
      </c>
      <c r="K155" s="879">
        <f>M155/J155</f>
        <v>0</v>
      </c>
      <c r="M155" s="880">
        <v>0</v>
      </c>
      <c r="N155" s="83"/>
    </row>
    <row r="156" spans="1:19" hidden="1" x14ac:dyDescent="0.2">
      <c r="A156" s="887"/>
      <c r="B156" s="874" t="s">
        <v>386</v>
      </c>
      <c r="C156" s="874"/>
      <c r="D156" s="474">
        <f t="shared" ref="D156:D158" si="12">VLOOKUP(B156,$Q$1:$R$123,2,FALSE)</f>
        <v>3.5999999999999997E-2</v>
      </c>
      <c r="E156" s="474">
        <v>2E-3</v>
      </c>
      <c r="F156" s="474">
        <f>D156+E156</f>
        <v>3.7999999999999999E-2</v>
      </c>
      <c r="G156" s="459">
        <f>M155/F156</f>
        <v>0</v>
      </c>
      <c r="H156" s="459"/>
      <c r="I156" s="459">
        <f>I154</f>
        <v>0.91666666666666663</v>
      </c>
      <c r="J156" s="879"/>
      <c r="K156" s="879"/>
      <c r="M156" s="880"/>
      <c r="N156" s="83"/>
    </row>
    <row r="157" spans="1:19" hidden="1" x14ac:dyDescent="0.2">
      <c r="A157" s="367"/>
      <c r="B157" s="893" t="s">
        <v>417</v>
      </c>
      <c r="C157" s="894"/>
      <c r="D157" s="474">
        <f t="shared" si="12"/>
        <v>0.19</v>
      </c>
      <c r="E157" s="474">
        <v>0.02</v>
      </c>
      <c r="F157" s="474">
        <f>E157+D157</f>
        <v>0.21</v>
      </c>
      <c r="G157" s="459">
        <f>M157/F157</f>
        <v>1.4285714285714286</v>
      </c>
      <c r="H157" s="459">
        <f>M157/F157</f>
        <v>1.4285714285714286</v>
      </c>
      <c r="I157" s="456"/>
      <c r="J157" s="477">
        <f>F157</f>
        <v>0.21</v>
      </c>
      <c r="K157" s="477">
        <f>M157/J157</f>
        <v>1.4285714285714286</v>
      </c>
      <c r="M157" s="474">
        <v>0.3</v>
      </c>
      <c r="N157" s="83"/>
      <c r="O157" s="443"/>
    </row>
    <row r="158" spans="1:19" hidden="1" x14ac:dyDescent="0.2">
      <c r="A158" s="367"/>
      <c r="B158" s="893" t="s">
        <v>721</v>
      </c>
      <c r="C158" s="894"/>
      <c r="D158" s="474">
        <f t="shared" si="12"/>
        <v>3.3000000000000002E-2</v>
      </c>
      <c r="E158" s="474">
        <v>1E-3</v>
      </c>
      <c r="F158" s="474">
        <f>E158+D158</f>
        <v>3.4000000000000002E-2</v>
      </c>
      <c r="G158" s="459">
        <f>M158/F158</f>
        <v>0.88235294117647045</v>
      </c>
      <c r="H158" s="459">
        <f>M158/F158</f>
        <v>0.88235294117647045</v>
      </c>
      <c r="I158" s="456"/>
      <c r="J158" s="477">
        <f>F158</f>
        <v>3.4000000000000002E-2</v>
      </c>
      <c r="K158" s="477">
        <f>M158/J158</f>
        <v>0.88235294117647045</v>
      </c>
      <c r="M158" s="474">
        <v>0.03</v>
      </c>
      <c r="N158" s="83"/>
    </row>
    <row r="159" spans="1:19" hidden="1" x14ac:dyDescent="0.2">
      <c r="A159" s="367"/>
      <c r="B159" s="874" t="s">
        <v>611</v>
      </c>
      <c r="C159" s="874"/>
      <c r="D159" s="474">
        <v>5.2999999999999999E-2</v>
      </c>
      <c r="E159" s="474">
        <v>0</v>
      </c>
      <c r="F159" s="474">
        <f>E159+D159</f>
        <v>5.2999999999999999E-2</v>
      </c>
      <c r="G159" s="459">
        <f>IF(M159&gt;0,0.16,0)</f>
        <v>0</v>
      </c>
      <c r="H159" s="459">
        <f>IF(M159&gt;0,0.16,0)</f>
        <v>0</v>
      </c>
      <c r="I159" s="456"/>
      <c r="J159" s="477">
        <f>F159</f>
        <v>5.2999999999999999E-2</v>
      </c>
      <c r="K159" s="477">
        <f>M159/J159</f>
        <v>0</v>
      </c>
      <c r="M159" s="474">
        <v>0</v>
      </c>
      <c r="N159" s="83"/>
    </row>
    <row r="160" spans="1:19" hidden="1" x14ac:dyDescent="0.2">
      <c r="A160" s="367"/>
      <c r="B160" s="874" t="s">
        <v>402</v>
      </c>
      <c r="C160" s="874"/>
      <c r="D160" s="474">
        <v>0.26</v>
      </c>
      <c r="E160" s="474">
        <v>0</v>
      </c>
      <c r="F160" s="474">
        <f>D160+E160</f>
        <v>0.26</v>
      </c>
      <c r="G160" s="459">
        <f>M160/F160</f>
        <v>7.6923076923076927E-2</v>
      </c>
      <c r="H160" s="459">
        <f>M160/F160</f>
        <v>7.6923076923076927E-2</v>
      </c>
      <c r="I160" s="456"/>
      <c r="J160" s="459">
        <f>F160</f>
        <v>0.26</v>
      </c>
      <c r="K160" s="477">
        <f>M160/J160</f>
        <v>7.6923076923076927E-2</v>
      </c>
      <c r="M160" s="474">
        <v>0.02</v>
      </c>
      <c r="N160" s="83"/>
    </row>
    <row r="161" spans="1:19" hidden="1" x14ac:dyDescent="0.2">
      <c r="A161" s="86"/>
      <c r="F161" s="349"/>
      <c r="G161" s="459">
        <f>SUM(G153:G160)</f>
        <v>6.5545141133376417</v>
      </c>
      <c r="H161" s="459">
        <f>SUM(H153:H160)</f>
        <v>3.5416936005171298</v>
      </c>
      <c r="I161" s="895">
        <f>SUM(K153:K160)</f>
        <v>5.8099006786101386</v>
      </c>
      <c r="J161" s="896"/>
      <c r="K161" s="897"/>
      <c r="N161" s="83"/>
    </row>
    <row r="162" spans="1:19" ht="12.75" hidden="1" customHeight="1" x14ac:dyDescent="0.2">
      <c r="A162" s="86"/>
      <c r="C162" s="343"/>
      <c r="D162" s="377"/>
      <c r="E162" s="377"/>
      <c r="F162" s="377"/>
      <c r="G162" s="879">
        <f>ROUND((G150*G161)+(H150*H161),3)</f>
        <v>6.3029999999999999</v>
      </c>
      <c r="H162" s="879"/>
      <c r="I162" s="898"/>
      <c r="J162" s="899"/>
      <c r="K162" s="900"/>
      <c r="M162" s="2" t="s">
        <v>704</v>
      </c>
      <c r="N162" s="83"/>
    </row>
    <row r="163" spans="1:19" ht="2.4500000000000002" hidden="1" customHeight="1" x14ac:dyDescent="0.2">
      <c r="A163" s="86"/>
      <c r="C163" s="378"/>
      <c r="D163" s="379"/>
      <c r="E163" s="377"/>
      <c r="F163" s="377"/>
      <c r="G163" s="380"/>
      <c r="H163" s="380"/>
      <c r="I163" s="380"/>
      <c r="J163" s="380"/>
      <c r="K163" s="380"/>
      <c r="M163" s="343"/>
      <c r="N163" s="83"/>
    </row>
    <row r="164" spans="1:19" ht="12.6" hidden="1" customHeight="1" x14ac:dyDescent="0.2">
      <c r="A164" s="86"/>
      <c r="I164" s="762"/>
      <c r="J164" s="762"/>
      <c r="K164" s="762"/>
      <c r="M164" s="626">
        <f>SUM(M153:M160)*1000</f>
        <v>500</v>
      </c>
      <c r="N164" s="384" t="s">
        <v>120</v>
      </c>
    </row>
    <row r="165" spans="1:19" ht="3.6" hidden="1" customHeight="1" x14ac:dyDescent="0.2">
      <c r="A165" s="86"/>
      <c r="N165" s="83"/>
    </row>
    <row r="166" spans="1:19" ht="21" hidden="1" x14ac:dyDescent="0.2">
      <c r="A166" s="86"/>
      <c r="E166" s="901" t="s">
        <v>93</v>
      </c>
      <c r="F166" s="901"/>
      <c r="G166" s="901"/>
      <c r="H166" s="875">
        <f>ROUND(1/((G162+I161)/2+I142+I143),2)</f>
        <v>0.16</v>
      </c>
      <c r="I166" s="876"/>
      <c r="J166" s="877" t="s">
        <v>555</v>
      </c>
      <c r="K166" s="878"/>
      <c r="N166" s="83"/>
    </row>
    <row r="167" spans="1:19" ht="18.75" hidden="1" customHeight="1" x14ac:dyDescent="0.2">
      <c r="A167" s="87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9"/>
    </row>
    <row r="168" spans="1:19" ht="15" hidden="1" customHeight="1" x14ac:dyDescent="0.2">
      <c r="R168" s="434"/>
    </row>
    <row r="169" spans="1:19" ht="18.75" hidden="1" customHeight="1" x14ac:dyDescent="0.35">
      <c r="A169" s="78"/>
      <c r="B169" s="79"/>
      <c r="C169" s="79"/>
      <c r="D169" s="79"/>
      <c r="E169" s="79"/>
      <c r="F169" s="79"/>
      <c r="G169" s="79"/>
      <c r="H169" s="79"/>
      <c r="I169" s="79"/>
      <c r="J169" s="80"/>
      <c r="K169" s="80"/>
      <c r="L169" s="99"/>
      <c r="M169" s="99"/>
      <c r="N169" s="81"/>
    </row>
    <row r="170" spans="1:19" ht="15.75" hidden="1" x14ac:dyDescent="0.2">
      <c r="A170" s="354"/>
      <c r="B170" s="387"/>
      <c r="C170" s="868" t="s">
        <v>356</v>
      </c>
      <c r="D170" s="868"/>
      <c r="E170" s="868"/>
      <c r="F170" s="868"/>
      <c r="G170" s="868"/>
      <c r="H170" s="868"/>
      <c r="I170" s="868"/>
      <c r="J170" s="868"/>
      <c r="K170" s="868"/>
      <c r="L170" s="868"/>
      <c r="M170" s="869"/>
      <c r="N170" s="83"/>
    </row>
    <row r="171" spans="1:19" ht="11.25" hidden="1" customHeight="1" x14ac:dyDescent="0.2">
      <c r="A171" s="354"/>
      <c r="B171" s="355"/>
      <c r="C171" s="341"/>
      <c r="D171" s="356"/>
      <c r="E171" s="356"/>
      <c r="F171" s="356"/>
      <c r="G171" s="356"/>
      <c r="H171" s="356"/>
      <c r="I171" s="356"/>
      <c r="J171" s="356"/>
      <c r="N171" s="83"/>
    </row>
    <row r="172" spans="1:19" ht="15" hidden="1" customHeight="1" x14ac:dyDescent="0.25">
      <c r="A172" s="354"/>
      <c r="B172" s="871" t="s">
        <v>307</v>
      </c>
      <c r="C172" s="871"/>
      <c r="D172" s="871"/>
      <c r="E172" s="871"/>
      <c r="F172" s="871"/>
      <c r="G172" s="871"/>
      <c r="H172" s="357" t="s">
        <v>308</v>
      </c>
      <c r="I172" s="872">
        <v>0.13</v>
      </c>
      <c r="J172" s="873"/>
      <c r="K172" s="399"/>
      <c r="N172" s="83"/>
    </row>
    <row r="173" spans="1:19" ht="15" hidden="1" customHeight="1" x14ac:dyDescent="0.25">
      <c r="A173" s="354"/>
      <c r="B173" s="355"/>
      <c r="C173" s="341"/>
      <c r="D173" s="383"/>
      <c r="E173" s="383"/>
      <c r="F173" s="383"/>
      <c r="G173" s="383"/>
      <c r="H173" s="341" t="s">
        <v>301</v>
      </c>
      <c r="I173" s="872">
        <v>0.13</v>
      </c>
      <c r="J173" s="873"/>
      <c r="N173" s="83"/>
    </row>
    <row r="174" spans="1:19" ht="6" hidden="1" customHeight="1" x14ac:dyDescent="0.25">
      <c r="A174" s="354"/>
      <c r="B174" s="355"/>
      <c r="C174" s="341"/>
      <c r="D174" s="341"/>
      <c r="E174" s="341"/>
      <c r="F174" s="341"/>
      <c r="G174" s="892"/>
      <c r="H174" s="892"/>
      <c r="I174" s="341"/>
      <c r="J174" s="359"/>
      <c r="N174" s="83"/>
    </row>
    <row r="175" spans="1:19" ht="15" hidden="1" customHeight="1" x14ac:dyDescent="0.25">
      <c r="A175" s="354"/>
      <c r="B175" s="355"/>
      <c r="C175" s="882" t="s">
        <v>8</v>
      </c>
      <c r="D175" s="882"/>
      <c r="E175" s="882"/>
      <c r="F175" s="882"/>
      <c r="G175" s="880">
        <v>0.6</v>
      </c>
      <c r="H175" s="880"/>
      <c r="I175" s="341"/>
      <c r="J175" s="359"/>
      <c r="N175" s="83"/>
    </row>
    <row r="176" spans="1:19" ht="15" hidden="1" customHeight="1" x14ac:dyDescent="0.25">
      <c r="A176" s="354"/>
      <c r="B176" s="891" t="s">
        <v>311</v>
      </c>
      <c r="C176" s="891"/>
      <c r="D176" s="891"/>
      <c r="E176" s="891"/>
      <c r="F176" s="891"/>
      <c r="G176" s="880">
        <f>G175-G177</f>
        <v>0.54999999999999993</v>
      </c>
      <c r="H176" s="880"/>
      <c r="I176" s="341"/>
      <c r="J176" s="359"/>
      <c r="N176" s="83"/>
      <c r="S176" s="2">
        <f>jkl!H39*6.2</f>
        <v>0.92999999999999994</v>
      </c>
    </row>
    <row r="177" spans="1:17" ht="15" hidden="1" x14ac:dyDescent="0.25">
      <c r="A177" s="354"/>
      <c r="B177" s="891"/>
      <c r="C177" s="891"/>
      <c r="D177" s="891"/>
      <c r="E177" s="891"/>
      <c r="F177" s="891"/>
      <c r="G177" s="880">
        <v>0.05</v>
      </c>
      <c r="H177" s="880"/>
      <c r="I177" s="341"/>
      <c r="J177" s="359"/>
      <c r="N177" s="83"/>
      <c r="Q177" s="2">
        <f>8.84-3.84-4.06-0.2</f>
        <v>0.74000000000000044</v>
      </c>
    </row>
    <row r="178" spans="1:17" ht="7.5" hidden="1" customHeight="1" x14ac:dyDescent="0.2">
      <c r="A178" s="881"/>
      <c r="B178" s="882"/>
      <c r="C178" s="883"/>
      <c r="D178" s="883"/>
      <c r="E178" s="883"/>
      <c r="F178" s="883"/>
      <c r="G178" s="884"/>
      <c r="H178" s="884"/>
      <c r="I178" s="360"/>
      <c r="J178" s="360"/>
      <c r="K178" s="360"/>
      <c r="N178" s="83"/>
    </row>
    <row r="179" spans="1:17" hidden="1" x14ac:dyDescent="0.2">
      <c r="A179" s="890"/>
      <c r="B179" s="891"/>
      <c r="C179" s="883"/>
      <c r="D179" s="883"/>
      <c r="E179" s="361"/>
      <c r="F179" s="361"/>
      <c r="G179" s="467" t="s">
        <v>0</v>
      </c>
      <c r="H179" s="467" t="s">
        <v>1</v>
      </c>
      <c r="I179" s="466"/>
      <c r="J179" s="364"/>
      <c r="K179" s="364"/>
      <c r="N179" s="83"/>
    </row>
    <row r="180" spans="1:17" hidden="1" x14ac:dyDescent="0.2">
      <c r="A180" s="887" t="s">
        <v>312</v>
      </c>
      <c r="B180" s="888"/>
      <c r="C180" s="888"/>
      <c r="D180" s="888"/>
      <c r="E180" s="888"/>
      <c r="F180" s="888"/>
      <c r="G180" s="468">
        <f>G176/G175</f>
        <v>0.91666666666666663</v>
      </c>
      <c r="H180" s="468">
        <f>G177/G175</f>
        <v>8.3333333333333343E-2</v>
      </c>
      <c r="I180" s="457"/>
      <c r="J180" s="364"/>
      <c r="K180" s="364"/>
      <c r="N180" s="83"/>
    </row>
    <row r="181" spans="1:17" ht="21" hidden="1" customHeight="1" x14ac:dyDescent="0.2">
      <c r="A181" s="367"/>
      <c r="B181" s="368"/>
      <c r="C181" s="368"/>
      <c r="D181" s="368"/>
      <c r="E181" s="368"/>
      <c r="F181" s="368"/>
      <c r="G181" s="889" t="s">
        <v>313</v>
      </c>
      <c r="H181" s="889"/>
      <c r="I181" s="889" t="s">
        <v>314</v>
      </c>
      <c r="J181" s="889"/>
      <c r="K181" s="889"/>
      <c r="N181" s="83"/>
    </row>
    <row r="182" spans="1:17" ht="12.75" hidden="1" customHeight="1" x14ac:dyDescent="0.2">
      <c r="A182" s="369"/>
      <c r="B182" s="907" t="s">
        <v>6</v>
      </c>
      <c r="C182" s="907"/>
      <c r="D182" s="470" t="s">
        <v>509</v>
      </c>
      <c r="E182" s="470" t="s">
        <v>303</v>
      </c>
      <c r="F182" s="470" t="s">
        <v>510</v>
      </c>
      <c r="G182" s="470" t="s">
        <v>419</v>
      </c>
      <c r="H182" s="470" t="s">
        <v>318</v>
      </c>
      <c r="I182" s="471" t="s">
        <v>4</v>
      </c>
      <c r="J182" s="470" t="s">
        <v>119</v>
      </c>
      <c r="K182" s="470" t="s">
        <v>321</v>
      </c>
      <c r="M182" s="458" t="s">
        <v>324</v>
      </c>
      <c r="N182" s="83"/>
    </row>
    <row r="183" spans="1:17" ht="12.75" hidden="1" customHeight="1" x14ac:dyDescent="0.2">
      <c r="A183" s="887"/>
      <c r="B183" s="874" t="s">
        <v>7</v>
      </c>
      <c r="C183" s="874"/>
      <c r="D183" s="474">
        <v>0.13</v>
      </c>
      <c r="E183" s="474">
        <v>0</v>
      </c>
      <c r="F183" s="474">
        <f>D183+E183</f>
        <v>0.13</v>
      </c>
      <c r="G183" s="459"/>
      <c r="H183" s="459">
        <f>M183/F183</f>
        <v>1.1538461538461537</v>
      </c>
      <c r="I183" s="459">
        <f>(G177*G175*2)/(G175*G175*2)</f>
        <v>8.3333333333333329E-2</v>
      </c>
      <c r="J183" s="879">
        <f>(I183*F183)+(I184*F184)</f>
        <v>4.4749999999999998E-2</v>
      </c>
      <c r="K183" s="879">
        <f>M183/J183</f>
        <v>3.3519553072625698</v>
      </c>
      <c r="M183" s="880">
        <v>0.15</v>
      </c>
      <c r="N183" s="83"/>
    </row>
    <row r="184" spans="1:17" hidden="1" x14ac:dyDescent="0.2">
      <c r="A184" s="887"/>
      <c r="B184" s="874" t="s">
        <v>386</v>
      </c>
      <c r="C184" s="874"/>
      <c r="D184" s="474">
        <v>3.5999999999999997E-2</v>
      </c>
      <c r="E184" s="474">
        <v>1E-3</v>
      </c>
      <c r="F184" s="474">
        <f>D184+E184</f>
        <v>3.6999999999999998E-2</v>
      </c>
      <c r="G184" s="459">
        <f>M183/F184</f>
        <v>4.0540540540540544</v>
      </c>
      <c r="H184" s="459"/>
      <c r="I184" s="459">
        <f>(G176*G175*2)/(G175*G175*2)</f>
        <v>0.91666666666666663</v>
      </c>
      <c r="J184" s="879"/>
      <c r="K184" s="879"/>
      <c r="M184" s="880"/>
      <c r="N184" s="83"/>
    </row>
    <row r="185" spans="1:17" hidden="1" x14ac:dyDescent="0.2">
      <c r="A185" s="887"/>
      <c r="B185" s="874" t="s">
        <v>7</v>
      </c>
      <c r="C185" s="874"/>
      <c r="D185" s="474">
        <v>0.15</v>
      </c>
      <c r="E185" s="474">
        <v>0</v>
      </c>
      <c r="F185" s="474">
        <f>D185+E185</f>
        <v>0.15</v>
      </c>
      <c r="G185" s="459"/>
      <c r="H185" s="459">
        <f>M185/F185</f>
        <v>0</v>
      </c>
      <c r="I185" s="459">
        <f>I183</f>
        <v>8.3333333333333329E-2</v>
      </c>
      <c r="J185" s="879">
        <f>(I185*F185)+(I186*F186)</f>
        <v>4.5499999999999992E-2</v>
      </c>
      <c r="K185" s="879">
        <f>M185/J185</f>
        <v>0</v>
      </c>
      <c r="M185" s="880">
        <v>0</v>
      </c>
      <c r="N185" s="83"/>
    </row>
    <row r="186" spans="1:17" hidden="1" x14ac:dyDescent="0.2">
      <c r="A186" s="887"/>
      <c r="B186" s="874" t="s">
        <v>386</v>
      </c>
      <c r="C186" s="874"/>
      <c r="D186" s="474">
        <f>VLOOKUP(B186,Q3:R101,2,FALSE)</f>
        <v>3.5999999999999997E-2</v>
      </c>
      <c r="E186" s="474">
        <v>0</v>
      </c>
      <c r="F186" s="474">
        <f>D186+E186</f>
        <v>3.5999999999999997E-2</v>
      </c>
      <c r="G186" s="459">
        <f>M185/F186</f>
        <v>0</v>
      </c>
      <c r="H186" s="459"/>
      <c r="I186" s="459">
        <f>I184</f>
        <v>0.91666666666666663</v>
      </c>
      <c r="J186" s="879"/>
      <c r="K186" s="879"/>
      <c r="M186" s="880"/>
      <c r="N186" s="83"/>
    </row>
    <row r="187" spans="1:17" hidden="1" x14ac:dyDescent="0.2">
      <c r="A187" s="367"/>
      <c r="B187" s="874" t="s">
        <v>544</v>
      </c>
      <c r="C187" s="874"/>
      <c r="D187" s="474">
        <f>VLOOKUP(B187,Q4:R102,2,FALSE)</f>
        <v>0.1</v>
      </c>
      <c r="E187" s="474">
        <v>0.02</v>
      </c>
      <c r="F187" s="474">
        <f>E187+D187</f>
        <v>0.12000000000000001</v>
      </c>
      <c r="G187" s="459">
        <f>M187/F187</f>
        <v>1.2499999999999998</v>
      </c>
      <c r="H187" s="459">
        <f>M187/F187</f>
        <v>1.2499999999999998</v>
      </c>
      <c r="I187" s="456"/>
      <c r="J187" s="477">
        <f>F187</f>
        <v>0.12000000000000001</v>
      </c>
      <c r="K187" s="477">
        <f>M187/J187</f>
        <v>1.2499999999999998</v>
      </c>
      <c r="M187" s="474">
        <v>0.15</v>
      </c>
      <c r="N187" s="83"/>
    </row>
    <row r="188" spans="1:17" hidden="1" x14ac:dyDescent="0.2">
      <c r="A188" s="367"/>
      <c r="B188" s="874" t="s">
        <v>499</v>
      </c>
      <c r="C188" s="874"/>
      <c r="D188" s="474">
        <v>0.15</v>
      </c>
      <c r="E188" s="474">
        <v>0</v>
      </c>
      <c r="F188" s="474">
        <f>E188+D188</f>
        <v>0.15</v>
      </c>
      <c r="G188" s="459">
        <f>M188/F188</f>
        <v>0</v>
      </c>
      <c r="H188" s="459">
        <f>M188/F188</f>
        <v>0</v>
      </c>
      <c r="I188" s="456"/>
      <c r="J188" s="477">
        <f>F188</f>
        <v>0.15</v>
      </c>
      <c r="K188" s="477">
        <f>M188/J188</f>
        <v>0</v>
      </c>
      <c r="M188" s="474">
        <v>0</v>
      </c>
      <c r="N188" s="83"/>
    </row>
    <row r="189" spans="1:17" hidden="1" x14ac:dyDescent="0.2">
      <c r="A189" s="367"/>
      <c r="B189" s="874" t="s">
        <v>124</v>
      </c>
      <c r="C189" s="874"/>
      <c r="D189" s="474"/>
      <c r="E189" s="474"/>
      <c r="F189" s="474"/>
      <c r="G189" s="459">
        <f>IF(M189&gt;0,0.16,0)</f>
        <v>0</v>
      </c>
      <c r="H189" s="459">
        <f>IF(M189&gt;0,0.16,0)</f>
        <v>0</v>
      </c>
      <c r="I189" s="456"/>
      <c r="J189" s="459"/>
      <c r="K189" s="477">
        <f>IF(M189&gt;0,0.16,0)</f>
        <v>0</v>
      </c>
      <c r="M189" s="474">
        <v>0</v>
      </c>
      <c r="N189" s="83"/>
    </row>
    <row r="190" spans="1:17" hidden="1" x14ac:dyDescent="0.2">
      <c r="A190" s="367"/>
      <c r="B190" s="874" t="s">
        <v>402</v>
      </c>
      <c r="C190" s="874"/>
      <c r="D190" s="474">
        <v>0.26</v>
      </c>
      <c r="E190" s="474">
        <v>0</v>
      </c>
      <c r="F190" s="474">
        <f>D190+E190</f>
        <v>0.26</v>
      </c>
      <c r="G190" s="459">
        <f>M190/F190</f>
        <v>3.8461538461538464E-2</v>
      </c>
      <c r="H190" s="459">
        <f>M190/F190</f>
        <v>3.8461538461538464E-2</v>
      </c>
      <c r="I190" s="456"/>
      <c r="J190" s="459">
        <f>F190</f>
        <v>0.26</v>
      </c>
      <c r="K190" s="477">
        <f>M190/J190</f>
        <v>3.8461538461538464E-2</v>
      </c>
      <c r="M190" s="474">
        <v>0.01</v>
      </c>
      <c r="N190" s="83"/>
    </row>
    <row r="191" spans="1:17" hidden="1" x14ac:dyDescent="0.2">
      <c r="A191" s="86"/>
      <c r="F191" s="349"/>
      <c r="G191" s="459">
        <f>SUM(G183:G190)</f>
        <v>5.3425155925155927</v>
      </c>
      <c r="H191" s="459">
        <f>SUM(H183:H190)</f>
        <v>2.4423076923076916</v>
      </c>
      <c r="I191" s="895">
        <f>SUM(K183:K190)</f>
        <v>4.6404168457241077</v>
      </c>
      <c r="J191" s="896"/>
      <c r="K191" s="897"/>
      <c r="N191" s="83"/>
    </row>
    <row r="192" spans="1:17" ht="12.75" hidden="1" customHeight="1" x14ac:dyDescent="0.2">
      <c r="A192" s="86"/>
      <c r="C192" s="343"/>
      <c r="D192" s="377"/>
      <c r="E192" s="377"/>
      <c r="F192" s="377"/>
      <c r="G192" s="879">
        <f>ROUND((G180*G191)+(H180*H191),3)</f>
        <v>5.101</v>
      </c>
      <c r="H192" s="879"/>
      <c r="I192" s="898"/>
      <c r="J192" s="899"/>
      <c r="K192" s="900"/>
      <c r="N192" s="83"/>
    </row>
    <row r="193" spans="1:18" ht="12.75" hidden="1" customHeight="1" x14ac:dyDescent="0.2">
      <c r="A193" s="86"/>
      <c r="C193" s="378"/>
      <c r="D193" s="379"/>
      <c r="E193" s="377"/>
      <c r="F193" s="377"/>
      <c r="G193" s="380"/>
      <c r="H193" s="380"/>
      <c r="I193" s="380"/>
      <c r="J193" s="380"/>
      <c r="K193" s="380"/>
      <c r="M193" s="343"/>
      <c r="N193" s="83"/>
    </row>
    <row r="194" spans="1:18" ht="12.75" hidden="1" customHeight="1" x14ac:dyDescent="0.2">
      <c r="A194" s="86"/>
      <c r="K194" s="349" t="s">
        <v>106</v>
      </c>
      <c r="M194" s="626">
        <f>SUM(M183:M190)*1000</f>
        <v>310</v>
      </c>
      <c r="N194" s="384" t="s">
        <v>120</v>
      </c>
    </row>
    <row r="195" spans="1:18" ht="12.75" hidden="1" customHeight="1" x14ac:dyDescent="0.2">
      <c r="A195" s="86"/>
      <c r="N195" s="83"/>
    </row>
    <row r="196" spans="1:18" ht="21" hidden="1" x14ac:dyDescent="0.2">
      <c r="A196" s="86"/>
      <c r="E196" s="901" t="s">
        <v>93</v>
      </c>
      <c r="F196" s="901"/>
      <c r="G196" s="901"/>
      <c r="H196" s="875">
        <f>ROUND(1/((G192+I191)/2+I172+I173),2)</f>
        <v>0.19</v>
      </c>
      <c r="I196" s="876"/>
      <c r="J196" s="877" t="s">
        <v>555</v>
      </c>
      <c r="K196" s="878"/>
      <c r="N196" s="83"/>
    </row>
    <row r="197" spans="1:18" ht="18.75" hidden="1" customHeight="1" x14ac:dyDescent="0.2">
      <c r="A197" s="87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</row>
    <row r="198" spans="1:18" ht="90" hidden="1" customHeight="1" x14ac:dyDescent="0.2">
      <c r="A198" s="2"/>
    </row>
    <row r="199" spans="1:18" ht="18.75" customHeight="1" x14ac:dyDescent="0.35">
      <c r="A199" s="78"/>
      <c r="B199" s="79"/>
      <c r="C199" s="79"/>
      <c r="D199" s="79"/>
      <c r="E199" s="79"/>
      <c r="F199" s="79"/>
      <c r="G199" s="79"/>
      <c r="H199" s="79"/>
      <c r="I199" s="79"/>
      <c r="J199" s="80"/>
      <c r="K199" s="80"/>
      <c r="L199" s="99"/>
      <c r="M199" s="99"/>
      <c r="N199" s="81"/>
      <c r="Q199" s="2" t="s">
        <v>422</v>
      </c>
      <c r="R199" s="2">
        <v>0.11</v>
      </c>
    </row>
    <row r="200" spans="1:18" ht="15.75" x14ac:dyDescent="0.2">
      <c r="A200" s="354"/>
      <c r="B200" s="387"/>
      <c r="C200" s="868" t="s">
        <v>531</v>
      </c>
      <c r="D200" s="868"/>
      <c r="E200" s="868"/>
      <c r="F200" s="868"/>
      <c r="G200" s="868"/>
      <c r="H200" s="868"/>
      <c r="I200" s="868"/>
      <c r="J200" s="868"/>
      <c r="K200" s="868"/>
      <c r="L200" s="868"/>
      <c r="M200" s="869"/>
      <c r="N200" s="83"/>
      <c r="Q200" s="2" t="s">
        <v>422</v>
      </c>
      <c r="R200" s="2">
        <v>0.11</v>
      </c>
    </row>
    <row r="201" spans="1:18" ht="11.25" customHeight="1" x14ac:dyDescent="0.2">
      <c r="A201" s="354"/>
      <c r="B201" s="355"/>
      <c r="C201" s="341"/>
      <c r="D201" s="356"/>
      <c r="E201" s="356"/>
      <c r="F201" s="356"/>
      <c r="G201" s="356"/>
      <c r="H201" s="356"/>
      <c r="I201" s="356"/>
      <c r="J201" s="356"/>
      <c r="N201" s="83"/>
    </row>
    <row r="202" spans="1:18" ht="15" x14ac:dyDescent="0.25">
      <c r="A202" s="354"/>
      <c r="B202" s="871" t="s">
        <v>307</v>
      </c>
      <c r="C202" s="871"/>
      <c r="D202" s="871"/>
      <c r="E202" s="871"/>
      <c r="F202" s="871"/>
      <c r="G202" s="871"/>
      <c r="H202" s="357" t="s">
        <v>308</v>
      </c>
      <c r="I202" s="872">
        <v>0.1</v>
      </c>
      <c r="J202" s="873"/>
      <c r="K202" s="399"/>
      <c r="N202" s="83"/>
    </row>
    <row r="203" spans="1:18" ht="15" x14ac:dyDescent="0.25">
      <c r="A203" s="354"/>
      <c r="B203" s="355"/>
      <c r="C203" s="341"/>
      <c r="D203" s="383"/>
      <c r="E203" s="383"/>
      <c r="F203" s="383"/>
      <c r="G203" s="383"/>
      <c r="H203" s="341" t="s">
        <v>301</v>
      </c>
      <c r="I203" s="872">
        <v>0.04</v>
      </c>
      <c r="J203" s="873"/>
      <c r="N203" s="83"/>
    </row>
    <row r="204" spans="1:18" ht="15" x14ac:dyDescent="0.25">
      <c r="A204" s="354"/>
      <c r="B204" s="355"/>
      <c r="C204" s="341"/>
      <c r="D204" s="383"/>
      <c r="E204" s="383"/>
      <c r="F204" s="383"/>
      <c r="G204" s="383"/>
      <c r="H204" s="341" t="s">
        <v>323</v>
      </c>
      <c r="I204" s="872">
        <v>0.3</v>
      </c>
      <c r="J204" s="873"/>
      <c r="N204" s="83"/>
    </row>
    <row r="205" spans="1:18" ht="7.5" customHeight="1" x14ac:dyDescent="0.25">
      <c r="A205" s="354"/>
      <c r="B205" s="355"/>
      <c r="C205" s="341"/>
      <c r="D205" s="341"/>
      <c r="E205" s="341"/>
      <c r="F205" s="341"/>
      <c r="G205" s="892"/>
      <c r="H205" s="892"/>
      <c r="I205" s="341"/>
      <c r="J205" s="359"/>
      <c r="N205" s="83"/>
    </row>
    <row r="206" spans="1:18" ht="15" x14ac:dyDescent="0.25">
      <c r="A206" s="354"/>
      <c r="B206" s="355"/>
      <c r="C206" s="882" t="s">
        <v>8</v>
      </c>
      <c r="D206" s="882"/>
      <c r="E206" s="882"/>
      <c r="F206" s="882"/>
      <c r="G206" s="880">
        <v>0.6</v>
      </c>
      <c r="H206" s="880"/>
      <c r="I206" s="341"/>
      <c r="J206" s="359"/>
      <c r="N206" s="83"/>
    </row>
    <row r="207" spans="1:18" ht="15" x14ac:dyDescent="0.25">
      <c r="A207" s="354"/>
      <c r="B207" s="891" t="s">
        <v>311</v>
      </c>
      <c r="C207" s="891"/>
      <c r="D207" s="891"/>
      <c r="E207" s="891"/>
      <c r="F207" s="891"/>
      <c r="G207" s="880">
        <f>G206-G208</f>
        <v>0.54999999999999993</v>
      </c>
      <c r="H207" s="880"/>
      <c r="I207" s="341"/>
      <c r="J207" s="359"/>
      <c r="N207" s="83"/>
    </row>
    <row r="208" spans="1:18" ht="15" x14ac:dyDescent="0.25">
      <c r="A208" s="354"/>
      <c r="B208" s="891"/>
      <c r="C208" s="891"/>
      <c r="D208" s="891"/>
      <c r="E208" s="891"/>
      <c r="F208" s="891"/>
      <c r="G208" s="880">
        <v>0.05</v>
      </c>
      <c r="H208" s="880"/>
      <c r="I208" s="341"/>
      <c r="J208" s="359"/>
      <c r="N208" s="83"/>
      <c r="Q208" s="2">
        <f>8.84-3.84-4.06-0.2</f>
        <v>0.74000000000000044</v>
      </c>
    </row>
    <row r="209" spans="1:14" ht="3.75" customHeight="1" x14ac:dyDescent="0.2">
      <c r="A209" s="881"/>
      <c r="B209" s="882"/>
      <c r="C209" s="883"/>
      <c r="D209" s="883"/>
      <c r="E209" s="883"/>
      <c r="F209" s="883"/>
      <c r="G209" s="884"/>
      <c r="H209" s="884"/>
      <c r="I209" s="360"/>
      <c r="J209" s="360"/>
      <c r="K209" s="360"/>
      <c r="N209" s="83"/>
    </row>
    <row r="210" spans="1:14" x14ac:dyDescent="0.2">
      <c r="A210" s="890"/>
      <c r="B210" s="891"/>
      <c r="C210" s="883"/>
      <c r="D210" s="883"/>
      <c r="E210" s="361"/>
      <c r="F210" s="361"/>
      <c r="G210" s="467" t="s">
        <v>0</v>
      </c>
      <c r="H210" s="467" t="s">
        <v>1</v>
      </c>
      <c r="I210" s="466"/>
      <c r="J210" s="364"/>
      <c r="K210" s="364"/>
      <c r="N210" s="83"/>
    </row>
    <row r="211" spans="1:14" x14ac:dyDescent="0.2">
      <c r="A211" s="887" t="s">
        <v>312</v>
      </c>
      <c r="B211" s="888"/>
      <c r="C211" s="888"/>
      <c r="D211" s="888"/>
      <c r="E211" s="888"/>
      <c r="F211" s="888"/>
      <c r="G211" s="468">
        <f>G207/G206</f>
        <v>0.91666666666666663</v>
      </c>
      <c r="H211" s="468">
        <f>G208/G206</f>
        <v>8.3333333333333343E-2</v>
      </c>
      <c r="I211" s="457"/>
      <c r="J211" s="364"/>
      <c r="K211" s="364"/>
      <c r="N211" s="83"/>
    </row>
    <row r="212" spans="1:14" ht="24" customHeight="1" x14ac:dyDescent="0.2">
      <c r="A212" s="367"/>
      <c r="B212" s="368"/>
      <c r="C212" s="368"/>
      <c r="D212" s="368"/>
      <c r="E212" s="368"/>
      <c r="F212" s="368"/>
      <c r="G212" s="889" t="s">
        <v>313</v>
      </c>
      <c r="H212" s="889"/>
      <c r="I212" s="889" t="s">
        <v>314</v>
      </c>
      <c r="J212" s="889"/>
      <c r="K212" s="889"/>
      <c r="N212" s="83"/>
    </row>
    <row r="213" spans="1:14" ht="24.75" customHeight="1" x14ac:dyDescent="0.2">
      <c r="A213" s="369"/>
      <c r="B213" s="907" t="s">
        <v>6</v>
      </c>
      <c r="C213" s="907"/>
      <c r="D213" s="470" t="s">
        <v>509</v>
      </c>
      <c r="E213" s="470" t="s">
        <v>303</v>
      </c>
      <c r="F213" s="470" t="s">
        <v>510</v>
      </c>
      <c r="G213" s="470" t="s">
        <v>419</v>
      </c>
      <c r="H213" s="470" t="s">
        <v>318</v>
      </c>
      <c r="I213" s="471" t="s">
        <v>4</v>
      </c>
      <c r="J213" s="470" t="s">
        <v>119</v>
      </c>
      <c r="K213" s="470" t="s">
        <v>321</v>
      </c>
      <c r="M213" s="458" t="s">
        <v>324</v>
      </c>
      <c r="N213" s="83"/>
    </row>
    <row r="214" spans="1:14" x14ac:dyDescent="0.2">
      <c r="A214" s="887"/>
      <c r="B214" s="874" t="s">
        <v>472</v>
      </c>
      <c r="C214" s="874"/>
      <c r="D214" s="474">
        <v>0.13</v>
      </c>
      <c r="E214" s="474">
        <v>0</v>
      </c>
      <c r="F214" s="474">
        <f>D214+E214</f>
        <v>0.13</v>
      </c>
      <c r="G214" s="459"/>
      <c r="H214" s="459">
        <f>M214/F214</f>
        <v>1.5384615384615385</v>
      </c>
      <c r="I214" s="465">
        <f>(G208*G206*2)/(G206*G206*2)</f>
        <v>8.3333333333333329E-2</v>
      </c>
      <c r="J214" s="879">
        <f>(I214*F214)+(I215*F215)</f>
        <v>4.9333333333333333E-2</v>
      </c>
      <c r="K214" s="879">
        <f>M214/J214</f>
        <v>4.0540540540540544</v>
      </c>
      <c r="M214" s="880">
        <v>0.2</v>
      </c>
      <c r="N214" s="83"/>
    </row>
    <row r="215" spans="1:14" x14ac:dyDescent="0.2">
      <c r="A215" s="887"/>
      <c r="B215" s="893" t="s">
        <v>837</v>
      </c>
      <c r="C215" s="894"/>
      <c r="D215" s="474">
        <f>VLOOKUP(B215,Q1:R130,2,FALSE)</f>
        <v>4.1000000000000002E-2</v>
      </c>
      <c r="E215" s="474">
        <v>1E-3</v>
      </c>
      <c r="F215" s="474">
        <f>D215+E215</f>
        <v>4.2000000000000003E-2</v>
      </c>
      <c r="G215" s="459">
        <f>M214/F215</f>
        <v>4.7619047619047619</v>
      </c>
      <c r="H215" s="459"/>
      <c r="I215" s="465">
        <f>(G207*G206*2)/(G206*G206*2)</f>
        <v>0.91666666666666663</v>
      </c>
      <c r="J215" s="879"/>
      <c r="K215" s="879"/>
      <c r="M215" s="880"/>
      <c r="N215" s="83"/>
    </row>
    <row r="216" spans="1:14" hidden="1" x14ac:dyDescent="0.2">
      <c r="A216" s="887"/>
      <c r="B216" s="874" t="s">
        <v>472</v>
      </c>
      <c r="C216" s="874"/>
      <c r="D216" s="474">
        <v>0.13</v>
      </c>
      <c r="E216" s="474">
        <v>0</v>
      </c>
      <c r="F216" s="474">
        <f>E216+D216</f>
        <v>0.13</v>
      </c>
      <c r="G216" s="459"/>
      <c r="H216" s="459">
        <f>M216/F216</f>
        <v>0</v>
      </c>
      <c r="I216" s="459">
        <f>I214</f>
        <v>8.3333333333333329E-2</v>
      </c>
      <c r="J216" s="879">
        <f>(I216*F216)+(I217*F217)</f>
        <v>4.9333333333333333E-2</v>
      </c>
      <c r="K216" s="879">
        <f>M216/J216</f>
        <v>0</v>
      </c>
      <c r="M216" s="880">
        <v>0</v>
      </c>
      <c r="N216" s="83"/>
    </row>
    <row r="217" spans="1:14" hidden="1" x14ac:dyDescent="0.2">
      <c r="A217" s="887"/>
      <c r="B217" s="893" t="s">
        <v>836</v>
      </c>
      <c r="C217" s="894"/>
      <c r="D217" s="474">
        <f>VLOOKUP(B217,Q1:R130,2,FALSE)</f>
        <v>4.1000000000000002E-2</v>
      </c>
      <c r="E217" s="474">
        <v>1E-3</v>
      </c>
      <c r="F217" s="474">
        <f>E217+D217</f>
        <v>4.2000000000000003E-2</v>
      </c>
      <c r="G217" s="459">
        <f>M216/F217</f>
        <v>0</v>
      </c>
      <c r="H217" s="459"/>
      <c r="I217" s="459">
        <f>I215</f>
        <v>0.91666666666666663</v>
      </c>
      <c r="J217" s="879"/>
      <c r="K217" s="879"/>
      <c r="M217" s="880"/>
      <c r="N217" s="83"/>
    </row>
    <row r="218" spans="1:14" x14ac:dyDescent="0.2">
      <c r="A218" s="367"/>
      <c r="B218" s="893" t="s">
        <v>837</v>
      </c>
      <c r="C218" s="894"/>
      <c r="D218" s="474">
        <f>VLOOKUP(B218,Q5:R112,2,FALSE)</f>
        <v>4.1000000000000002E-2</v>
      </c>
      <c r="E218" s="474">
        <v>1E-3</v>
      </c>
      <c r="F218" s="474">
        <f>D218+E218</f>
        <v>4.2000000000000003E-2</v>
      </c>
      <c r="G218" s="459">
        <f>M218/F218</f>
        <v>2.3809523809523809</v>
      </c>
      <c r="H218" s="459">
        <f>M218/F218</f>
        <v>2.3809523809523809</v>
      </c>
      <c r="I218" s="456"/>
      <c r="J218" s="459">
        <f>F218</f>
        <v>4.2000000000000003E-2</v>
      </c>
      <c r="K218" s="477">
        <f>M218/J218</f>
        <v>2.3809523809523809</v>
      </c>
      <c r="M218" s="474">
        <v>0.1</v>
      </c>
      <c r="N218" s="83"/>
    </row>
    <row r="219" spans="1:14" hidden="1" x14ac:dyDescent="0.2">
      <c r="A219" s="367"/>
      <c r="B219" s="874" t="s">
        <v>485</v>
      </c>
      <c r="C219" s="874"/>
      <c r="D219" s="474">
        <f>VLOOKUP(B219,Q3:R132,2,FALSE)</f>
        <v>5.2999999999999999E-2</v>
      </c>
      <c r="E219" s="474">
        <v>0</v>
      </c>
      <c r="F219" s="474">
        <f>D219+E219</f>
        <v>5.2999999999999999E-2</v>
      </c>
      <c r="G219" s="459">
        <f>M219/F219</f>
        <v>0</v>
      </c>
      <c r="H219" s="459">
        <f>M219/F219</f>
        <v>0</v>
      </c>
      <c r="I219" s="456"/>
      <c r="J219" s="459">
        <f>F219</f>
        <v>5.2999999999999999E-2</v>
      </c>
      <c r="K219" s="477">
        <f>M219/J219</f>
        <v>0</v>
      </c>
      <c r="M219" s="474">
        <v>0</v>
      </c>
      <c r="N219" s="83"/>
    </row>
    <row r="220" spans="1:14" hidden="1" x14ac:dyDescent="0.2">
      <c r="A220" s="367"/>
      <c r="B220" s="874" t="s">
        <v>600</v>
      </c>
      <c r="C220" s="874"/>
      <c r="D220" s="474">
        <f>VLOOKUP(B220,Q4:R175,2,FALSE)</f>
        <v>0.15</v>
      </c>
      <c r="E220" s="474">
        <v>0</v>
      </c>
      <c r="F220" s="474">
        <f>D220+E220</f>
        <v>0.15</v>
      </c>
      <c r="G220" s="459">
        <f>IF(M220&gt;0,0.16,0)</f>
        <v>0</v>
      </c>
      <c r="H220" s="459">
        <f>IF(M220&gt;0,0.16,0)</f>
        <v>0</v>
      </c>
      <c r="I220" s="456"/>
      <c r="J220" s="459">
        <f>F220</f>
        <v>0.15</v>
      </c>
      <c r="K220" s="477">
        <f>M220/J220</f>
        <v>0</v>
      </c>
      <c r="M220" s="474">
        <v>0</v>
      </c>
      <c r="N220" s="83"/>
    </row>
    <row r="221" spans="1:14" x14ac:dyDescent="0.2">
      <c r="A221" s="367"/>
      <c r="B221" s="874" t="s">
        <v>402</v>
      </c>
      <c r="C221" s="874"/>
      <c r="D221" s="474">
        <v>0.26</v>
      </c>
      <c r="E221" s="474">
        <v>0</v>
      </c>
      <c r="F221" s="474">
        <f>D221+E221</f>
        <v>0.26</v>
      </c>
      <c r="G221" s="459">
        <f>M221/F221</f>
        <v>3.8461538461538464E-2</v>
      </c>
      <c r="H221" s="459">
        <f>M221/F221</f>
        <v>3.8461538461538464E-2</v>
      </c>
      <c r="I221" s="456"/>
      <c r="J221" s="459">
        <f>F221</f>
        <v>0.26</v>
      </c>
      <c r="K221" s="477">
        <f>M221/J221</f>
        <v>3.8461538461538464E-2</v>
      </c>
      <c r="M221" s="474">
        <v>0.01</v>
      </c>
      <c r="N221" s="83"/>
    </row>
    <row r="222" spans="1:14" x14ac:dyDescent="0.2">
      <c r="A222" s="86"/>
      <c r="F222" s="349"/>
      <c r="G222" s="459">
        <f>SUM(G214:G221)</f>
        <v>7.1813186813186807</v>
      </c>
      <c r="H222" s="459">
        <f>SUM(H214:H221)</f>
        <v>3.957875457875458</v>
      </c>
      <c r="I222" s="895">
        <f>SUM(K214:K221)</f>
        <v>6.4734679734679741</v>
      </c>
      <c r="J222" s="896"/>
      <c r="K222" s="897"/>
      <c r="N222" s="83"/>
    </row>
    <row r="223" spans="1:14" ht="15.75" x14ac:dyDescent="0.25">
      <c r="A223" s="86"/>
      <c r="C223" s="343"/>
      <c r="D223" s="377"/>
      <c r="E223" s="377"/>
      <c r="F223" s="377"/>
      <c r="G223" s="823">
        <f>ROUND((G211*G222)+(H211*H222),3)</f>
        <v>6.9130000000000003</v>
      </c>
      <c r="H223" s="823"/>
      <c r="I223" s="898"/>
      <c r="J223" s="899"/>
      <c r="K223" s="900"/>
      <c r="M223" s="674">
        <f>SUM(M214:M221)</f>
        <v>0.31000000000000005</v>
      </c>
      <c r="N223" s="83" t="s">
        <v>14</v>
      </c>
    </row>
    <row r="224" spans="1:14" ht="4.5" customHeight="1" x14ac:dyDescent="0.2">
      <c r="A224" s="86"/>
      <c r="C224" s="378"/>
      <c r="D224" s="379"/>
      <c r="E224" s="377"/>
      <c r="F224" s="377"/>
      <c r="G224" s="380"/>
      <c r="H224" s="380"/>
      <c r="I224" s="380"/>
      <c r="J224" s="380"/>
      <c r="K224" s="380"/>
      <c r="M224" s="343"/>
      <c r="N224" s="83"/>
    </row>
    <row r="225" spans="1:18" ht="4.5" customHeight="1" x14ac:dyDescent="0.2">
      <c r="A225" s="86"/>
      <c r="N225" s="83"/>
    </row>
    <row r="226" spans="1:18" ht="21" x14ac:dyDescent="0.2">
      <c r="A226" s="86"/>
      <c r="E226" s="902" t="s">
        <v>93</v>
      </c>
      <c r="F226" s="902"/>
      <c r="G226" s="902"/>
      <c r="H226" s="903">
        <f>ROUND(1/((G223+I222)/2+I202+I203+I204),2)</f>
        <v>0.14000000000000001</v>
      </c>
      <c r="I226" s="904"/>
      <c r="J226" s="905" t="s">
        <v>306</v>
      </c>
      <c r="K226" s="906"/>
      <c r="N226" s="83"/>
    </row>
    <row r="227" spans="1:18" ht="18.75" customHeight="1" x14ac:dyDescent="0.2">
      <c r="A227" s="87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9"/>
    </row>
    <row r="228" spans="1:18" ht="18.75" hidden="1" customHeight="1" x14ac:dyDescent="0.2">
      <c r="R228" s="434"/>
    </row>
    <row r="229" spans="1:18" ht="15" hidden="1" customHeight="1" x14ac:dyDescent="0.35">
      <c r="A229" s="78"/>
      <c r="B229" s="79"/>
      <c r="C229" s="79"/>
      <c r="D229" s="79"/>
      <c r="E229" s="79"/>
      <c r="F229" s="79"/>
      <c r="G229" s="79"/>
      <c r="H229" s="79"/>
      <c r="I229" s="79"/>
      <c r="J229" s="80"/>
      <c r="K229" s="80"/>
      <c r="L229" s="99"/>
      <c r="M229" s="99"/>
      <c r="N229" s="81"/>
    </row>
    <row r="230" spans="1:18" ht="15.75" hidden="1" x14ac:dyDescent="0.2">
      <c r="A230" s="354"/>
      <c r="B230" s="387"/>
      <c r="C230" s="868" t="s">
        <v>518</v>
      </c>
      <c r="D230" s="868"/>
      <c r="E230" s="868"/>
      <c r="F230" s="868"/>
      <c r="G230" s="868"/>
      <c r="H230" s="868"/>
      <c r="I230" s="868"/>
      <c r="J230" s="868"/>
      <c r="K230" s="868"/>
      <c r="L230" s="868"/>
      <c r="M230" s="869"/>
      <c r="N230" s="83"/>
    </row>
    <row r="231" spans="1:18" ht="5.25" hidden="1" customHeight="1" x14ac:dyDescent="0.2">
      <c r="A231" s="354"/>
      <c r="B231" s="355"/>
      <c r="C231" s="341"/>
      <c r="D231" s="356"/>
      <c r="E231" s="356"/>
      <c r="F231" s="356"/>
      <c r="G231" s="356"/>
      <c r="H231" s="356"/>
      <c r="I231" s="356"/>
      <c r="J231" s="356"/>
      <c r="N231" s="83"/>
    </row>
    <row r="232" spans="1:18" ht="15" hidden="1" x14ac:dyDescent="0.25">
      <c r="A232" s="354"/>
      <c r="B232" s="871" t="s">
        <v>307</v>
      </c>
      <c r="C232" s="871"/>
      <c r="D232" s="871"/>
      <c r="E232" s="871"/>
      <c r="F232" s="871"/>
      <c r="G232" s="871"/>
      <c r="H232" s="357" t="s">
        <v>308</v>
      </c>
      <c r="I232" s="872">
        <v>0.1</v>
      </c>
      <c r="J232" s="873"/>
      <c r="K232" s="399"/>
      <c r="N232" s="83"/>
    </row>
    <row r="233" spans="1:18" ht="15" hidden="1" x14ac:dyDescent="0.25">
      <c r="A233" s="354"/>
      <c r="B233" s="355"/>
      <c r="C233" s="341"/>
      <c r="D233" s="383"/>
      <c r="E233" s="383"/>
      <c r="F233" s="383"/>
      <c r="G233" s="383"/>
      <c r="H233" s="341" t="s">
        <v>301</v>
      </c>
      <c r="I233" s="872">
        <v>0.04</v>
      </c>
      <c r="J233" s="873"/>
      <c r="N233" s="83"/>
    </row>
    <row r="234" spans="1:18" ht="15" hidden="1" x14ac:dyDescent="0.25">
      <c r="A234" s="354"/>
      <c r="B234" s="355"/>
      <c r="C234" s="341"/>
      <c r="D234" s="383"/>
      <c r="E234" s="383"/>
      <c r="F234" s="383"/>
      <c r="G234" s="383"/>
      <c r="H234" s="341" t="s">
        <v>323</v>
      </c>
      <c r="I234" s="872">
        <v>0</v>
      </c>
      <c r="J234" s="873"/>
      <c r="N234" s="83"/>
    </row>
    <row r="235" spans="1:18" ht="6" hidden="1" customHeight="1" x14ac:dyDescent="0.25">
      <c r="A235" s="354"/>
      <c r="B235" s="355"/>
      <c r="C235" s="341"/>
      <c r="D235" s="341"/>
      <c r="E235" s="341"/>
      <c r="F235" s="341"/>
      <c r="G235" s="892"/>
      <c r="H235" s="892"/>
      <c r="I235" s="341"/>
      <c r="J235" s="359"/>
      <c r="N235" s="83"/>
    </row>
    <row r="236" spans="1:18" ht="15" hidden="1" x14ac:dyDescent="0.25">
      <c r="A236" s="354"/>
      <c r="B236" s="355"/>
      <c r="C236" s="882" t="s">
        <v>8</v>
      </c>
      <c r="D236" s="882"/>
      <c r="E236" s="882"/>
      <c r="F236" s="882"/>
      <c r="G236" s="880">
        <v>0.6</v>
      </c>
      <c r="H236" s="880"/>
      <c r="I236" s="341"/>
      <c r="J236" s="359"/>
      <c r="N236" s="83"/>
    </row>
    <row r="237" spans="1:18" ht="15" hidden="1" x14ac:dyDescent="0.25">
      <c r="A237" s="354"/>
      <c r="B237" s="891" t="s">
        <v>311</v>
      </c>
      <c r="C237" s="891"/>
      <c r="D237" s="891"/>
      <c r="E237" s="891"/>
      <c r="F237" s="891"/>
      <c r="G237" s="880">
        <f>G236-G238</f>
        <v>0.54</v>
      </c>
      <c r="H237" s="880"/>
      <c r="I237" s="341"/>
      <c r="J237" s="359"/>
      <c r="N237" s="83"/>
    </row>
    <row r="238" spans="1:18" ht="15" hidden="1" x14ac:dyDescent="0.25">
      <c r="A238" s="354"/>
      <c r="B238" s="891"/>
      <c r="C238" s="891"/>
      <c r="D238" s="891"/>
      <c r="E238" s="891"/>
      <c r="F238" s="891"/>
      <c r="G238" s="880">
        <v>0.06</v>
      </c>
      <c r="H238" s="880"/>
      <c r="I238" s="341"/>
      <c r="J238" s="359"/>
      <c r="N238" s="83"/>
      <c r="Q238" s="2">
        <f>8.84-3.84-4.06-0.2</f>
        <v>0.74000000000000044</v>
      </c>
    </row>
    <row r="239" spans="1:18" ht="5.45" hidden="1" customHeight="1" x14ac:dyDescent="0.2">
      <c r="A239" s="881"/>
      <c r="B239" s="882"/>
      <c r="C239" s="883"/>
      <c r="D239" s="883"/>
      <c r="E239" s="883"/>
      <c r="F239" s="883"/>
      <c r="G239" s="884"/>
      <c r="H239" s="884"/>
      <c r="I239" s="360"/>
      <c r="J239" s="360"/>
      <c r="K239" s="360"/>
      <c r="N239" s="83"/>
    </row>
    <row r="240" spans="1:18" hidden="1" x14ac:dyDescent="0.2">
      <c r="A240" s="890"/>
      <c r="B240" s="891"/>
      <c r="C240" s="883"/>
      <c r="D240" s="883"/>
      <c r="E240" s="361"/>
      <c r="F240" s="361"/>
      <c r="G240" s="467" t="s">
        <v>0</v>
      </c>
      <c r="H240" s="467" t="s">
        <v>1</v>
      </c>
      <c r="I240" s="466"/>
      <c r="J240" s="364"/>
      <c r="K240" s="364"/>
      <c r="N240" s="83"/>
    </row>
    <row r="241" spans="1:16" hidden="1" x14ac:dyDescent="0.2">
      <c r="A241" s="887" t="s">
        <v>312</v>
      </c>
      <c r="B241" s="888"/>
      <c r="C241" s="888"/>
      <c r="D241" s="888"/>
      <c r="E241" s="888"/>
      <c r="F241" s="888"/>
      <c r="G241" s="468">
        <f>G237/G236</f>
        <v>0.90000000000000013</v>
      </c>
      <c r="H241" s="468">
        <f>G238/G236</f>
        <v>0.1</v>
      </c>
      <c r="I241" s="457"/>
      <c r="J241" s="364"/>
      <c r="K241" s="364"/>
      <c r="N241" s="83"/>
    </row>
    <row r="242" spans="1:16" ht="24.75" hidden="1" customHeight="1" x14ac:dyDescent="0.2">
      <c r="A242" s="367"/>
      <c r="B242" s="368"/>
      <c r="C242" s="368"/>
      <c r="D242" s="368"/>
      <c r="E242" s="368"/>
      <c r="F242" s="368"/>
      <c r="G242" s="889" t="s">
        <v>313</v>
      </c>
      <c r="H242" s="889"/>
      <c r="I242" s="889" t="s">
        <v>314</v>
      </c>
      <c r="J242" s="889"/>
      <c r="K242" s="889"/>
      <c r="N242" s="83"/>
    </row>
    <row r="243" spans="1:16" ht="36.75" hidden="1" x14ac:dyDescent="0.2">
      <c r="A243" s="369"/>
      <c r="B243" s="907" t="s">
        <v>6</v>
      </c>
      <c r="C243" s="907"/>
      <c r="D243" s="470" t="s">
        <v>511</v>
      </c>
      <c r="E243" s="470" t="s">
        <v>303</v>
      </c>
      <c r="F243" s="470" t="s">
        <v>504</v>
      </c>
      <c r="G243" s="470" t="s">
        <v>419</v>
      </c>
      <c r="H243" s="470" t="s">
        <v>318</v>
      </c>
      <c r="I243" s="471" t="s">
        <v>4</v>
      </c>
      <c r="J243" s="470" t="s">
        <v>119</v>
      </c>
      <c r="K243" s="470" t="s">
        <v>321</v>
      </c>
      <c r="M243" s="458" t="s">
        <v>324</v>
      </c>
      <c r="N243" s="83"/>
    </row>
    <row r="244" spans="1:16" hidden="1" x14ac:dyDescent="0.2">
      <c r="A244" s="469"/>
      <c r="B244" s="874" t="s">
        <v>223</v>
      </c>
      <c r="C244" s="874"/>
      <c r="D244" s="474">
        <v>0.26</v>
      </c>
      <c r="E244" s="474">
        <v>0</v>
      </c>
      <c r="F244" s="474">
        <f t="shared" ref="F244:F250" si="13">D244+E244</f>
        <v>0.26</v>
      </c>
      <c r="G244" s="459">
        <f>M244/F244</f>
        <v>7.6923076923076927E-2</v>
      </c>
      <c r="H244" s="459">
        <f>M244/F244</f>
        <v>7.6923076923076927E-2</v>
      </c>
      <c r="I244" s="456"/>
      <c r="J244" s="459">
        <f>F244</f>
        <v>0.26</v>
      </c>
      <c r="K244" s="459">
        <f>M244/J244</f>
        <v>7.6923076923076927E-2</v>
      </c>
      <c r="M244" s="474">
        <v>0.02</v>
      </c>
      <c r="N244" s="83"/>
    </row>
    <row r="245" spans="1:16" hidden="1" x14ac:dyDescent="0.2">
      <c r="A245" s="469"/>
      <c r="B245" s="893" t="s">
        <v>124</v>
      </c>
      <c r="C245" s="894"/>
      <c r="D245" s="474">
        <v>0</v>
      </c>
      <c r="E245" s="474">
        <v>0</v>
      </c>
      <c r="F245" s="474">
        <f t="shared" si="13"/>
        <v>0</v>
      </c>
      <c r="G245" s="459"/>
      <c r="H245" s="459"/>
      <c r="I245" s="910"/>
      <c r="J245" s="911"/>
      <c r="K245" s="459"/>
      <c r="M245" s="474"/>
      <c r="N245" s="83"/>
      <c r="P245" s="2">
        <v>0.16</v>
      </c>
    </row>
    <row r="246" spans="1:16" hidden="1" x14ac:dyDescent="0.2">
      <c r="A246" s="469"/>
      <c r="B246" s="672" t="s">
        <v>634</v>
      </c>
      <c r="C246" s="673"/>
      <c r="D246" s="474">
        <v>0.13</v>
      </c>
      <c r="E246" s="474">
        <v>0</v>
      </c>
      <c r="F246" s="474">
        <f t="shared" si="13"/>
        <v>0.13</v>
      </c>
      <c r="G246" s="459">
        <f>M246/F246</f>
        <v>0</v>
      </c>
      <c r="H246" s="459">
        <f>M246/F246</f>
        <v>0</v>
      </c>
      <c r="I246" s="456"/>
      <c r="J246" s="459">
        <f>F246</f>
        <v>0.13</v>
      </c>
      <c r="K246" s="459">
        <f>M246/J246</f>
        <v>0</v>
      </c>
      <c r="M246" s="474">
        <v>0</v>
      </c>
      <c r="N246" s="83"/>
    </row>
    <row r="247" spans="1:16" hidden="1" x14ac:dyDescent="0.2">
      <c r="A247" s="469"/>
      <c r="B247" s="893" t="s">
        <v>442</v>
      </c>
      <c r="C247" s="894"/>
      <c r="D247" s="474">
        <v>1.7</v>
      </c>
      <c r="E247" s="474">
        <v>0</v>
      </c>
      <c r="F247" s="474">
        <f t="shared" si="13"/>
        <v>1.7</v>
      </c>
      <c r="G247" s="459">
        <f>M247/F247</f>
        <v>0</v>
      </c>
      <c r="H247" s="459">
        <f>M247/F247</f>
        <v>0</v>
      </c>
      <c r="I247" s="456"/>
      <c r="J247" s="459">
        <f>F247</f>
        <v>1.7</v>
      </c>
      <c r="K247" s="459">
        <f>M247/J247</f>
        <v>0</v>
      </c>
      <c r="M247" s="474">
        <v>0</v>
      </c>
      <c r="N247" s="83"/>
    </row>
    <row r="248" spans="1:16" hidden="1" x14ac:dyDescent="0.2">
      <c r="A248" s="469"/>
      <c r="B248" s="893" t="s">
        <v>600</v>
      </c>
      <c r="C248" s="894"/>
      <c r="D248" s="474">
        <v>0.15</v>
      </c>
      <c r="E248" s="474">
        <v>0</v>
      </c>
      <c r="F248" s="474">
        <f t="shared" si="13"/>
        <v>0.15</v>
      </c>
      <c r="G248" s="459">
        <f>M248/F248</f>
        <v>0</v>
      </c>
      <c r="H248" s="459">
        <f>M248/F248</f>
        <v>0</v>
      </c>
      <c r="I248" s="456"/>
      <c r="J248" s="459">
        <f>F248</f>
        <v>0.15</v>
      </c>
      <c r="K248" s="459">
        <f>M248/J248</f>
        <v>0</v>
      </c>
      <c r="M248" s="474">
        <v>0</v>
      </c>
      <c r="N248" s="83"/>
    </row>
    <row r="249" spans="1:16" hidden="1" x14ac:dyDescent="0.2">
      <c r="A249" s="887"/>
      <c r="B249" s="874" t="s">
        <v>7</v>
      </c>
      <c r="C249" s="874"/>
      <c r="D249" s="474">
        <v>0.13</v>
      </c>
      <c r="E249" s="474">
        <v>0</v>
      </c>
      <c r="F249" s="474">
        <f t="shared" si="13"/>
        <v>0.13</v>
      </c>
      <c r="G249" s="459"/>
      <c r="H249" s="459">
        <f>M249/F249</f>
        <v>1.5384615384615385</v>
      </c>
      <c r="I249" s="465">
        <f>(G238*G236*2)/(G236*G236*2)</f>
        <v>9.9999999999999992E-2</v>
      </c>
      <c r="J249" s="879">
        <f>(I249*F249)+(I250*F250)</f>
        <v>4.6299999999999994E-2</v>
      </c>
      <c r="K249" s="879">
        <f>M249/J249</f>
        <v>4.3196544276457889</v>
      </c>
      <c r="M249" s="880">
        <v>0.2</v>
      </c>
      <c r="N249" s="83"/>
    </row>
    <row r="250" spans="1:16" hidden="1" x14ac:dyDescent="0.2">
      <c r="A250" s="887"/>
      <c r="B250" s="874" t="s">
        <v>386</v>
      </c>
      <c r="C250" s="874"/>
      <c r="D250" s="474">
        <v>3.5999999999999997E-2</v>
      </c>
      <c r="E250" s="474">
        <v>1E-3</v>
      </c>
      <c r="F250" s="474">
        <f t="shared" si="13"/>
        <v>3.6999999999999998E-2</v>
      </c>
      <c r="G250" s="459">
        <f>M249/F250</f>
        <v>5.4054054054054061</v>
      </c>
      <c r="H250" s="459"/>
      <c r="I250" s="465">
        <f>(G237*G236*2)/(G236*G236*2)</f>
        <v>0.9</v>
      </c>
      <c r="J250" s="879"/>
      <c r="K250" s="879"/>
      <c r="M250" s="880"/>
      <c r="N250" s="83"/>
    </row>
    <row r="251" spans="1:16" hidden="1" x14ac:dyDescent="0.2">
      <c r="A251" s="887"/>
      <c r="B251" s="874" t="s">
        <v>414</v>
      </c>
      <c r="C251" s="874"/>
      <c r="D251" s="474">
        <v>0.13</v>
      </c>
      <c r="E251" s="474"/>
      <c r="F251" s="474">
        <f>E251+D251</f>
        <v>0.13</v>
      </c>
      <c r="G251" s="459"/>
      <c r="H251" s="459">
        <f>M251/F251</f>
        <v>0</v>
      </c>
      <c r="I251" s="465">
        <f>(G238*G236*2)/(G236*G236*2)</f>
        <v>9.9999999999999992E-2</v>
      </c>
      <c r="J251" s="879">
        <f>(I251*F251)+(I252*F252)</f>
        <v>4.7199999999999999E-2</v>
      </c>
      <c r="K251" s="879">
        <f>M251/J251</f>
        <v>0</v>
      </c>
      <c r="M251" s="880">
        <v>0</v>
      </c>
      <c r="N251" s="83"/>
    </row>
    <row r="252" spans="1:16" hidden="1" x14ac:dyDescent="0.2">
      <c r="A252" s="887"/>
      <c r="B252" s="874" t="s">
        <v>415</v>
      </c>
      <c r="C252" s="874"/>
      <c r="D252" s="474">
        <v>3.5999999999999997E-2</v>
      </c>
      <c r="E252" s="474">
        <v>2E-3</v>
      </c>
      <c r="F252" s="474">
        <f>E252+D252</f>
        <v>3.7999999999999999E-2</v>
      </c>
      <c r="G252" s="459">
        <f>M251/F252</f>
        <v>0</v>
      </c>
      <c r="H252" s="459"/>
      <c r="I252" s="465">
        <f>(G237*G236*2)/(G236*G236*2)</f>
        <v>0.9</v>
      </c>
      <c r="J252" s="879"/>
      <c r="K252" s="879"/>
      <c r="M252" s="880"/>
      <c r="N252" s="83"/>
    </row>
    <row r="253" spans="1:16" hidden="1" x14ac:dyDescent="0.2">
      <c r="A253" s="367"/>
      <c r="B253" s="672" t="s">
        <v>634</v>
      </c>
      <c r="C253" s="673"/>
      <c r="D253" s="474">
        <v>0.13</v>
      </c>
      <c r="E253" s="474">
        <v>0</v>
      </c>
      <c r="F253" s="474">
        <f>E253+D253</f>
        <v>0.13</v>
      </c>
      <c r="G253" s="459">
        <f>M253/F253</f>
        <v>0</v>
      </c>
      <c r="H253" s="459">
        <f>M253/F253</f>
        <v>0</v>
      </c>
      <c r="I253" s="456"/>
      <c r="J253" s="477">
        <f>F253</f>
        <v>0.13</v>
      </c>
      <c r="K253" s="477">
        <f>M253/J253</f>
        <v>0</v>
      </c>
      <c r="M253" s="474">
        <v>0</v>
      </c>
      <c r="N253" s="83"/>
    </row>
    <row r="254" spans="1:16" hidden="1" x14ac:dyDescent="0.2">
      <c r="A254" s="367"/>
      <c r="B254" s="874" t="s">
        <v>386</v>
      </c>
      <c r="C254" s="874"/>
      <c r="D254" s="474">
        <v>3.5999999999999997E-2</v>
      </c>
      <c r="E254" s="474">
        <v>1E-3</v>
      </c>
      <c r="F254" s="474">
        <f>D254+E254</f>
        <v>3.6999999999999998E-2</v>
      </c>
      <c r="G254" s="459">
        <f>M254/F254</f>
        <v>0</v>
      </c>
      <c r="H254" s="459">
        <f>M254/F254</f>
        <v>0</v>
      </c>
      <c r="I254" s="456"/>
      <c r="J254" s="459">
        <f>F254</f>
        <v>3.6999999999999998E-2</v>
      </c>
      <c r="K254" s="477">
        <f>M254/J254</f>
        <v>0</v>
      </c>
      <c r="M254" s="474">
        <v>0</v>
      </c>
      <c r="N254" s="83"/>
    </row>
    <row r="255" spans="1:16" hidden="1" x14ac:dyDescent="0.2">
      <c r="A255" s="367"/>
      <c r="B255" s="874" t="s">
        <v>402</v>
      </c>
      <c r="C255" s="874"/>
      <c r="D255" s="474">
        <v>0.26</v>
      </c>
      <c r="E255" s="474">
        <v>0</v>
      </c>
      <c r="F255" s="474">
        <f>D255+E255</f>
        <v>0.26</v>
      </c>
      <c r="G255" s="459">
        <f>M255/F255</f>
        <v>3.8461538461538464E-2</v>
      </c>
      <c r="H255" s="459">
        <f>M255/F255</f>
        <v>3.8461538461538464E-2</v>
      </c>
      <c r="I255" s="456"/>
      <c r="J255" s="459">
        <f>F255</f>
        <v>0.26</v>
      </c>
      <c r="K255" s="477">
        <f>M255/J255</f>
        <v>3.8461538461538464E-2</v>
      </c>
      <c r="M255" s="474">
        <v>0.01</v>
      </c>
      <c r="N255" s="83"/>
    </row>
    <row r="256" spans="1:16" hidden="1" x14ac:dyDescent="0.2">
      <c r="A256" s="86"/>
      <c r="F256" s="349"/>
      <c r="G256" s="459">
        <f>SUM(G244:G254)</f>
        <v>5.4823284823284828</v>
      </c>
      <c r="H256" s="459">
        <f>SUM(H244:H254)</f>
        <v>1.6153846153846154</v>
      </c>
      <c r="I256" s="895">
        <f>SUM(K244:K255)</f>
        <v>4.4350390430304039</v>
      </c>
      <c r="J256" s="896"/>
      <c r="K256" s="897"/>
      <c r="N256" s="83"/>
    </row>
    <row r="257" spans="1:16" ht="15.75" hidden="1" x14ac:dyDescent="0.25">
      <c r="A257" s="86"/>
      <c r="C257" s="343"/>
      <c r="D257" s="377"/>
      <c r="E257" s="377"/>
      <c r="F257" s="377"/>
      <c r="G257" s="879">
        <f>ROUND((G241*G256)+(H241*H256),3)</f>
        <v>5.0960000000000001</v>
      </c>
      <c r="H257" s="879"/>
      <c r="I257" s="898"/>
      <c r="J257" s="899"/>
      <c r="K257" s="900"/>
      <c r="M257" s="674">
        <f>SUM(M244:M255)</f>
        <v>0.23</v>
      </c>
      <c r="N257" s="83" t="s">
        <v>14</v>
      </c>
    </row>
    <row r="258" spans="1:16" ht="4.1500000000000004" hidden="1" customHeight="1" x14ac:dyDescent="0.2">
      <c r="A258" s="86"/>
      <c r="C258" s="378"/>
      <c r="D258" s="379"/>
      <c r="E258" s="377"/>
      <c r="F258" s="377"/>
      <c r="G258" s="380"/>
      <c r="H258" s="380"/>
      <c r="I258" s="380"/>
      <c r="J258" s="380"/>
      <c r="K258" s="380"/>
      <c r="M258" s="343"/>
      <c r="N258" s="83"/>
    </row>
    <row r="259" spans="1:16" ht="3" hidden="1" customHeight="1" x14ac:dyDescent="0.2">
      <c r="A259" s="86"/>
      <c r="N259" s="83"/>
    </row>
    <row r="260" spans="1:16" ht="21" hidden="1" x14ac:dyDescent="0.2">
      <c r="A260" s="86"/>
      <c r="E260" s="902" t="s">
        <v>93</v>
      </c>
      <c r="F260" s="902"/>
      <c r="G260" s="902"/>
      <c r="H260" s="903">
        <f>ROUNDDOWN(1/((G257+I256)/2+I232+I233+I234),2)*P260</f>
        <v>0.2</v>
      </c>
      <c r="I260" s="904"/>
      <c r="J260" s="905" t="s">
        <v>306</v>
      </c>
      <c r="K260" s="906"/>
      <c r="N260" s="83"/>
      <c r="P260" s="2">
        <v>1</v>
      </c>
    </row>
    <row r="261" spans="1:16" ht="11.25" hidden="1" customHeight="1" x14ac:dyDescent="0.2">
      <c r="A261" s="87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9"/>
    </row>
    <row r="262" spans="1:16" ht="11.25" customHeight="1" x14ac:dyDescent="0.2"/>
    <row r="264" spans="1:16" ht="10.9" customHeight="1" x14ac:dyDescent="0.2"/>
  </sheetData>
  <mergeCells count="486">
    <mergeCell ref="C3:M3"/>
    <mergeCell ref="C5:H6"/>
    <mergeCell ref="J5:K5"/>
    <mergeCell ref="J6:K6"/>
    <mergeCell ref="J7:K7"/>
    <mergeCell ref="B8:D8"/>
    <mergeCell ref="E8:F8"/>
    <mergeCell ref="H8:I8"/>
    <mergeCell ref="J8:K8"/>
    <mergeCell ref="B11:D11"/>
    <mergeCell ref="E11:F11"/>
    <mergeCell ref="H11:I11"/>
    <mergeCell ref="J11:K11"/>
    <mergeCell ref="B12:D12"/>
    <mergeCell ref="E12:F12"/>
    <mergeCell ref="H12:I12"/>
    <mergeCell ref="J12:K12"/>
    <mergeCell ref="B9:D9"/>
    <mergeCell ref="E9:F9"/>
    <mergeCell ref="H9:I9"/>
    <mergeCell ref="J9:K9"/>
    <mergeCell ref="B10:D10"/>
    <mergeCell ref="E10:F10"/>
    <mergeCell ref="H10:I10"/>
    <mergeCell ref="J10:K10"/>
    <mergeCell ref="B15:D15"/>
    <mergeCell ref="E15:F15"/>
    <mergeCell ref="H15:I15"/>
    <mergeCell ref="J15:K15"/>
    <mergeCell ref="B16:D16"/>
    <mergeCell ref="E16:F16"/>
    <mergeCell ref="H16:I16"/>
    <mergeCell ref="J16:K16"/>
    <mergeCell ref="B13:D13"/>
    <mergeCell ref="E13:F13"/>
    <mergeCell ref="H13:I13"/>
    <mergeCell ref="J13:K13"/>
    <mergeCell ref="B14:D14"/>
    <mergeCell ref="E14:F14"/>
    <mergeCell ref="H14:I14"/>
    <mergeCell ref="J14:K14"/>
    <mergeCell ref="B20:D20"/>
    <mergeCell ref="E20:G20"/>
    <mergeCell ref="E21:G21"/>
    <mergeCell ref="H21:I21"/>
    <mergeCell ref="J21:K21"/>
    <mergeCell ref="C25:M25"/>
    <mergeCell ref="B17:D17"/>
    <mergeCell ref="E17:F17"/>
    <mergeCell ref="H17:I17"/>
    <mergeCell ref="J17:K17"/>
    <mergeCell ref="H19:I19"/>
    <mergeCell ref="J19:K19"/>
    <mergeCell ref="B31:D31"/>
    <mergeCell ref="E31:F31"/>
    <mergeCell ref="H31:I31"/>
    <mergeCell ref="J31:K31"/>
    <mergeCell ref="B32:D32"/>
    <mergeCell ref="E32:F32"/>
    <mergeCell ref="H32:I32"/>
    <mergeCell ref="J32:K32"/>
    <mergeCell ref="C27:H28"/>
    <mergeCell ref="J27:K27"/>
    <mergeCell ref="J28:K28"/>
    <mergeCell ref="J29:K29"/>
    <mergeCell ref="B30:D30"/>
    <mergeCell ref="E30:F30"/>
    <mergeCell ref="H30:I30"/>
    <mergeCell ref="J30:K30"/>
    <mergeCell ref="B35:D35"/>
    <mergeCell ref="E35:F35"/>
    <mergeCell ref="H35:I35"/>
    <mergeCell ref="J35:K35"/>
    <mergeCell ref="B36:D36"/>
    <mergeCell ref="E36:F36"/>
    <mergeCell ref="H36:I36"/>
    <mergeCell ref="J36:K36"/>
    <mergeCell ref="B33:D33"/>
    <mergeCell ref="E33:F33"/>
    <mergeCell ref="H33:I33"/>
    <mergeCell ref="J33:K33"/>
    <mergeCell ref="B34:D34"/>
    <mergeCell ref="E34:F34"/>
    <mergeCell ref="H34:I34"/>
    <mergeCell ref="J34:K34"/>
    <mergeCell ref="B39:D39"/>
    <mergeCell ref="E39:F39"/>
    <mergeCell ref="H39:I39"/>
    <mergeCell ref="J39:K39"/>
    <mergeCell ref="H41:I41"/>
    <mergeCell ref="J41:K41"/>
    <mergeCell ref="B37:D37"/>
    <mergeCell ref="E37:F37"/>
    <mergeCell ref="H37:I37"/>
    <mergeCell ref="J37:K37"/>
    <mergeCell ref="B38:D38"/>
    <mergeCell ref="E38:F38"/>
    <mergeCell ref="H38:I38"/>
    <mergeCell ref="J38:K38"/>
    <mergeCell ref="J50:K50"/>
    <mergeCell ref="J51:K51"/>
    <mergeCell ref="B52:D52"/>
    <mergeCell ref="E52:F52"/>
    <mergeCell ref="H52:I52"/>
    <mergeCell ref="J52:K52"/>
    <mergeCell ref="E43:G43"/>
    <mergeCell ref="H43:I43"/>
    <mergeCell ref="J43:K43"/>
    <mergeCell ref="C47:K47"/>
    <mergeCell ref="C49:H49"/>
    <mergeCell ref="J49:K49"/>
    <mergeCell ref="B55:D55"/>
    <mergeCell ref="E55:F55"/>
    <mergeCell ref="H55:I55"/>
    <mergeCell ref="J55:K55"/>
    <mergeCell ref="B56:D56"/>
    <mergeCell ref="E56:F56"/>
    <mergeCell ref="H56:I56"/>
    <mergeCell ref="J56:K56"/>
    <mergeCell ref="B53:D53"/>
    <mergeCell ref="E53:F53"/>
    <mergeCell ref="H53:I53"/>
    <mergeCell ref="J53:K53"/>
    <mergeCell ref="B54:D54"/>
    <mergeCell ref="E54:F54"/>
    <mergeCell ref="H54:I54"/>
    <mergeCell ref="J54:K54"/>
    <mergeCell ref="B59:D59"/>
    <mergeCell ref="E59:F59"/>
    <mergeCell ref="H59:I59"/>
    <mergeCell ref="J59:K59"/>
    <mergeCell ref="B60:D60"/>
    <mergeCell ref="E60:F60"/>
    <mergeCell ref="H60:I60"/>
    <mergeCell ref="J60:K60"/>
    <mergeCell ref="B57:D57"/>
    <mergeCell ref="E57:F57"/>
    <mergeCell ref="H57:I57"/>
    <mergeCell ref="J57:K57"/>
    <mergeCell ref="B58:D58"/>
    <mergeCell ref="E58:F58"/>
    <mergeCell ref="H58:I58"/>
    <mergeCell ref="J58:K58"/>
    <mergeCell ref="E65:G65"/>
    <mergeCell ref="H65:I65"/>
    <mergeCell ref="J65:K65"/>
    <mergeCell ref="C69:M69"/>
    <mergeCell ref="C71:H73"/>
    <mergeCell ref="J71:K71"/>
    <mergeCell ref="J72:K72"/>
    <mergeCell ref="J73:K73"/>
    <mergeCell ref="B61:D61"/>
    <mergeCell ref="E61:F61"/>
    <mergeCell ref="H61:I61"/>
    <mergeCell ref="J61:K61"/>
    <mergeCell ref="J63:K63"/>
    <mergeCell ref="B64:D64"/>
    <mergeCell ref="E64:G64"/>
    <mergeCell ref="B77:D77"/>
    <mergeCell ref="E77:F77"/>
    <mergeCell ref="H77:I77"/>
    <mergeCell ref="J77:K77"/>
    <mergeCell ref="B78:D78"/>
    <mergeCell ref="E78:F78"/>
    <mergeCell ref="H78:I78"/>
    <mergeCell ref="J78:K78"/>
    <mergeCell ref="J74:K74"/>
    <mergeCell ref="B75:D75"/>
    <mergeCell ref="E75:F75"/>
    <mergeCell ref="H75:I75"/>
    <mergeCell ref="J75:K75"/>
    <mergeCell ref="B76:D76"/>
    <mergeCell ref="E76:F76"/>
    <mergeCell ref="H76:I76"/>
    <mergeCell ref="J76:K76"/>
    <mergeCell ref="B81:D81"/>
    <mergeCell ref="E81:F81"/>
    <mergeCell ref="H81:I81"/>
    <mergeCell ref="J81:K81"/>
    <mergeCell ref="B82:D82"/>
    <mergeCell ref="E82:F82"/>
    <mergeCell ref="H82:I82"/>
    <mergeCell ref="J82:K82"/>
    <mergeCell ref="B79:D79"/>
    <mergeCell ref="E79:F79"/>
    <mergeCell ref="H79:I79"/>
    <mergeCell ref="J79:K79"/>
    <mergeCell ref="B80:D80"/>
    <mergeCell ref="E80:F80"/>
    <mergeCell ref="H80:I80"/>
    <mergeCell ref="J80:K80"/>
    <mergeCell ref="J86:K86"/>
    <mergeCell ref="B87:D87"/>
    <mergeCell ref="E87:G87"/>
    <mergeCell ref="E88:G88"/>
    <mergeCell ref="H88:I88"/>
    <mergeCell ref="J88:K88"/>
    <mergeCell ref="B83:D83"/>
    <mergeCell ref="E83:F83"/>
    <mergeCell ref="H83:I83"/>
    <mergeCell ref="J83:K83"/>
    <mergeCell ref="B84:D84"/>
    <mergeCell ref="E84:F84"/>
    <mergeCell ref="H84:I84"/>
    <mergeCell ref="J84:K84"/>
    <mergeCell ref="B98:D98"/>
    <mergeCell ref="E98:F98"/>
    <mergeCell ref="H98:I98"/>
    <mergeCell ref="J98:K98"/>
    <mergeCell ref="B99:D99"/>
    <mergeCell ref="E99:F99"/>
    <mergeCell ref="H99:I99"/>
    <mergeCell ref="J99:K99"/>
    <mergeCell ref="C92:M92"/>
    <mergeCell ref="C94:H96"/>
    <mergeCell ref="J94:K94"/>
    <mergeCell ref="J95:K95"/>
    <mergeCell ref="J96:K96"/>
    <mergeCell ref="J97:K97"/>
    <mergeCell ref="B102:D102"/>
    <mergeCell ref="E102:F102"/>
    <mergeCell ref="H102:I102"/>
    <mergeCell ref="J102:K102"/>
    <mergeCell ref="B103:D103"/>
    <mergeCell ref="E103:F103"/>
    <mergeCell ref="H103:I103"/>
    <mergeCell ref="J103:K103"/>
    <mergeCell ref="B100:D100"/>
    <mergeCell ref="E100:F100"/>
    <mergeCell ref="H100:I100"/>
    <mergeCell ref="J100:K100"/>
    <mergeCell ref="B101:D101"/>
    <mergeCell ref="E101:F101"/>
    <mergeCell ref="H101:I101"/>
    <mergeCell ref="J101:K101"/>
    <mergeCell ref="B106:D106"/>
    <mergeCell ref="E106:F106"/>
    <mergeCell ref="H106:I106"/>
    <mergeCell ref="J106:K106"/>
    <mergeCell ref="B107:D107"/>
    <mergeCell ref="E107:F107"/>
    <mergeCell ref="H107:I107"/>
    <mergeCell ref="J107:K107"/>
    <mergeCell ref="B104:D104"/>
    <mergeCell ref="E104:F104"/>
    <mergeCell ref="H104:I104"/>
    <mergeCell ref="J104:K104"/>
    <mergeCell ref="B105:D105"/>
    <mergeCell ref="E105:F105"/>
    <mergeCell ref="H105:I105"/>
    <mergeCell ref="J105:K105"/>
    <mergeCell ref="R111:R112"/>
    <mergeCell ref="C116:K116"/>
    <mergeCell ref="C118:H118"/>
    <mergeCell ref="J118:K118"/>
    <mergeCell ref="J119:K119"/>
    <mergeCell ref="J120:K120"/>
    <mergeCell ref="H109:I109"/>
    <mergeCell ref="J109:K109"/>
    <mergeCell ref="B110:D110"/>
    <mergeCell ref="E110:G110"/>
    <mergeCell ref="E111:G111"/>
    <mergeCell ref="H111:I111"/>
    <mergeCell ref="J111:K111"/>
    <mergeCell ref="J121:K121"/>
    <mergeCell ref="B122:D122"/>
    <mergeCell ref="E122:F122"/>
    <mergeCell ref="H122:I122"/>
    <mergeCell ref="J122:K122"/>
    <mergeCell ref="B123:D123"/>
    <mergeCell ref="E123:F123"/>
    <mergeCell ref="H123:I123"/>
    <mergeCell ref="J123:K123"/>
    <mergeCell ref="B126:D126"/>
    <mergeCell ref="E126:F126"/>
    <mergeCell ref="H126:I126"/>
    <mergeCell ref="J126:K126"/>
    <mergeCell ref="B127:D127"/>
    <mergeCell ref="E127:F127"/>
    <mergeCell ref="H127:I127"/>
    <mergeCell ref="J127:K127"/>
    <mergeCell ref="B124:D124"/>
    <mergeCell ref="E124:F124"/>
    <mergeCell ref="H124:I124"/>
    <mergeCell ref="J124:K124"/>
    <mergeCell ref="B125:D125"/>
    <mergeCell ref="E125:F125"/>
    <mergeCell ref="H125:I125"/>
    <mergeCell ref="J125:K125"/>
    <mergeCell ref="B130:D130"/>
    <mergeCell ref="E130:F130"/>
    <mergeCell ref="H130:I130"/>
    <mergeCell ref="J130:K130"/>
    <mergeCell ref="B131:D131"/>
    <mergeCell ref="E131:F131"/>
    <mergeCell ref="H131:I131"/>
    <mergeCell ref="J131:K131"/>
    <mergeCell ref="B128:D128"/>
    <mergeCell ref="E128:F128"/>
    <mergeCell ref="H128:I128"/>
    <mergeCell ref="J128:K128"/>
    <mergeCell ref="B129:D129"/>
    <mergeCell ref="E129:F129"/>
    <mergeCell ref="H129:I129"/>
    <mergeCell ref="J129:K129"/>
    <mergeCell ref="R136:R137"/>
    <mergeCell ref="C140:M140"/>
    <mergeCell ref="B142:G142"/>
    <mergeCell ref="I142:J142"/>
    <mergeCell ref="B132:D132"/>
    <mergeCell ref="E132:F132"/>
    <mergeCell ref="H132:I132"/>
    <mergeCell ref="J132:K132"/>
    <mergeCell ref="J134:K134"/>
    <mergeCell ref="B135:D135"/>
    <mergeCell ref="E135:G135"/>
    <mergeCell ref="I143:J143"/>
    <mergeCell ref="G144:H144"/>
    <mergeCell ref="C145:F145"/>
    <mergeCell ref="G145:H145"/>
    <mergeCell ref="B146:F147"/>
    <mergeCell ref="G146:H146"/>
    <mergeCell ref="G147:H147"/>
    <mergeCell ref="E136:G136"/>
    <mergeCell ref="H136:I136"/>
    <mergeCell ref="J136:K136"/>
    <mergeCell ref="A150:F150"/>
    <mergeCell ref="G151:H151"/>
    <mergeCell ref="I151:K151"/>
    <mergeCell ref="B152:C152"/>
    <mergeCell ref="A153:A154"/>
    <mergeCell ref="B153:C153"/>
    <mergeCell ref="J153:J154"/>
    <mergeCell ref="K153:K154"/>
    <mergeCell ref="A148:B148"/>
    <mergeCell ref="C148:D148"/>
    <mergeCell ref="E148:F148"/>
    <mergeCell ref="G148:H148"/>
    <mergeCell ref="A149:B149"/>
    <mergeCell ref="C149:D149"/>
    <mergeCell ref="B157:C157"/>
    <mergeCell ref="B158:C158"/>
    <mergeCell ref="B159:C159"/>
    <mergeCell ref="B160:C160"/>
    <mergeCell ref="I161:K162"/>
    <mergeCell ref="G162:H162"/>
    <mergeCell ref="M153:M154"/>
    <mergeCell ref="B154:C154"/>
    <mergeCell ref="A155:A156"/>
    <mergeCell ref="B155:C155"/>
    <mergeCell ref="J155:J156"/>
    <mergeCell ref="K155:K156"/>
    <mergeCell ref="M155:M156"/>
    <mergeCell ref="B156:C156"/>
    <mergeCell ref="I173:J173"/>
    <mergeCell ref="G174:H174"/>
    <mergeCell ref="C175:F175"/>
    <mergeCell ref="G175:H175"/>
    <mergeCell ref="B176:F177"/>
    <mergeCell ref="G176:H176"/>
    <mergeCell ref="G177:H177"/>
    <mergeCell ref="I164:K164"/>
    <mergeCell ref="E166:G166"/>
    <mergeCell ref="H166:I166"/>
    <mergeCell ref="J166:K166"/>
    <mergeCell ref="C170:M170"/>
    <mergeCell ref="B172:G172"/>
    <mergeCell ref="I172:J172"/>
    <mergeCell ref="A180:F180"/>
    <mergeCell ref="G181:H181"/>
    <mergeCell ref="I181:K181"/>
    <mergeCell ref="B182:C182"/>
    <mergeCell ref="A183:A184"/>
    <mergeCell ref="B183:C183"/>
    <mergeCell ref="J183:J184"/>
    <mergeCell ref="K183:K184"/>
    <mergeCell ref="A178:B178"/>
    <mergeCell ref="C178:D178"/>
    <mergeCell ref="E178:F178"/>
    <mergeCell ref="G178:H178"/>
    <mergeCell ref="A179:B179"/>
    <mergeCell ref="C179:D179"/>
    <mergeCell ref="B187:C187"/>
    <mergeCell ref="B188:C188"/>
    <mergeCell ref="B189:C189"/>
    <mergeCell ref="B190:C190"/>
    <mergeCell ref="I191:K192"/>
    <mergeCell ref="G192:H192"/>
    <mergeCell ref="M183:M184"/>
    <mergeCell ref="B184:C184"/>
    <mergeCell ref="A185:A186"/>
    <mergeCell ref="B185:C185"/>
    <mergeCell ref="J185:J186"/>
    <mergeCell ref="K185:K186"/>
    <mergeCell ref="M185:M186"/>
    <mergeCell ref="B186:C186"/>
    <mergeCell ref="I203:J203"/>
    <mergeCell ref="I204:J204"/>
    <mergeCell ref="G205:H205"/>
    <mergeCell ref="C206:F206"/>
    <mergeCell ref="G206:H206"/>
    <mergeCell ref="B207:F208"/>
    <mergeCell ref="G207:H207"/>
    <mergeCell ref="G208:H208"/>
    <mergeCell ref="E196:G196"/>
    <mergeCell ref="H196:I196"/>
    <mergeCell ref="J196:K196"/>
    <mergeCell ref="C200:M200"/>
    <mergeCell ref="B202:G202"/>
    <mergeCell ref="I202:J202"/>
    <mergeCell ref="A211:F211"/>
    <mergeCell ref="G212:H212"/>
    <mergeCell ref="I212:K212"/>
    <mergeCell ref="B213:C213"/>
    <mergeCell ref="A214:A215"/>
    <mergeCell ref="B214:C214"/>
    <mergeCell ref="J214:J215"/>
    <mergeCell ref="K214:K215"/>
    <mergeCell ref="A209:B209"/>
    <mergeCell ref="C209:D209"/>
    <mergeCell ref="E209:F209"/>
    <mergeCell ref="G209:H209"/>
    <mergeCell ref="A210:B210"/>
    <mergeCell ref="C210:D210"/>
    <mergeCell ref="B218:C218"/>
    <mergeCell ref="B219:C219"/>
    <mergeCell ref="B220:C220"/>
    <mergeCell ref="B221:C221"/>
    <mergeCell ref="I222:K223"/>
    <mergeCell ref="G223:H223"/>
    <mergeCell ref="M214:M215"/>
    <mergeCell ref="B215:C215"/>
    <mergeCell ref="A216:A217"/>
    <mergeCell ref="B216:C216"/>
    <mergeCell ref="J216:J217"/>
    <mergeCell ref="K216:K217"/>
    <mergeCell ref="M216:M217"/>
    <mergeCell ref="B217:C217"/>
    <mergeCell ref="I233:J233"/>
    <mergeCell ref="I234:J234"/>
    <mergeCell ref="G235:H235"/>
    <mergeCell ref="C236:F236"/>
    <mergeCell ref="G236:H236"/>
    <mergeCell ref="B237:F238"/>
    <mergeCell ref="G237:H237"/>
    <mergeCell ref="G238:H238"/>
    <mergeCell ref="E226:G226"/>
    <mergeCell ref="H226:I226"/>
    <mergeCell ref="J226:K226"/>
    <mergeCell ref="C230:M230"/>
    <mergeCell ref="B232:G232"/>
    <mergeCell ref="I232:J232"/>
    <mergeCell ref="A241:F241"/>
    <mergeCell ref="G242:H242"/>
    <mergeCell ref="I242:K242"/>
    <mergeCell ref="B243:C243"/>
    <mergeCell ref="B244:C244"/>
    <mergeCell ref="B245:C245"/>
    <mergeCell ref="I245:J245"/>
    <mergeCell ref="A239:B239"/>
    <mergeCell ref="C239:D239"/>
    <mergeCell ref="E239:F239"/>
    <mergeCell ref="G239:H239"/>
    <mergeCell ref="A240:B240"/>
    <mergeCell ref="C240:D240"/>
    <mergeCell ref="A251:A252"/>
    <mergeCell ref="B251:C251"/>
    <mergeCell ref="J251:J252"/>
    <mergeCell ref="K251:K252"/>
    <mergeCell ref="M251:M252"/>
    <mergeCell ref="B252:C252"/>
    <mergeCell ref="B247:C247"/>
    <mergeCell ref="B248:C248"/>
    <mergeCell ref="A249:A250"/>
    <mergeCell ref="B249:C249"/>
    <mergeCell ref="J249:J250"/>
    <mergeCell ref="K249:K250"/>
    <mergeCell ref="B254:C254"/>
    <mergeCell ref="B255:C255"/>
    <mergeCell ref="I256:K257"/>
    <mergeCell ref="G257:H257"/>
    <mergeCell ref="E260:G260"/>
    <mergeCell ref="H260:I260"/>
    <mergeCell ref="J260:K260"/>
    <mergeCell ref="M249:M250"/>
    <mergeCell ref="B250:C250"/>
  </mergeCells>
  <dataValidations count="18">
    <dataValidation type="list" allowBlank="1" showInputMessage="1" showErrorMessage="1" sqref="B154:C154 B158:C158" xr:uid="{0A68B635-970C-44F8-A69B-197F3A05053F}">
      <formula1>$Q$3:$Q$120</formula1>
    </dataValidation>
    <dataValidation type="list" allowBlank="1" showInputMessage="1" showErrorMessage="1" sqref="B215:C215 B218:C218" xr:uid="{5F8A173F-483E-4C78-97F4-F70D59F8680C}">
      <formula1>$Q$3:$Q$140</formula1>
    </dataValidation>
    <dataValidation type="list" allowBlank="1" showInputMessage="1" showErrorMessage="1" sqref="B106:D106" xr:uid="{D35E049F-3343-4707-B050-DF7731E253DB}">
      <formula1>$Q$2:$Q$112</formula1>
    </dataValidation>
    <dataValidation type="list" allowBlank="1" showInputMessage="1" showErrorMessage="1" sqref="B36:D36" xr:uid="{F35776BC-95A4-4184-AB84-D40DD5DA4620}">
      <formula1>$Q$2:$Q$120</formula1>
    </dataValidation>
    <dataValidation type="list" allowBlank="1" showInputMessage="1" showErrorMessage="1" sqref="B13:D13 B126:D128 B10:D10 B15:D15 B32:D32" xr:uid="{F4AECEE9-4CD3-41F0-AD4D-FC799B383D69}">
      <formula1>$Q$3:$Q$96</formula1>
    </dataValidation>
    <dataValidation type="list" allowBlank="1" showInputMessage="1" showErrorMessage="1" sqref="B157" xr:uid="{3BACD499-4795-4F70-AD47-2C84B2B067D5}">
      <formula1>$Q$3:$Q$99</formula1>
    </dataValidation>
    <dataValidation type="list" allowBlank="1" showInputMessage="1" showErrorMessage="1" sqref="B217:C217 B219:C219" xr:uid="{AF6EB9B2-2B95-4C6B-9327-5C718C8A5B59}">
      <formula1>$Q$3:$Q$100</formula1>
    </dataValidation>
    <dataValidation type="list" allowBlank="1" showInputMessage="1" showErrorMessage="1" sqref="B156:C156 B186:C187" xr:uid="{C555735A-ABF3-4F0F-A600-E21BBB062609}">
      <formula1>$Q$3:$Q$105</formula1>
    </dataValidation>
    <dataValidation type="list" allowBlank="1" showInputMessage="1" showErrorMessage="1" sqref="B184:C184" xr:uid="{F8F6F606-15C9-4FBA-9864-9D5EFCB73393}">
      <formula1>$Q$3:$Q$46</formula1>
    </dataValidation>
    <dataValidation type="list" allowBlank="1" showInputMessage="1" showErrorMessage="1" sqref="B220:C220 B11:D11 B33:D33 B185:C185" xr:uid="{6BA787C9-8C2E-46EB-A845-546EA619AA76}">
      <formula1>$Q$3:$Q$109</formula1>
    </dataValidation>
    <dataValidation type="list" allowBlank="1" showInputMessage="1" showErrorMessage="1" sqref="B77:D80 B100:D101" xr:uid="{ED5B859E-8AB4-46CD-93C3-50087A7923F5}">
      <formula1>$Q$2:$Q$109</formula1>
    </dataValidation>
    <dataValidation type="list" allowBlank="1" showInputMessage="1" showErrorMessage="1" sqref="H103:I103" xr:uid="{6A9F7C57-734E-4B20-B9D2-FFB00EA83784}">
      <formula1>$R$92:$R$108</formula1>
    </dataValidation>
    <dataValidation type="list" allowBlank="1" showInputMessage="1" showErrorMessage="1" sqref="B57:D58 B35:D35" xr:uid="{1ED40568-A9D1-424B-B32A-4773EABCD5E3}">
      <formula1>$U$2:$U$15</formula1>
    </dataValidation>
    <dataValidation type="list" allowBlank="1" showInputMessage="1" showErrorMessage="1" sqref="B104:D104 B81:D81" xr:uid="{9D5CEED7-E839-481C-BA30-C21DA109FF47}">
      <formula1>$W$92:$W$101</formula1>
    </dataValidation>
    <dataValidation type="list" allowBlank="1" showInputMessage="1" showErrorMessage="1" sqref="B99:D99 B76:D76" xr:uid="{F5B56111-1C12-40CE-8A10-1CC3248CB2EB}">
      <formula1>$U$92:$U$101</formula1>
    </dataValidation>
    <dataValidation type="list" allowBlank="1" showInputMessage="1" showErrorMessage="1" sqref="J94:K94 J71:K71" xr:uid="{489DC91E-BB92-4D04-BE62-8E99AE7DDD14}">
      <formula1>$P$92:$P$94</formula1>
    </dataValidation>
    <dataValidation type="list" allowBlank="1" showInputMessage="1" showErrorMessage="1" sqref="B55:D55" xr:uid="{E3ADD948-78B3-46BA-B239-BB4CA38A7094}">
      <formula1>$Q$2:$Q$79</formula1>
    </dataValidation>
    <dataValidation type="list" allowBlank="1" showInputMessage="1" showErrorMessage="1" sqref="B54:D54" xr:uid="{A52F58BF-6908-4E0A-8DC6-66E55DF1F392}">
      <formula1>$Q$3:$Q$55</formula1>
    </dataValidation>
  </dataValidations>
  <printOptions horizontalCentered="1"/>
  <pageMargins left="0.70866141732283472" right="0.51181102362204722" top="0.74803149606299213" bottom="0.74803149606299213" header="0.31496062992125984" footer="0.31496062992125984"/>
  <pageSetup paperSize="9" orientation="portrait" horizontalDpi="200" verticalDpi="200" r:id="rId1"/>
  <headerFooter>
    <oddFooter>&amp;C&amp;A&amp;R&amp;F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3"/>
  <sheetViews>
    <sheetView showGridLines="0" view="pageBreakPreview" zoomScaleNormal="100" zoomScaleSheetLayoutView="100" workbookViewId="0">
      <selection activeCell="H10" sqref="H10"/>
    </sheetView>
  </sheetViews>
  <sheetFormatPr defaultColWidth="9.140625" defaultRowHeight="12.75" x14ac:dyDescent="0.2"/>
  <cols>
    <col min="1" max="1" width="5.28515625" style="2" customWidth="1"/>
    <col min="2" max="2" width="8.140625" style="2" customWidth="1"/>
    <col min="3" max="4" width="7.7109375" style="2" customWidth="1"/>
    <col min="5" max="5" width="10.28515625" style="2" customWidth="1"/>
    <col min="6" max="6" width="10.85546875" style="2" customWidth="1"/>
    <col min="7" max="7" width="10.28515625" style="2" customWidth="1"/>
    <col min="8" max="8" width="11.140625" style="2" customWidth="1"/>
    <col min="9" max="9" width="0.85546875" style="2" customWidth="1"/>
    <col min="10" max="10" width="8.5703125" style="2" customWidth="1"/>
    <col min="11" max="11" width="5.5703125" style="2" customWidth="1"/>
    <col min="12" max="12" width="9.140625" style="335"/>
    <col min="13" max="13" width="20.28515625" style="2" bestFit="1" customWidth="1"/>
    <col min="14" max="16384" width="9.140625" style="2"/>
  </cols>
  <sheetData>
    <row r="1" spans="1:21" ht="30" customHeight="1" x14ac:dyDescent="0.2">
      <c r="H1" s="954"/>
      <c r="I1" s="954"/>
      <c r="J1" s="954"/>
      <c r="K1" s="954"/>
    </row>
    <row r="2" spans="1:21" ht="15.6" customHeight="1" x14ac:dyDescent="0.2">
      <c r="A2" s="385"/>
      <c r="B2" s="99"/>
      <c r="C2" s="99"/>
      <c r="D2" s="99"/>
      <c r="E2" s="99"/>
      <c r="F2" s="99"/>
      <c r="G2" s="99"/>
      <c r="H2" s="99"/>
      <c r="I2" s="99"/>
      <c r="J2" s="99"/>
      <c r="K2" s="81"/>
    </row>
    <row r="3" spans="1:21" ht="27.6" customHeight="1" x14ac:dyDescent="0.2">
      <c r="A3" s="386"/>
      <c r="B3" s="387"/>
      <c r="C3" s="688" t="s">
        <v>736</v>
      </c>
      <c r="D3" s="684">
        <v>1</v>
      </c>
      <c r="E3" s="868" t="s">
        <v>749</v>
      </c>
      <c r="F3" s="868"/>
      <c r="G3" s="868"/>
      <c r="H3" s="868"/>
      <c r="I3" s="868"/>
      <c r="J3" s="869"/>
      <c r="K3" s="83"/>
      <c r="N3" s="2" t="s">
        <v>90</v>
      </c>
      <c r="O3" s="2" t="s">
        <v>91</v>
      </c>
      <c r="P3" s="2" t="s">
        <v>392</v>
      </c>
      <c r="Q3" s="2" t="s">
        <v>393</v>
      </c>
    </row>
    <row r="4" spans="1:21" ht="14.45" customHeight="1" x14ac:dyDescent="0.2">
      <c r="A4" s="354"/>
      <c r="B4" s="341"/>
      <c r="C4" s="341"/>
      <c r="D4" s="341"/>
      <c r="E4" s="341"/>
      <c r="F4" s="341"/>
      <c r="G4" s="341"/>
      <c r="H4" s="341"/>
      <c r="I4" s="341"/>
      <c r="J4" s="341"/>
      <c r="K4" s="83"/>
    </row>
    <row r="5" spans="1:21" ht="15" customHeight="1" x14ac:dyDescent="0.25">
      <c r="A5" s="949" t="s">
        <v>804</v>
      </c>
      <c r="B5" s="950"/>
      <c r="C5" s="950"/>
      <c r="D5" s="950"/>
      <c r="E5" s="950"/>
      <c r="F5" s="341" t="s">
        <v>300</v>
      </c>
      <c r="G5" s="930">
        <v>0.17</v>
      </c>
      <c r="H5" s="930"/>
      <c r="I5" s="930"/>
      <c r="J5" s="359"/>
      <c r="K5" s="83"/>
      <c r="L5" s="335" t="s">
        <v>487</v>
      </c>
      <c r="M5" s="385" t="s">
        <v>430</v>
      </c>
      <c r="N5" s="495">
        <v>3.4000000000000002E-2</v>
      </c>
    </row>
    <row r="6" spans="1:21" ht="15" x14ac:dyDescent="0.25">
      <c r="A6" s="949"/>
      <c r="B6" s="950"/>
      <c r="C6" s="950"/>
      <c r="D6" s="950"/>
      <c r="E6" s="950"/>
      <c r="F6" s="341" t="s">
        <v>301</v>
      </c>
      <c r="G6" s="930">
        <v>0</v>
      </c>
      <c r="H6" s="930"/>
      <c r="I6" s="930"/>
      <c r="J6" s="359"/>
      <c r="K6" s="83"/>
      <c r="L6" s="335">
        <v>2.83</v>
      </c>
      <c r="M6" s="86" t="s">
        <v>386</v>
      </c>
      <c r="N6" s="496">
        <v>3.3000000000000002E-2</v>
      </c>
    </row>
    <row r="7" spans="1:21" ht="9" customHeight="1" x14ac:dyDescent="0.2">
      <c r="A7" s="389"/>
      <c r="B7" s="390"/>
      <c r="C7" s="390"/>
      <c r="D7" s="390"/>
      <c r="E7" s="390"/>
      <c r="F7" s="390"/>
      <c r="G7" s="390"/>
      <c r="H7" s="391"/>
      <c r="I7" s="391"/>
      <c r="J7" s="391"/>
      <c r="K7" s="392"/>
      <c r="M7" s="86" t="s">
        <v>348</v>
      </c>
      <c r="N7" s="496">
        <v>3.5999999999999997E-2</v>
      </c>
      <c r="S7" s="2">
        <v>72</v>
      </c>
      <c r="T7" s="2">
        <v>3.1</v>
      </c>
      <c r="U7" s="2">
        <f>S7*T7</f>
        <v>223.20000000000002</v>
      </c>
    </row>
    <row r="8" spans="1:21" ht="14.25" x14ac:dyDescent="0.25">
      <c r="A8" s="389"/>
      <c r="B8" s="450"/>
      <c r="C8" s="450"/>
      <c r="D8" s="947" t="s">
        <v>755</v>
      </c>
      <c r="E8" s="947"/>
      <c r="F8" s="947"/>
      <c r="G8" s="391" t="s">
        <v>729</v>
      </c>
      <c r="H8" s="716">
        <f>'6.lapa'!M19</f>
        <v>0.5</v>
      </c>
      <c r="I8" s="391"/>
      <c r="J8" s="391"/>
      <c r="K8" s="392"/>
      <c r="M8" s="86" t="s">
        <v>222</v>
      </c>
      <c r="N8" s="496">
        <v>3.3000000000000002E-2</v>
      </c>
      <c r="S8" s="2">
        <v>6.1</v>
      </c>
      <c r="T8" s="2">
        <v>3.1</v>
      </c>
      <c r="U8" s="2">
        <f t="shared" ref="U8:U14" si="0">S8*T8</f>
        <v>18.91</v>
      </c>
    </row>
    <row r="9" spans="1:21" ht="14.25" x14ac:dyDescent="0.2">
      <c r="A9" s="394"/>
      <c r="B9" s="395"/>
      <c r="C9" s="395"/>
      <c r="D9" s="946" t="s">
        <v>757</v>
      </c>
      <c r="E9" s="946"/>
      <c r="F9" s="946"/>
      <c r="G9" s="396" t="s">
        <v>9</v>
      </c>
      <c r="H9" s="565">
        <f>'5.lapa'!E168</f>
        <v>79.09</v>
      </c>
      <c r="I9" s="396"/>
      <c r="K9" s="83"/>
      <c r="L9" s="335">
        <v>0.3</v>
      </c>
      <c r="M9" s="86" t="s">
        <v>429</v>
      </c>
      <c r="N9" s="496">
        <v>3.5000000000000003E-2</v>
      </c>
      <c r="S9" s="2">
        <v>8.8000000000000007</v>
      </c>
      <c r="T9" s="2">
        <v>2.6</v>
      </c>
      <c r="U9" s="2">
        <f t="shared" si="0"/>
        <v>22.880000000000003</v>
      </c>
    </row>
    <row r="10" spans="1:21" ht="14.45" customHeight="1" x14ac:dyDescent="0.2">
      <c r="A10" s="394"/>
      <c r="B10" s="398"/>
      <c r="C10" s="395"/>
      <c r="D10" s="946" t="s">
        <v>758</v>
      </c>
      <c r="E10" s="946"/>
      <c r="F10" s="946"/>
      <c r="G10" s="399" t="s">
        <v>129</v>
      </c>
      <c r="H10" s="465">
        <f>(13.75+7.75+0.6)*2</f>
        <v>44.2</v>
      </c>
      <c r="I10" s="399"/>
      <c r="K10" s="83"/>
      <c r="L10" s="335">
        <f>H10/H9</f>
        <v>0.55885699835630298</v>
      </c>
      <c r="M10" s="584" t="s">
        <v>470</v>
      </c>
      <c r="N10" s="496">
        <v>3.4000000000000002E-2</v>
      </c>
      <c r="S10" s="2">
        <v>9</v>
      </c>
      <c r="T10" s="2">
        <v>2.6</v>
      </c>
      <c r="U10" s="2">
        <f t="shared" si="0"/>
        <v>23.400000000000002</v>
      </c>
    </row>
    <row r="11" spans="1:21" x14ac:dyDescent="0.2">
      <c r="A11" s="394"/>
      <c r="B11" s="398"/>
      <c r="C11" s="400"/>
      <c r="D11" s="948" t="s">
        <v>759</v>
      </c>
      <c r="E11" s="948"/>
      <c r="F11" s="948"/>
      <c r="G11" s="399" t="s">
        <v>77</v>
      </c>
      <c r="H11" s="465">
        <f>ROUND(H9/(0.5*H10),2)</f>
        <v>3.58</v>
      </c>
      <c r="I11" s="399"/>
      <c r="K11" s="83"/>
      <c r="M11" s="86" t="s">
        <v>626</v>
      </c>
      <c r="N11" s="496">
        <v>2.1999999999999999E-2</v>
      </c>
      <c r="S11" s="2">
        <v>38.5</v>
      </c>
      <c r="T11" s="2">
        <v>2.6</v>
      </c>
      <c r="U11" s="2">
        <f t="shared" si="0"/>
        <v>100.10000000000001</v>
      </c>
    </row>
    <row r="12" spans="1:21" ht="9" customHeight="1" x14ac:dyDescent="0.2">
      <c r="A12" s="394"/>
      <c r="B12" s="398"/>
      <c r="C12" s="404"/>
      <c r="D12" s="398"/>
      <c r="E12" s="398"/>
      <c r="F12" s="398"/>
      <c r="G12" s="335"/>
      <c r="K12" s="83"/>
      <c r="M12" s="86" t="s">
        <v>444</v>
      </c>
      <c r="N12" s="496">
        <v>0.09</v>
      </c>
      <c r="S12" s="2">
        <v>21.5</v>
      </c>
      <c r="T12" s="2">
        <v>3.1</v>
      </c>
      <c r="U12" s="2">
        <f t="shared" si="0"/>
        <v>66.650000000000006</v>
      </c>
    </row>
    <row r="13" spans="1:21" ht="14.25" x14ac:dyDescent="0.2">
      <c r="A13" s="394"/>
      <c r="B13" s="946" t="s">
        <v>771</v>
      </c>
      <c r="C13" s="946"/>
      <c r="D13" s="946"/>
      <c r="E13" s="946"/>
      <c r="F13" s="946"/>
      <c r="G13" s="418" t="s">
        <v>731</v>
      </c>
      <c r="H13" s="532">
        <v>2</v>
      </c>
      <c r="I13" s="403"/>
      <c r="K13" s="83"/>
      <c r="M13" s="86" t="s">
        <v>264</v>
      </c>
      <c r="N13" s="496">
        <v>0.09</v>
      </c>
      <c r="S13" s="2">
        <v>4.7</v>
      </c>
      <c r="T13" s="2">
        <v>3.1</v>
      </c>
      <c r="U13" s="2">
        <f t="shared" si="0"/>
        <v>14.57</v>
      </c>
    </row>
    <row r="14" spans="1:21" ht="9" customHeight="1" x14ac:dyDescent="0.2">
      <c r="A14" s="86"/>
      <c r="G14" s="762"/>
      <c r="H14" s="762"/>
      <c r="I14" s="335"/>
      <c r="K14" s="83"/>
      <c r="M14" s="86" t="s">
        <v>566</v>
      </c>
      <c r="N14" s="496"/>
      <c r="S14" s="2">
        <v>19.2</v>
      </c>
      <c r="T14" s="2">
        <v>3.1</v>
      </c>
      <c r="U14" s="2">
        <f t="shared" si="0"/>
        <v>59.519999999999996</v>
      </c>
    </row>
    <row r="15" spans="1:21" ht="28.9" customHeight="1" x14ac:dyDescent="0.25">
      <c r="A15" s="339"/>
      <c r="B15" s="961" t="s">
        <v>6</v>
      </c>
      <c r="C15" s="961"/>
      <c r="D15" s="961"/>
      <c r="E15" s="489" t="s">
        <v>797</v>
      </c>
      <c r="F15" s="489" t="s">
        <v>798</v>
      </c>
      <c r="G15" s="489" t="s">
        <v>799</v>
      </c>
      <c r="H15" s="489" t="s">
        <v>800</v>
      </c>
      <c r="I15" s="405"/>
      <c r="J15" s="489" t="s">
        <v>801</v>
      </c>
      <c r="K15" s="83"/>
      <c r="M15" s="86" t="s">
        <v>575</v>
      </c>
      <c r="N15" s="496">
        <v>3.5000000000000003E-2</v>
      </c>
      <c r="S15" s="2">
        <f>SUM(S7:S14)</f>
        <v>179.79999999999995</v>
      </c>
      <c r="T15" s="2">
        <f>U15/S15</f>
        <v>2.9434371523915468</v>
      </c>
      <c r="U15" s="2">
        <f>SUM(U7:U14)</f>
        <v>529.23</v>
      </c>
    </row>
    <row r="16" spans="1:21" x14ac:dyDescent="0.2">
      <c r="A16" s="367"/>
      <c r="B16" s="874" t="s">
        <v>223</v>
      </c>
      <c r="C16" s="874"/>
      <c r="D16" s="874"/>
      <c r="E16" s="459">
        <v>0.26</v>
      </c>
      <c r="F16" s="459">
        <v>0</v>
      </c>
      <c r="G16" s="459">
        <f>E16+F16</f>
        <v>0.26</v>
      </c>
      <c r="H16" s="456">
        <f>ROUND(J16/G16,3)</f>
        <v>7.6999999999999999E-2</v>
      </c>
      <c r="I16" s="335"/>
      <c r="J16" s="459">
        <v>0.02</v>
      </c>
      <c r="K16" s="83"/>
      <c r="M16" s="86" t="s">
        <v>576</v>
      </c>
      <c r="N16" s="496">
        <v>3.6999999999999998E-2</v>
      </c>
      <c r="P16" s="2">
        <f>H10*6.2</f>
        <v>274.04000000000002</v>
      </c>
      <c r="R16" s="453"/>
      <c r="T16" s="2">
        <v>29.2</v>
      </c>
    </row>
    <row r="17" spans="1:20" hidden="1" x14ac:dyDescent="0.2">
      <c r="A17" s="367"/>
      <c r="B17" s="874" t="s">
        <v>554</v>
      </c>
      <c r="C17" s="874"/>
      <c r="D17" s="874"/>
      <c r="E17" s="459">
        <v>0.09</v>
      </c>
      <c r="F17" s="459">
        <v>0</v>
      </c>
      <c r="G17" s="459">
        <f>E17+F17</f>
        <v>0.09</v>
      </c>
      <c r="H17" s="456">
        <f t="shared" ref="H17:H22" si="1">ROUND(J17/G17,3)</f>
        <v>0</v>
      </c>
      <c r="I17" s="335"/>
      <c r="J17" s="459">
        <v>0</v>
      </c>
      <c r="K17" s="407"/>
      <c r="M17" s="86" t="s">
        <v>607</v>
      </c>
      <c r="N17" s="496">
        <v>3.5000000000000003E-2</v>
      </c>
      <c r="T17" s="2">
        <v>7.6</v>
      </c>
    </row>
    <row r="18" spans="1:20" hidden="1" x14ac:dyDescent="0.2">
      <c r="A18" s="367"/>
      <c r="B18" s="874" t="s">
        <v>625</v>
      </c>
      <c r="C18" s="874"/>
      <c r="D18" s="874"/>
      <c r="E18" s="459">
        <v>0.5</v>
      </c>
      <c r="F18" s="459">
        <v>0</v>
      </c>
      <c r="G18" s="459">
        <f>F18+E18</f>
        <v>0.5</v>
      </c>
      <c r="H18" s="465">
        <f t="shared" si="1"/>
        <v>0</v>
      </c>
      <c r="I18" s="335"/>
      <c r="J18" s="459">
        <v>0</v>
      </c>
      <c r="K18" s="83"/>
      <c r="M18" s="86" t="s">
        <v>625</v>
      </c>
      <c r="N18" s="496">
        <v>0.5</v>
      </c>
      <c r="P18" s="377"/>
    </row>
    <row r="19" spans="1:20" x14ac:dyDescent="0.2">
      <c r="A19" s="367"/>
      <c r="B19" s="874" t="s">
        <v>386</v>
      </c>
      <c r="C19" s="874"/>
      <c r="D19" s="874"/>
      <c r="E19" s="459">
        <v>3.5999999999999997E-2</v>
      </c>
      <c r="F19" s="459">
        <v>2E-3</v>
      </c>
      <c r="G19" s="459">
        <f>F19+E19</f>
        <v>3.7999999999999999E-2</v>
      </c>
      <c r="H19" s="456">
        <f>ROUND(J19/G19,3)</f>
        <v>5.2629999999999999</v>
      </c>
      <c r="I19" s="335"/>
      <c r="J19" s="459">
        <v>0.2</v>
      </c>
      <c r="K19" s="83"/>
      <c r="M19" s="86" t="s">
        <v>633</v>
      </c>
      <c r="N19" s="496">
        <v>3.1E-2</v>
      </c>
      <c r="T19" s="2">
        <v>17.2</v>
      </c>
    </row>
    <row r="20" spans="1:20" ht="13.5" hidden="1" customHeight="1" x14ac:dyDescent="0.2">
      <c r="A20" s="367"/>
      <c r="B20" s="874" t="s">
        <v>637</v>
      </c>
      <c r="C20" s="874"/>
      <c r="D20" s="874"/>
      <c r="E20" s="459">
        <v>2</v>
      </c>
      <c r="F20" s="459">
        <v>0</v>
      </c>
      <c r="G20" s="459">
        <f>E20+F20</f>
        <v>2</v>
      </c>
      <c r="H20" s="456">
        <f t="shared" si="1"/>
        <v>0</v>
      </c>
      <c r="I20" s="335"/>
      <c r="J20" s="459">
        <v>0</v>
      </c>
      <c r="K20" s="83"/>
      <c r="M20" s="86" t="s">
        <v>711</v>
      </c>
      <c r="N20" s="496">
        <v>3.5999999999999997E-2</v>
      </c>
      <c r="O20" s="2">
        <v>100</v>
      </c>
    </row>
    <row r="21" spans="1:20" ht="13.5" hidden="1" customHeight="1" x14ac:dyDescent="0.2">
      <c r="A21" s="367"/>
      <c r="B21" s="874" t="s">
        <v>264</v>
      </c>
      <c r="C21" s="874"/>
      <c r="D21" s="874"/>
      <c r="E21" s="459">
        <v>0.09</v>
      </c>
      <c r="F21" s="459">
        <v>0</v>
      </c>
      <c r="G21" s="459">
        <f>F21+E21</f>
        <v>0.09</v>
      </c>
      <c r="H21" s="456">
        <f t="shared" si="1"/>
        <v>0</v>
      </c>
      <c r="I21" s="335"/>
      <c r="J21" s="459">
        <v>0</v>
      </c>
      <c r="K21" s="83"/>
      <c r="M21" s="86"/>
      <c r="N21" s="496">
        <v>3.3000000000000002E-2</v>
      </c>
      <c r="O21" s="2">
        <v>50</v>
      </c>
    </row>
    <row r="22" spans="1:20" ht="13.5" hidden="1" customHeight="1" x14ac:dyDescent="0.2">
      <c r="A22" s="367"/>
      <c r="B22" s="874" t="s">
        <v>522</v>
      </c>
      <c r="C22" s="874"/>
      <c r="D22" s="874"/>
      <c r="E22" s="459">
        <v>2</v>
      </c>
      <c r="F22" s="459">
        <v>0</v>
      </c>
      <c r="G22" s="459">
        <f>E22+F22</f>
        <v>2</v>
      </c>
      <c r="H22" s="456">
        <f t="shared" si="1"/>
        <v>0</v>
      </c>
      <c r="I22" s="406"/>
      <c r="J22" s="459"/>
      <c r="K22" s="83"/>
      <c r="M22" s="87" t="s">
        <v>708</v>
      </c>
      <c r="N22" s="497">
        <v>2.9000000000000001E-2</v>
      </c>
      <c r="O22" s="2">
        <v>2.4E-2</v>
      </c>
      <c r="P22" s="2">
        <f>N22*O22</f>
        <v>6.96E-4</v>
      </c>
      <c r="T22" s="2">
        <v>19.100000000000001</v>
      </c>
    </row>
    <row r="23" spans="1:20" x14ac:dyDescent="0.2">
      <c r="A23" s="339"/>
      <c r="B23" s="960"/>
      <c r="C23" s="960"/>
      <c r="D23" s="960"/>
      <c r="E23" s="960"/>
      <c r="F23" s="960"/>
      <c r="G23" s="960"/>
      <c r="H23" s="335"/>
      <c r="I23" s="335"/>
      <c r="J23" s="343"/>
      <c r="K23" s="83"/>
      <c r="N23" s="2">
        <v>23.39</v>
      </c>
      <c r="O23" s="2">
        <v>7</v>
      </c>
      <c r="P23" s="2">
        <f>N23*O23</f>
        <v>163.73000000000002</v>
      </c>
      <c r="T23" s="2">
        <v>24.6</v>
      </c>
    </row>
    <row r="24" spans="1:20" ht="15" x14ac:dyDescent="0.2">
      <c r="A24" s="339"/>
      <c r="B24" s="411"/>
      <c r="C24" s="411"/>
      <c r="D24" s="411"/>
      <c r="E24" s="411"/>
      <c r="F24" s="411"/>
      <c r="G24" s="411"/>
      <c r="H24" s="335"/>
      <c r="I24" s="335"/>
      <c r="J24" s="462">
        <f>ROUND(SUM(J16:J22)*1000,0)</f>
        <v>220</v>
      </c>
      <c r="K24" s="700" t="s">
        <v>120</v>
      </c>
      <c r="N24" s="2">
        <v>12.9</v>
      </c>
      <c r="O24" s="2">
        <v>27.9</v>
      </c>
      <c r="P24" s="2">
        <f>N24*O24</f>
        <v>359.90999999999997</v>
      </c>
      <c r="T24" s="2">
        <v>5.6</v>
      </c>
    </row>
    <row r="25" spans="1:20" ht="6.6" customHeight="1" x14ac:dyDescent="0.2">
      <c r="A25" s="339"/>
      <c r="B25" s="411"/>
      <c r="C25" s="411"/>
      <c r="D25" s="411"/>
      <c r="E25" s="411"/>
      <c r="F25" s="411"/>
      <c r="G25" s="411"/>
      <c r="H25" s="335"/>
      <c r="I25" s="335"/>
      <c r="K25" s="83"/>
      <c r="M25" s="955">
        <v>1</v>
      </c>
      <c r="P25" s="2">
        <f>SUM(P22:P24)</f>
        <v>523.64069599999993</v>
      </c>
      <c r="T25" s="2">
        <v>8.6999999999999993</v>
      </c>
    </row>
    <row r="26" spans="1:20" ht="14.25" x14ac:dyDescent="0.2">
      <c r="A26" s="951" t="s">
        <v>805</v>
      </c>
      <c r="B26" s="948"/>
      <c r="C26" s="948"/>
      <c r="D26" s="948"/>
      <c r="E26" s="948"/>
      <c r="F26" s="948"/>
      <c r="G26" s="412" t="s">
        <v>730</v>
      </c>
      <c r="H26" s="477">
        <f>SUM(H16:H23)</f>
        <v>5.34</v>
      </c>
      <c r="I26" s="335"/>
      <c r="K26" s="407"/>
      <c r="M26" s="956"/>
      <c r="T26" s="433">
        <f>SUM(T16:T25)</f>
        <v>111.99999999999999</v>
      </c>
    </row>
    <row r="27" spans="1:20" ht="15" customHeight="1" x14ac:dyDescent="0.2">
      <c r="A27" s="446"/>
      <c r="B27" s="948" t="s">
        <v>762</v>
      </c>
      <c r="C27" s="948"/>
      <c r="D27" s="948"/>
      <c r="E27" s="948"/>
      <c r="F27" s="948"/>
      <c r="G27" s="418" t="s">
        <v>728</v>
      </c>
      <c r="H27" s="565">
        <f>H8+(H13*(H26+G5+G6))</f>
        <v>11.52</v>
      </c>
      <c r="I27" s="335"/>
      <c r="K27" s="83"/>
      <c r="M27" s="956"/>
      <c r="O27" s="433"/>
    </row>
    <row r="28" spans="1:20" ht="15" customHeight="1" x14ac:dyDescent="0.2">
      <c r="A28" s="446"/>
      <c r="B28" s="945" t="s">
        <v>772</v>
      </c>
      <c r="C28" s="945"/>
      <c r="D28" s="945"/>
      <c r="E28" s="945"/>
      <c r="F28" s="945"/>
      <c r="G28" s="418" t="s">
        <v>732</v>
      </c>
      <c r="H28" s="477">
        <f>ROUND(IF(H27&gt;=H11,H13/(0.457*H11+H27),(2*H13/((3.14*H11)+H27)))*(LN(((3.14*H11)/H27)+1)),3)*M25</f>
        <v>0.104</v>
      </c>
      <c r="I28" s="952"/>
      <c r="J28" s="952"/>
      <c r="K28" s="415"/>
      <c r="M28" s="956"/>
    </row>
    <row r="29" spans="1:20" ht="13.9" hidden="1" customHeight="1" x14ac:dyDescent="0.2">
      <c r="A29" s="339"/>
      <c r="B29" s="953"/>
      <c r="C29" s="953"/>
      <c r="D29" s="953"/>
      <c r="E29" s="953"/>
      <c r="F29" s="953"/>
      <c r="G29" s="953"/>
      <c r="H29" s="953"/>
      <c r="I29" s="417"/>
      <c r="J29" s="417"/>
      <c r="K29" s="415"/>
    </row>
    <row r="30" spans="1:20" ht="15" hidden="1" customHeight="1" x14ac:dyDescent="0.2">
      <c r="A30" s="339"/>
      <c r="B30" s="836" t="s">
        <v>533</v>
      </c>
      <c r="C30" s="836"/>
      <c r="D30" s="836"/>
      <c r="E30" s="836"/>
      <c r="F30" s="836"/>
      <c r="G30" s="418" t="s">
        <v>336</v>
      </c>
      <c r="H30" s="477">
        <v>0</v>
      </c>
      <c r="I30" s="417"/>
      <c r="J30" s="417"/>
      <c r="K30" s="415"/>
    </row>
    <row r="31" spans="1:20" ht="15" hidden="1" customHeight="1" x14ac:dyDescent="0.2">
      <c r="A31" s="339"/>
      <c r="B31" s="836" t="s">
        <v>163</v>
      </c>
      <c r="C31" s="836"/>
      <c r="D31" s="836"/>
      <c r="E31" s="836"/>
      <c r="F31" s="836"/>
      <c r="G31" s="418" t="s">
        <v>337</v>
      </c>
      <c r="H31" s="477">
        <v>3.5999999999999997E-2</v>
      </c>
      <c r="I31" s="417"/>
      <c r="J31" s="417"/>
      <c r="K31" s="415"/>
    </row>
    <row r="32" spans="1:20" ht="15" hidden="1" customHeight="1" x14ac:dyDescent="0.2">
      <c r="A32" s="339"/>
      <c r="B32" s="836" t="s">
        <v>164</v>
      </c>
      <c r="C32" s="836"/>
      <c r="D32" s="836"/>
      <c r="E32" s="836"/>
      <c r="F32" s="836"/>
      <c r="G32" s="418" t="s">
        <v>338</v>
      </c>
      <c r="H32" s="477">
        <v>2E-3</v>
      </c>
      <c r="I32" s="417"/>
      <c r="J32" s="417"/>
      <c r="K32" s="415"/>
    </row>
    <row r="33" spans="1:15" ht="15" hidden="1" customHeight="1" x14ac:dyDescent="0.2">
      <c r="A33" s="339"/>
      <c r="B33" s="836" t="s">
        <v>339</v>
      </c>
      <c r="C33" s="836"/>
      <c r="D33" s="836"/>
      <c r="E33" s="836"/>
      <c r="F33" s="836"/>
      <c r="G33" s="418" t="s">
        <v>340</v>
      </c>
      <c r="H33" s="477">
        <f>H30/(H31+H32)</f>
        <v>0</v>
      </c>
      <c r="I33" s="417"/>
      <c r="J33" s="417"/>
      <c r="K33" s="415"/>
    </row>
    <row r="34" spans="1:15" ht="15" hidden="1" customHeight="1" x14ac:dyDescent="0.2">
      <c r="A34" s="339"/>
      <c r="B34" s="836" t="s">
        <v>341</v>
      </c>
      <c r="C34" s="836"/>
      <c r="D34" s="836"/>
      <c r="E34" s="836"/>
      <c r="F34" s="836"/>
      <c r="G34" s="418" t="s">
        <v>169</v>
      </c>
      <c r="H34" s="477">
        <f>H33-(H30/H13)</f>
        <v>0</v>
      </c>
      <c r="I34" s="417"/>
      <c r="J34" s="417"/>
      <c r="K34" s="415"/>
    </row>
    <row r="35" spans="1:15" ht="13.9" hidden="1" customHeight="1" x14ac:dyDescent="0.2">
      <c r="A35" s="339"/>
      <c r="B35" s="836" t="s">
        <v>170</v>
      </c>
      <c r="C35" s="836"/>
      <c r="D35" s="836"/>
      <c r="E35" s="836"/>
      <c r="F35" s="836"/>
      <c r="G35" s="418" t="s">
        <v>171</v>
      </c>
      <c r="H35" s="477">
        <f>H34*H13</f>
        <v>0</v>
      </c>
      <c r="I35" s="417"/>
      <c r="J35" s="417"/>
      <c r="K35" s="415"/>
    </row>
    <row r="36" spans="1:15" ht="13.9" hidden="1" customHeight="1" x14ac:dyDescent="0.2">
      <c r="A36" s="339"/>
      <c r="B36" s="836" t="s">
        <v>173</v>
      </c>
      <c r="C36" s="836"/>
      <c r="D36" s="836"/>
      <c r="E36" s="836"/>
      <c r="F36" s="836"/>
      <c r="G36" s="418" t="s">
        <v>42</v>
      </c>
      <c r="H36" s="565">
        <v>1.2</v>
      </c>
      <c r="I36" s="417"/>
      <c r="J36" s="417"/>
      <c r="K36" s="415"/>
    </row>
    <row r="37" spans="1:15" ht="13.9" hidden="1" customHeight="1" x14ac:dyDescent="0.2">
      <c r="A37" s="339"/>
      <c r="B37" s="836" t="s">
        <v>176</v>
      </c>
      <c r="C37" s="836"/>
      <c r="D37" s="836"/>
      <c r="E37" s="836"/>
      <c r="F37" s="836"/>
      <c r="G37" s="418" t="s">
        <v>748</v>
      </c>
      <c r="H37" s="477">
        <f>-H13/3.14*((LN((H36/H27)+1)-LN(((H36/(H27+H35))+1))))</f>
        <v>0</v>
      </c>
      <c r="I37" s="417"/>
      <c r="J37" s="417"/>
      <c r="K37" s="415"/>
    </row>
    <row r="38" spans="1:15" ht="13.9" customHeight="1" x14ac:dyDescent="0.2">
      <c r="A38" s="339"/>
      <c r="B38" s="416"/>
      <c r="C38" s="416"/>
      <c r="D38" s="416"/>
      <c r="E38" s="416"/>
      <c r="F38" s="416"/>
      <c r="G38" s="418"/>
      <c r="H38" s="380"/>
      <c r="I38" s="417"/>
      <c r="J38" s="417"/>
      <c r="K38" s="415"/>
      <c r="M38" s="99"/>
    </row>
    <row r="39" spans="1:15" ht="14.25" x14ac:dyDescent="0.2">
      <c r="A39" s="339"/>
      <c r="B39" s="945" t="s">
        <v>773</v>
      </c>
      <c r="C39" s="945"/>
      <c r="D39" s="945"/>
      <c r="E39" s="945"/>
      <c r="F39" s="945"/>
      <c r="G39" s="418" t="s">
        <v>336</v>
      </c>
      <c r="H39" s="477">
        <v>0.15</v>
      </c>
      <c r="I39" s="417"/>
      <c r="J39" s="417"/>
      <c r="K39" s="415"/>
    </row>
    <row r="40" spans="1:15" ht="14.25" x14ac:dyDescent="0.2">
      <c r="A40" s="339"/>
      <c r="B40" s="945" t="s">
        <v>774</v>
      </c>
      <c r="C40" s="945"/>
      <c r="D40" s="945"/>
      <c r="E40" s="945"/>
      <c r="F40" s="945"/>
      <c r="G40" s="418" t="s">
        <v>425</v>
      </c>
      <c r="H40" s="477">
        <v>3.5999999999999997E-2</v>
      </c>
      <c r="I40" s="417"/>
      <c r="J40" s="417"/>
      <c r="K40" s="415"/>
    </row>
    <row r="41" spans="1:15" ht="14.25" x14ac:dyDescent="0.2">
      <c r="A41" s="339"/>
      <c r="B41" s="945" t="s">
        <v>806</v>
      </c>
      <c r="C41" s="945"/>
      <c r="D41" s="945"/>
      <c r="E41" s="945"/>
      <c r="F41" s="945"/>
      <c r="G41" s="418" t="s">
        <v>340</v>
      </c>
      <c r="H41" s="477">
        <f>H39/(H40)</f>
        <v>4.166666666666667</v>
      </c>
      <c r="I41" s="417"/>
      <c r="J41" s="417"/>
      <c r="K41" s="415"/>
    </row>
    <row r="42" spans="1:15" ht="14.25" x14ac:dyDescent="0.2">
      <c r="A42" s="339"/>
      <c r="B42" s="945" t="s">
        <v>807</v>
      </c>
      <c r="C42" s="945"/>
      <c r="D42" s="945"/>
      <c r="E42" s="945"/>
      <c r="F42" s="945"/>
      <c r="G42" s="418" t="s">
        <v>169</v>
      </c>
      <c r="H42" s="477">
        <f>H41-(H39/H13)</f>
        <v>4.0916666666666668</v>
      </c>
      <c r="I42" s="417"/>
      <c r="J42" s="417"/>
      <c r="K42" s="415"/>
    </row>
    <row r="43" spans="1:15" ht="14.45" customHeight="1" x14ac:dyDescent="0.2">
      <c r="A43" s="339"/>
      <c r="B43" s="945" t="s">
        <v>775</v>
      </c>
      <c r="C43" s="945"/>
      <c r="D43" s="945"/>
      <c r="E43" s="945"/>
      <c r="F43" s="945"/>
      <c r="G43" s="418" t="s">
        <v>171</v>
      </c>
      <c r="H43" s="477">
        <f>H42*H13</f>
        <v>8.1833333333333336</v>
      </c>
      <c r="I43" s="417"/>
      <c r="J43" s="417"/>
      <c r="K43" s="415"/>
      <c r="M43" s="957">
        <v>1</v>
      </c>
    </row>
    <row r="44" spans="1:15" ht="14.45" customHeight="1" x14ac:dyDescent="0.2">
      <c r="A44" s="339"/>
      <c r="B44" s="945" t="s">
        <v>776</v>
      </c>
      <c r="C44" s="945"/>
      <c r="D44" s="945"/>
      <c r="E44" s="945"/>
      <c r="F44" s="945"/>
      <c r="G44" s="418" t="s">
        <v>42</v>
      </c>
      <c r="H44" s="565">
        <v>1.1499999999999999</v>
      </c>
      <c r="I44" s="417"/>
      <c r="J44" s="417"/>
      <c r="K44" s="415"/>
      <c r="M44" s="958"/>
    </row>
    <row r="45" spans="1:15" ht="13.9" customHeight="1" x14ac:dyDescent="0.2">
      <c r="A45" s="339"/>
      <c r="B45" s="945" t="s">
        <v>777</v>
      </c>
      <c r="C45" s="945"/>
      <c r="D45" s="945"/>
      <c r="E45" s="945"/>
      <c r="F45" s="945"/>
      <c r="G45" s="418" t="s">
        <v>747</v>
      </c>
      <c r="H45" s="477">
        <f>-H13/3.14*((LN((2*H44/H27)+1)-LN(((2*H44/(H27+H43))+1))))*M43</f>
        <v>-4.5621676565208436E-2</v>
      </c>
      <c r="I45" s="417"/>
      <c r="J45" s="417"/>
      <c r="K45" s="415"/>
      <c r="M45" s="958"/>
    </row>
    <row r="46" spans="1:15" ht="7.15" customHeight="1" x14ac:dyDescent="0.2">
      <c r="A46" s="339"/>
      <c r="B46" s="416"/>
      <c r="C46" s="416"/>
      <c r="D46" s="416"/>
      <c r="E46" s="416"/>
      <c r="F46" s="416"/>
      <c r="G46" s="418"/>
      <c r="H46" s="380"/>
      <c r="I46" s="417"/>
      <c r="J46" s="417"/>
      <c r="K46" s="415"/>
      <c r="M46" s="958"/>
    </row>
    <row r="47" spans="1:15" ht="21" x14ac:dyDescent="0.2">
      <c r="A47" s="339"/>
      <c r="B47" s="416"/>
      <c r="C47" s="416"/>
      <c r="D47" s="416"/>
      <c r="E47" s="416"/>
      <c r="F47" s="416"/>
      <c r="G47" s="699" t="s">
        <v>785</v>
      </c>
      <c r="H47" s="686">
        <f>ROUND(IF(H45&lt;H37,(H28+H45*2/H11),H28+H37*2/H11),2)</f>
        <v>0.08</v>
      </c>
      <c r="I47" s="943" t="s">
        <v>556</v>
      </c>
      <c r="J47" s="944"/>
      <c r="K47" s="415"/>
      <c r="M47" s="959"/>
      <c r="O47" s="2">
        <f>1.5+1.5+2.5+1.5+1.5</f>
        <v>8.5</v>
      </c>
    </row>
    <row r="48" spans="1:15" x14ac:dyDescent="0.2">
      <c r="A48" s="352"/>
      <c r="B48" s="424"/>
      <c r="C48" s="424"/>
      <c r="D48" s="424"/>
      <c r="E48" s="424"/>
      <c r="F48" s="424"/>
      <c r="G48" s="425"/>
      <c r="H48" s="426"/>
      <c r="I48" s="427"/>
      <c r="J48" s="427"/>
      <c r="K48" s="428"/>
    </row>
    <row r="52" spans="13:14" x14ac:dyDescent="0.2">
      <c r="M52" s="2">
        <v>9.35</v>
      </c>
      <c r="N52" s="2">
        <f>18.5+12</f>
        <v>30.5</v>
      </c>
    </row>
    <row r="53" spans="13:14" x14ac:dyDescent="0.2">
      <c r="M53" s="2">
        <f>3.17+1.05+1.76+2.1+1.26</f>
        <v>9.34</v>
      </c>
    </row>
  </sheetData>
  <mergeCells count="43">
    <mergeCell ref="H1:K1"/>
    <mergeCell ref="M25:M28"/>
    <mergeCell ref="M43:M47"/>
    <mergeCell ref="B42:F42"/>
    <mergeCell ref="B43:F43"/>
    <mergeCell ref="B44:F44"/>
    <mergeCell ref="B27:F27"/>
    <mergeCell ref="B22:D22"/>
    <mergeCell ref="B23:G23"/>
    <mergeCell ref="G14:H14"/>
    <mergeCell ref="B15:D15"/>
    <mergeCell ref="B21:D21"/>
    <mergeCell ref="B18:D18"/>
    <mergeCell ref="B16:D16"/>
    <mergeCell ref="B17:D17"/>
    <mergeCell ref="B20:D20"/>
    <mergeCell ref="B30:F30"/>
    <mergeCell ref="B31:F31"/>
    <mergeCell ref="A26:F26"/>
    <mergeCell ref="I28:J28"/>
    <mergeCell ref="B28:F28"/>
    <mergeCell ref="B29:H29"/>
    <mergeCell ref="G5:I5"/>
    <mergeCell ref="G6:I6"/>
    <mergeCell ref="D8:F8"/>
    <mergeCell ref="D11:F11"/>
    <mergeCell ref="A5:E6"/>
    <mergeCell ref="E3:J3"/>
    <mergeCell ref="I47:J47"/>
    <mergeCell ref="B41:F41"/>
    <mergeCell ref="B32:F32"/>
    <mergeCell ref="B33:F33"/>
    <mergeCell ref="B34:F34"/>
    <mergeCell ref="B35:F35"/>
    <mergeCell ref="B36:F36"/>
    <mergeCell ref="B39:F39"/>
    <mergeCell ref="B40:F40"/>
    <mergeCell ref="B37:F37"/>
    <mergeCell ref="B45:F45"/>
    <mergeCell ref="B19:D19"/>
    <mergeCell ref="D9:F9"/>
    <mergeCell ref="D10:F10"/>
    <mergeCell ref="B13:F13"/>
  </mergeCells>
  <dataValidations count="1">
    <dataValidation type="list" allowBlank="1" showInputMessage="1" showErrorMessage="1" sqref="B18:D19 B21:D21" xr:uid="{00000000-0002-0000-0400-000000000000}">
      <formula1>$M$5:$M$22</formula1>
    </dataValidation>
  </dataValidations>
  <printOptions horizontalCentered="1"/>
  <pageMargins left="0.9055118110236221" right="0.51181102362204722" top="0.74803149606299213" bottom="0.74803149606299213" header="0.31496062992125984" footer="0.31496062992125984"/>
  <pageSetup paperSize="9" orientation="portrait" horizontalDpi="200" verticalDpi="200" r:id="rId1"/>
  <headerFooter>
    <oddFooter>&amp;C&amp;A&amp;R&amp;F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8"/>
  <sheetViews>
    <sheetView showGridLines="0" view="pageBreakPreview" zoomScaleNormal="100" zoomScaleSheetLayoutView="100" workbookViewId="0">
      <selection activeCell="I20" sqref="I19:J20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6384" width="9.140625" style="2"/>
  </cols>
  <sheetData>
    <row r="1" spans="1:21" ht="20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1.75" customHeight="1" x14ac:dyDescent="0.2">
      <c r="A3" s="354"/>
      <c r="B3" s="571"/>
      <c r="C3" s="941" t="s">
        <v>523</v>
      </c>
      <c r="D3" s="941"/>
      <c r="E3" s="941"/>
      <c r="F3" s="941"/>
      <c r="G3" s="569"/>
      <c r="H3" s="569"/>
      <c r="I3" s="569"/>
      <c r="J3" s="569"/>
      <c r="K3" s="569"/>
      <c r="L3" s="569"/>
      <c r="M3" s="569"/>
      <c r="N3" s="569"/>
      <c r="O3" s="570"/>
      <c r="P3" s="83"/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</row>
    <row r="5" spans="1:21" ht="15" x14ac:dyDescent="0.25">
      <c r="A5" s="354"/>
      <c r="B5" s="355"/>
      <c r="C5" s="341"/>
      <c r="D5" s="942" t="s">
        <v>307</v>
      </c>
      <c r="E5" s="942"/>
      <c r="F5" s="942"/>
      <c r="G5" s="942"/>
      <c r="H5" s="942"/>
      <c r="I5" s="942"/>
      <c r="J5" s="357" t="s">
        <v>308</v>
      </c>
      <c r="K5" s="930">
        <v>0.13</v>
      </c>
      <c r="L5" s="873"/>
      <c r="M5" s="396"/>
      <c r="P5" s="83"/>
    </row>
    <row r="6" spans="1:21" ht="15" x14ac:dyDescent="0.25">
      <c r="A6" s="354"/>
      <c r="B6" s="355"/>
      <c r="C6" s="341"/>
      <c r="D6" s="341"/>
      <c r="E6" s="341"/>
      <c r="F6" s="341"/>
      <c r="G6" s="341"/>
      <c r="H6" s="341"/>
      <c r="I6" s="341"/>
      <c r="J6" s="357" t="s">
        <v>309</v>
      </c>
      <c r="K6" s="843">
        <v>0.13</v>
      </c>
      <c r="L6" s="928"/>
      <c r="P6" s="83"/>
    </row>
    <row r="7" spans="1:21" ht="10.5" hidden="1" customHeight="1" x14ac:dyDescent="0.2">
      <c r="A7" s="354"/>
      <c r="B7" s="355"/>
      <c r="C7" s="341"/>
      <c r="D7" s="341"/>
      <c r="E7" s="341"/>
      <c r="F7" s="341"/>
      <c r="G7" s="341"/>
      <c r="H7" s="341"/>
      <c r="I7" s="341"/>
      <c r="J7" s="357" t="s">
        <v>310</v>
      </c>
      <c r="K7" s="939">
        <v>0</v>
      </c>
      <c r="L7" s="940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</row>
    <row r="9" spans="1:21" ht="9.75" customHeight="1" x14ac:dyDescent="0.25">
      <c r="A9" s="354"/>
      <c r="B9" s="355"/>
      <c r="C9" s="341"/>
      <c r="D9" s="341"/>
      <c r="E9" s="341"/>
      <c r="F9" s="341"/>
      <c r="G9" s="892" t="s">
        <v>112</v>
      </c>
      <c r="H9" s="892"/>
      <c r="I9" s="892" t="s">
        <v>113</v>
      </c>
      <c r="J9" s="892"/>
      <c r="K9" s="341"/>
      <c r="L9" s="359"/>
      <c r="P9" s="83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882"/>
      <c r="G10" s="880">
        <v>0.6</v>
      </c>
      <c r="H10" s="880"/>
      <c r="I10" s="880">
        <v>0.6</v>
      </c>
      <c r="J10" s="880"/>
      <c r="K10" s="341"/>
      <c r="L10" s="359"/>
      <c r="P10" s="83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891"/>
      <c r="G11" s="880">
        <f>G10-G12</f>
        <v>0.54999999999999993</v>
      </c>
      <c r="H11" s="880"/>
      <c r="I11" s="880">
        <f>I10-I12</f>
        <v>0.54999999999999993</v>
      </c>
      <c r="J11" s="880"/>
      <c r="K11" s="341"/>
      <c r="L11" s="359"/>
      <c r="P11" s="83"/>
    </row>
    <row r="12" spans="1:21" ht="15" x14ac:dyDescent="0.25">
      <c r="A12" s="354"/>
      <c r="B12" s="355"/>
      <c r="C12" s="891"/>
      <c r="D12" s="891"/>
      <c r="E12" s="891"/>
      <c r="F12" s="891"/>
      <c r="G12" s="880">
        <v>0.05</v>
      </c>
      <c r="H12" s="880"/>
      <c r="I12" s="880">
        <v>0.05</v>
      </c>
      <c r="J12" s="880"/>
      <c r="K12" s="341"/>
      <c r="L12" s="359"/>
      <c r="P12" s="83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</row>
    <row r="14" spans="1:21" ht="14.25" customHeight="1" x14ac:dyDescent="0.2">
      <c r="A14" s="890"/>
      <c r="B14" s="891"/>
      <c r="C14" s="883"/>
      <c r="D14" s="883"/>
      <c r="E14" s="361"/>
      <c r="F14" s="361"/>
      <c r="G14" s="467" t="s">
        <v>0</v>
      </c>
      <c r="H14" s="467" t="s">
        <v>1</v>
      </c>
      <c r="I14" s="467" t="s">
        <v>2</v>
      </c>
      <c r="J14" s="467" t="s">
        <v>3</v>
      </c>
      <c r="K14" s="466"/>
      <c r="L14" s="364"/>
      <c r="M14" s="364"/>
      <c r="P14" s="83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888"/>
      <c r="G15" s="468">
        <f>(G11*I11)/(G10*I10)</f>
        <v>0.84027777777777768</v>
      </c>
      <c r="H15" s="468">
        <f>(G11*I12)/(G10*I10)</f>
        <v>7.6388888888888881E-2</v>
      </c>
      <c r="I15" s="468">
        <f>(G12*I11)/(G10*I10)</f>
        <v>7.6388888888888881E-2</v>
      </c>
      <c r="J15" s="468">
        <f>(G12*I12)/(G10*I10)</f>
        <v>6.9444444444444458E-3</v>
      </c>
      <c r="K15" s="457"/>
      <c r="L15" s="364"/>
      <c r="M15" s="364"/>
      <c r="P15" s="83"/>
    </row>
    <row r="16" spans="1:21" ht="14.25" customHeight="1" x14ac:dyDescent="0.2">
      <c r="A16" s="367"/>
      <c r="B16" s="368"/>
      <c r="C16" s="368"/>
      <c r="D16" s="368"/>
      <c r="E16" s="368"/>
      <c r="F16" s="368"/>
      <c r="G16" s="938" t="s">
        <v>313</v>
      </c>
      <c r="H16" s="938"/>
      <c r="I16" s="938"/>
      <c r="J16" s="938"/>
      <c r="K16" s="938" t="s">
        <v>314</v>
      </c>
      <c r="L16" s="938"/>
      <c r="M16" s="938"/>
      <c r="P16" s="83"/>
      <c r="U16" s="2">
        <v>0</v>
      </c>
    </row>
    <row r="17" spans="1:17" ht="27" customHeight="1" x14ac:dyDescent="0.2">
      <c r="A17" s="369"/>
      <c r="B17" s="907" t="s">
        <v>6</v>
      </c>
      <c r="C17" s="907"/>
      <c r="D17" s="470" t="s">
        <v>315</v>
      </c>
      <c r="E17" s="470" t="s">
        <v>303</v>
      </c>
      <c r="F17" s="470" t="s">
        <v>316</v>
      </c>
      <c r="G17" s="470" t="s">
        <v>317</v>
      </c>
      <c r="H17" s="470" t="s">
        <v>318</v>
      </c>
      <c r="I17" s="470" t="s">
        <v>319</v>
      </c>
      <c r="J17" s="470" t="s">
        <v>320</v>
      </c>
      <c r="K17" s="568" t="s">
        <v>4</v>
      </c>
      <c r="L17" s="470" t="s">
        <v>119</v>
      </c>
      <c r="M17" s="470" t="s">
        <v>321</v>
      </c>
      <c r="O17" s="458" t="s">
        <v>322</v>
      </c>
      <c r="P17" s="83"/>
    </row>
    <row r="18" spans="1:17" x14ac:dyDescent="0.2">
      <c r="A18" s="887"/>
      <c r="B18" s="874" t="s">
        <v>402</v>
      </c>
      <c r="C18" s="874"/>
      <c r="D18" s="474">
        <v>0.26</v>
      </c>
      <c r="E18" s="474">
        <v>0</v>
      </c>
      <c r="F18" s="474">
        <f t="shared" ref="F18:F31" si="0">D18+E18</f>
        <v>0.26</v>
      </c>
      <c r="G18" s="459">
        <f>$O$18/$F$18</f>
        <v>3.8461538461538464E-2</v>
      </c>
      <c r="H18" s="459">
        <f>$O$18/$F$18</f>
        <v>3.8461538461538464E-2</v>
      </c>
      <c r="I18" s="459">
        <f>$O$18/$F$18</f>
        <v>3.8461538461538464E-2</v>
      </c>
      <c r="J18" s="459">
        <f>$O$18/$F$18</f>
        <v>3.8461538461538464E-2</v>
      </c>
      <c r="K18" s="456"/>
      <c r="L18" s="459">
        <f>F18</f>
        <v>0.26</v>
      </c>
      <c r="M18" s="459">
        <f>O18/L18</f>
        <v>3.8461538461538464E-2</v>
      </c>
      <c r="O18" s="474">
        <v>0.01</v>
      </c>
      <c r="P18" s="83"/>
    </row>
    <row r="19" spans="1:17" x14ac:dyDescent="0.2">
      <c r="A19" s="887"/>
      <c r="B19" s="874" t="s">
        <v>417</v>
      </c>
      <c r="C19" s="874"/>
      <c r="D19" s="474">
        <v>0.19</v>
      </c>
      <c r="E19" s="474">
        <v>0.02</v>
      </c>
      <c r="F19" s="474">
        <f t="shared" si="0"/>
        <v>0.21</v>
      </c>
      <c r="G19" s="459">
        <f>$O$19/$F$19</f>
        <v>0.95238095238095244</v>
      </c>
      <c r="H19" s="459">
        <f>$O$19/$F$19</f>
        <v>0.95238095238095244</v>
      </c>
      <c r="I19" s="459">
        <f>$O$19/$F$19</f>
        <v>0.95238095238095244</v>
      </c>
      <c r="J19" s="459">
        <f>$O$19/$F$19</f>
        <v>0.95238095238095244</v>
      </c>
      <c r="K19" s="456"/>
      <c r="L19" s="459">
        <f>F19</f>
        <v>0.21</v>
      </c>
      <c r="M19" s="459">
        <f>O19/L19</f>
        <v>0.95238095238095244</v>
      </c>
      <c r="O19" s="474">
        <v>0.2</v>
      </c>
      <c r="P19" s="83"/>
    </row>
    <row r="20" spans="1:17" hidden="1" x14ac:dyDescent="0.2">
      <c r="A20" s="887"/>
      <c r="B20" s="874" t="s">
        <v>123</v>
      </c>
      <c r="C20" s="874"/>
      <c r="D20" s="474">
        <v>0.13</v>
      </c>
      <c r="E20" s="474">
        <v>0</v>
      </c>
      <c r="F20" s="474">
        <f t="shared" si="0"/>
        <v>0.13</v>
      </c>
      <c r="G20" s="459"/>
      <c r="H20" s="459"/>
      <c r="I20" s="459">
        <f>O20/F20</f>
        <v>0</v>
      </c>
      <c r="J20" s="459">
        <f>O20/F20</f>
        <v>0</v>
      </c>
      <c r="K20" s="459">
        <f>(I12*I10*2)/(I10*I10*2)</f>
        <v>8.3333333333333329E-2</v>
      </c>
      <c r="L20" s="879">
        <f>ROUND((K20*F20)+(K21*F21),3)</f>
        <v>4.5999999999999999E-2</v>
      </c>
      <c r="M20" s="937">
        <f>ROUND(O20/L20,3)</f>
        <v>0</v>
      </c>
      <c r="O20" s="880">
        <v>0</v>
      </c>
      <c r="P20" s="83"/>
    </row>
    <row r="21" spans="1:17" hidden="1" x14ac:dyDescent="0.2">
      <c r="A21" s="887"/>
      <c r="B21" s="874" t="s">
        <v>386</v>
      </c>
      <c r="C21" s="874"/>
      <c r="D21" s="474">
        <v>3.5999999999999997E-2</v>
      </c>
      <c r="E21" s="474">
        <v>2E-3</v>
      </c>
      <c r="F21" s="474">
        <f t="shared" si="0"/>
        <v>3.7999999999999999E-2</v>
      </c>
      <c r="G21" s="459">
        <f>O20/F21</f>
        <v>0</v>
      </c>
      <c r="H21" s="459">
        <f>O20/F21</f>
        <v>0</v>
      </c>
      <c r="I21" s="459"/>
      <c r="J21" s="459"/>
      <c r="K21" s="459">
        <f>(I11*I10*2)/(I10*I10*2)</f>
        <v>0.91666666666666663</v>
      </c>
      <c r="L21" s="879"/>
      <c r="M21" s="936"/>
      <c r="O21" s="880"/>
      <c r="P21" s="83"/>
    </row>
    <row r="22" spans="1:17" x14ac:dyDescent="0.2">
      <c r="A22" s="887"/>
      <c r="B22" s="874" t="s">
        <v>7</v>
      </c>
      <c r="C22" s="874"/>
      <c r="D22" s="474">
        <v>0.13</v>
      </c>
      <c r="E22" s="474">
        <v>0</v>
      </c>
      <c r="F22" s="474">
        <f t="shared" si="0"/>
        <v>0.13</v>
      </c>
      <c r="G22" s="459"/>
      <c r="H22" s="459"/>
      <c r="I22" s="459">
        <f>O22/F22</f>
        <v>0.76923076923076927</v>
      </c>
      <c r="J22" s="459">
        <f>O22/F22</f>
        <v>0.76923076923076927</v>
      </c>
      <c r="K22" s="459">
        <f>(I12*G10*2)/(I10*G10*2)</f>
        <v>8.3333333333333329E-2</v>
      </c>
      <c r="L22" s="879">
        <f t="shared" ref="L22" si="1">ROUND((K22*F22)+(K23*F23),3)</f>
        <v>4.8000000000000001E-2</v>
      </c>
      <c r="M22" s="937">
        <f>ROUND(O22/L22,3)</f>
        <v>2.0830000000000002</v>
      </c>
      <c r="O22" s="880">
        <v>0.1</v>
      </c>
      <c r="P22" s="83"/>
    </row>
    <row r="23" spans="1:17" x14ac:dyDescent="0.2">
      <c r="A23" s="887"/>
      <c r="B23" s="893" t="s">
        <v>538</v>
      </c>
      <c r="C23" s="894"/>
      <c r="D23" s="474">
        <v>3.9E-2</v>
      </c>
      <c r="E23" s="474">
        <v>1E-3</v>
      </c>
      <c r="F23" s="474">
        <f t="shared" si="0"/>
        <v>0.04</v>
      </c>
      <c r="G23" s="459">
        <f>O22/F23</f>
        <v>2.5</v>
      </c>
      <c r="H23" s="459">
        <f>O22/F23</f>
        <v>2.5</v>
      </c>
      <c r="I23" s="459"/>
      <c r="J23" s="459"/>
      <c r="K23" s="459">
        <f>(I11*G10*2)/(I10*G10*2)</f>
        <v>0.91666666666666663</v>
      </c>
      <c r="L23" s="879"/>
      <c r="M23" s="936"/>
      <c r="O23" s="880"/>
      <c r="P23" s="83"/>
    </row>
    <row r="24" spans="1:17" x14ac:dyDescent="0.2">
      <c r="A24" s="887"/>
      <c r="B24" s="874" t="s">
        <v>7</v>
      </c>
      <c r="C24" s="874"/>
      <c r="D24" s="474">
        <v>0.13</v>
      </c>
      <c r="E24" s="474">
        <v>0</v>
      </c>
      <c r="F24" s="474">
        <f t="shared" si="0"/>
        <v>0.13</v>
      </c>
      <c r="G24" s="459"/>
      <c r="H24" s="459">
        <f>O24/F24</f>
        <v>0.38461538461538464</v>
      </c>
      <c r="I24" s="459"/>
      <c r="J24" s="459">
        <f>$O$24/$F$24</f>
        <v>0.38461538461538464</v>
      </c>
      <c r="K24" s="459">
        <f>(G12*G10*2)/(G10*G10*2)</f>
        <v>8.3333333333333329E-2</v>
      </c>
      <c r="L24" s="879">
        <f t="shared" ref="L24" si="2">ROUND((K24*F24)+(K25*F25),3)</f>
        <v>4.8000000000000001E-2</v>
      </c>
      <c r="M24" s="937">
        <f>ROUND(O24/L24,3)</f>
        <v>1.042</v>
      </c>
      <c r="O24" s="880">
        <v>0.05</v>
      </c>
      <c r="P24" s="83"/>
    </row>
    <row r="25" spans="1:17" x14ac:dyDescent="0.2">
      <c r="A25" s="887"/>
      <c r="B25" s="893" t="s">
        <v>538</v>
      </c>
      <c r="C25" s="894"/>
      <c r="D25" s="474">
        <v>3.9E-2</v>
      </c>
      <c r="E25" s="474">
        <v>1E-3</v>
      </c>
      <c r="F25" s="474">
        <f t="shared" si="0"/>
        <v>0.04</v>
      </c>
      <c r="G25" s="459">
        <f>O24/F25</f>
        <v>1.25</v>
      </c>
      <c r="H25" s="459"/>
      <c r="I25" s="459">
        <f>O24/F25</f>
        <v>1.25</v>
      </c>
      <c r="J25" s="459"/>
      <c r="K25" s="459">
        <f>(G11*G10*2)/(G10*G10*2)</f>
        <v>0.91666666666666663</v>
      </c>
      <c r="L25" s="879"/>
      <c r="M25" s="936"/>
      <c r="O25" s="880"/>
      <c r="P25" s="83"/>
    </row>
    <row r="26" spans="1:17" x14ac:dyDescent="0.2">
      <c r="A26" s="887"/>
      <c r="B26" s="874" t="s">
        <v>611</v>
      </c>
      <c r="C26" s="874"/>
      <c r="D26" s="474">
        <v>5.2999999999999999E-2</v>
      </c>
      <c r="E26" s="474">
        <v>1.4999999999999999E-2</v>
      </c>
      <c r="F26" s="474">
        <f t="shared" si="0"/>
        <v>6.8000000000000005E-2</v>
      </c>
      <c r="G26" s="459">
        <f>O26/F26</f>
        <v>0.36764705882352938</v>
      </c>
      <c r="H26" s="459">
        <f>O26/F26</f>
        <v>0.36764705882352938</v>
      </c>
      <c r="I26" s="459">
        <f>O26/F26</f>
        <v>0.36764705882352938</v>
      </c>
      <c r="J26" s="459">
        <f>O26/F26</f>
        <v>0.36764705882352938</v>
      </c>
      <c r="K26" s="459"/>
      <c r="L26" s="459">
        <f t="shared" ref="L26:L31" si="3">F26</f>
        <v>6.8000000000000005E-2</v>
      </c>
      <c r="M26" s="459">
        <f t="shared" ref="M26:M31" si="4">O26/L26</f>
        <v>0.36764705882352938</v>
      </c>
      <c r="O26" s="474">
        <v>2.5000000000000001E-2</v>
      </c>
      <c r="P26" s="83"/>
    </row>
    <row r="27" spans="1:17" hidden="1" x14ac:dyDescent="0.2">
      <c r="A27" s="887"/>
      <c r="B27" s="874" t="s">
        <v>499</v>
      </c>
      <c r="C27" s="874"/>
      <c r="D27" s="474">
        <v>0.15</v>
      </c>
      <c r="E27" s="474">
        <v>0</v>
      </c>
      <c r="F27" s="474">
        <f t="shared" si="0"/>
        <v>0.15</v>
      </c>
      <c r="G27" s="459">
        <f>$O$27/$F$27</f>
        <v>0</v>
      </c>
      <c r="H27" s="459">
        <f>$O$27/$F$27</f>
        <v>0</v>
      </c>
      <c r="I27" s="459">
        <f>$O$27/$F$27</f>
        <v>0</v>
      </c>
      <c r="J27" s="459">
        <f>$O$27/$F$27</f>
        <v>0</v>
      </c>
      <c r="K27" s="456"/>
      <c r="L27" s="459">
        <f t="shared" si="3"/>
        <v>0.15</v>
      </c>
      <c r="M27" s="459">
        <f t="shared" si="4"/>
        <v>0</v>
      </c>
      <c r="O27" s="474">
        <v>0</v>
      </c>
      <c r="P27" s="83"/>
    </row>
    <row r="28" spans="1:17" hidden="1" x14ac:dyDescent="0.2">
      <c r="A28" s="887"/>
      <c r="B28" s="874" t="s">
        <v>710</v>
      </c>
      <c r="C28" s="874"/>
      <c r="D28" s="474">
        <v>4.8000000000000001E-2</v>
      </c>
      <c r="E28" s="474">
        <v>0</v>
      </c>
      <c r="F28" s="474">
        <f t="shared" si="0"/>
        <v>4.8000000000000001E-2</v>
      </c>
      <c r="G28" s="459">
        <f>$O$28/$F$28</f>
        <v>0</v>
      </c>
      <c r="H28" s="459">
        <f>$O$28/$F$28</f>
        <v>0</v>
      </c>
      <c r="I28" s="459">
        <f>$O$28/$F$28</f>
        <v>0</v>
      </c>
      <c r="J28" s="459">
        <f>$O$28/$F$28</f>
        <v>0</v>
      </c>
      <c r="K28" s="456"/>
      <c r="L28" s="459">
        <f t="shared" si="3"/>
        <v>4.8000000000000001E-2</v>
      </c>
      <c r="M28" s="459">
        <f t="shared" si="4"/>
        <v>0</v>
      </c>
      <c r="O28" s="474">
        <v>0</v>
      </c>
      <c r="P28" s="83"/>
      <c r="Q28" s="443"/>
    </row>
    <row r="29" spans="1:17" hidden="1" x14ac:dyDescent="0.2">
      <c r="A29" s="887"/>
      <c r="B29" s="874" t="s">
        <v>619</v>
      </c>
      <c r="C29" s="874"/>
      <c r="D29" s="474">
        <v>0.26</v>
      </c>
      <c r="E29" s="474">
        <v>0</v>
      </c>
      <c r="F29" s="474">
        <f t="shared" si="0"/>
        <v>0.26</v>
      </c>
      <c r="G29" s="459">
        <f>$O$29/$F$29</f>
        <v>0</v>
      </c>
      <c r="H29" s="459">
        <f>$O$29/$F$29</f>
        <v>0</v>
      </c>
      <c r="I29" s="459">
        <f>$O$29/$F$29</f>
        <v>0</v>
      </c>
      <c r="J29" s="459">
        <f>$O$29/$F$29</f>
        <v>0</v>
      </c>
      <c r="K29" s="456"/>
      <c r="L29" s="459">
        <f t="shared" si="3"/>
        <v>0.26</v>
      </c>
      <c r="M29" s="459">
        <f t="shared" si="4"/>
        <v>0</v>
      </c>
      <c r="O29" s="474">
        <v>0</v>
      </c>
      <c r="P29" s="83"/>
    </row>
    <row r="30" spans="1:17" hidden="1" x14ac:dyDescent="0.2">
      <c r="A30" s="887"/>
      <c r="B30" s="874" t="s">
        <v>402</v>
      </c>
      <c r="C30" s="874"/>
      <c r="D30" s="474">
        <v>0.26</v>
      </c>
      <c r="E30" s="474">
        <v>0</v>
      </c>
      <c r="F30" s="474">
        <f t="shared" si="0"/>
        <v>0.26</v>
      </c>
      <c r="G30" s="459">
        <f>$O$30/$F$30</f>
        <v>0</v>
      </c>
      <c r="H30" s="459">
        <f>$O$30/$F$30</f>
        <v>0</v>
      </c>
      <c r="I30" s="459">
        <f>$O$30/$F$30</f>
        <v>0</v>
      </c>
      <c r="J30" s="459">
        <f>$O$30/$F$30</f>
        <v>0</v>
      </c>
      <c r="K30" s="456"/>
      <c r="L30" s="459">
        <f t="shared" si="3"/>
        <v>0.26</v>
      </c>
      <c r="M30" s="459">
        <f t="shared" si="4"/>
        <v>0</v>
      </c>
      <c r="O30" s="474">
        <v>0</v>
      </c>
      <c r="P30" s="83"/>
    </row>
    <row r="31" spans="1:17" hidden="1" x14ac:dyDescent="0.2">
      <c r="A31" s="887"/>
      <c r="B31" s="874"/>
      <c r="C31" s="874"/>
      <c r="D31" s="601">
        <v>1</v>
      </c>
      <c r="E31" s="474">
        <v>0</v>
      </c>
      <c r="F31" s="474">
        <f t="shared" si="0"/>
        <v>1</v>
      </c>
      <c r="G31" s="459">
        <f>$O$31/$F$31</f>
        <v>0</v>
      </c>
      <c r="H31" s="459">
        <f>$O$31/$F$31</f>
        <v>0</v>
      </c>
      <c r="I31" s="459">
        <f>$O$31/$F$31</f>
        <v>0</v>
      </c>
      <c r="J31" s="459">
        <f>$O$31/$F$31</f>
        <v>0</v>
      </c>
      <c r="K31" s="456"/>
      <c r="L31" s="459">
        <f t="shared" si="3"/>
        <v>1</v>
      </c>
      <c r="M31" s="459">
        <f t="shared" si="4"/>
        <v>0</v>
      </c>
      <c r="O31" s="601">
        <v>0</v>
      </c>
      <c r="P31" s="83"/>
    </row>
    <row r="32" spans="1:17" x14ac:dyDescent="0.2">
      <c r="A32" s="86"/>
      <c r="F32" s="349"/>
      <c r="G32" s="459">
        <f>SUM(G18:G31)+$K$5+$K$6+$K$7</f>
        <v>5.3684895496660197</v>
      </c>
      <c r="H32" s="459">
        <f>SUM(H18:H31)+$K$5+$K$6+$K$7</f>
        <v>4.5031049342814047</v>
      </c>
      <c r="I32" s="459">
        <f>SUM(I18:I31)+$K$5+$K$6+$K$7</f>
        <v>3.6377203188967893</v>
      </c>
      <c r="J32" s="459">
        <f>SUM(J18:J31)+$K$5+$K$6+$K$7</f>
        <v>2.7723357035121738</v>
      </c>
      <c r="K32" s="935"/>
      <c r="L32" s="935"/>
      <c r="M32" s="935"/>
      <c r="P32" s="83"/>
    </row>
    <row r="33" spans="1:16" x14ac:dyDescent="0.2">
      <c r="A33" s="86"/>
      <c r="C33" s="343"/>
      <c r="D33" s="377"/>
      <c r="E33" s="377"/>
      <c r="F33" s="377"/>
      <c r="G33" s="879">
        <f>ROUND(1/((G15/G32)+(H15/H32)+(I15/I32)+(J15/J32)),3)</f>
        <v>5.0759999999999996</v>
      </c>
      <c r="H33" s="879"/>
      <c r="I33" s="879"/>
      <c r="J33" s="879"/>
      <c r="K33" s="936">
        <f>SUM(M18:M31)</f>
        <v>4.4834895496660199</v>
      </c>
      <c r="L33" s="936"/>
      <c r="M33" s="936"/>
      <c r="P33" s="83"/>
    </row>
    <row r="34" spans="1:16" ht="12.75" customHeight="1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</row>
    <row r="35" spans="1:16" ht="15.75" x14ac:dyDescent="0.2">
      <c r="A35" s="86"/>
      <c r="O35" s="631">
        <f>SUM(O18:O31)*1000</f>
        <v>385.00000000000006</v>
      </c>
      <c r="P35" s="382" t="s">
        <v>120</v>
      </c>
    </row>
    <row r="36" spans="1:16" ht="6.75" customHeight="1" x14ac:dyDescent="0.2">
      <c r="A36" s="86"/>
      <c r="P36" s="83"/>
    </row>
    <row r="37" spans="1:16" ht="21" x14ac:dyDescent="0.2">
      <c r="A37" s="86"/>
      <c r="F37" s="902" t="s">
        <v>93</v>
      </c>
      <c r="G37" s="902"/>
      <c r="H37" s="902"/>
      <c r="I37" s="903">
        <f>ROUND(1/((G33+K33)/2+K5+K6),2)</f>
        <v>0.2</v>
      </c>
      <c r="J37" s="904"/>
      <c r="K37" s="905" t="s">
        <v>306</v>
      </c>
      <c r="L37" s="906"/>
      <c r="P37" s="83"/>
    </row>
    <row r="38" spans="1:16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</row>
  </sheetData>
  <mergeCells count="62">
    <mergeCell ref="K7:L7"/>
    <mergeCell ref="M1:P1"/>
    <mergeCell ref="D5:I5"/>
    <mergeCell ref="K5:L5"/>
    <mergeCell ref="K6:L6"/>
    <mergeCell ref="C3:F3"/>
    <mergeCell ref="C11:F12"/>
    <mergeCell ref="G11:H11"/>
    <mergeCell ref="I11:J11"/>
    <mergeCell ref="G12:H12"/>
    <mergeCell ref="I12:J12"/>
    <mergeCell ref="G9:H9"/>
    <mergeCell ref="I9:J9"/>
    <mergeCell ref="C10:F10"/>
    <mergeCell ref="G10:H10"/>
    <mergeCell ref="I10:J10"/>
    <mergeCell ref="A13:B13"/>
    <mergeCell ref="C13:D13"/>
    <mergeCell ref="E13:F13"/>
    <mergeCell ref="G13:J13"/>
    <mergeCell ref="A14:B14"/>
    <mergeCell ref="C14:D14"/>
    <mergeCell ref="A15:F15"/>
    <mergeCell ref="G16:J16"/>
    <mergeCell ref="K16:M16"/>
    <mergeCell ref="B17:C17"/>
    <mergeCell ref="A18:A19"/>
    <mergeCell ref="B18:C18"/>
    <mergeCell ref="B19:C19"/>
    <mergeCell ref="A20:A21"/>
    <mergeCell ref="B20:C20"/>
    <mergeCell ref="L20:L21"/>
    <mergeCell ref="M20:M21"/>
    <mergeCell ref="O20:O21"/>
    <mergeCell ref="B21:C21"/>
    <mergeCell ref="O24:O25"/>
    <mergeCell ref="B25:C25"/>
    <mergeCell ref="A22:A23"/>
    <mergeCell ref="B22:C22"/>
    <mergeCell ref="L22:L23"/>
    <mergeCell ref="M22:M23"/>
    <mergeCell ref="O22:O23"/>
    <mergeCell ref="B23:C23"/>
    <mergeCell ref="L24:L25"/>
    <mergeCell ref="M24:M25"/>
    <mergeCell ref="A24:A25"/>
    <mergeCell ref="B24:C24"/>
    <mergeCell ref="A26:A27"/>
    <mergeCell ref="B26:C26"/>
    <mergeCell ref="B27:C27"/>
    <mergeCell ref="A28:A29"/>
    <mergeCell ref="B28:C28"/>
    <mergeCell ref="B29:C29"/>
    <mergeCell ref="F37:H37"/>
    <mergeCell ref="I37:J37"/>
    <mergeCell ref="K37:L37"/>
    <mergeCell ref="A30:A31"/>
    <mergeCell ref="B30:C30"/>
    <mergeCell ref="B31:C31"/>
    <mergeCell ref="K32:M32"/>
    <mergeCell ref="G33:J33"/>
    <mergeCell ref="K33:M3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F9F9-DE00-44FF-A0EA-FB29D6CA532A}">
  <dimension ref="A1:U38"/>
  <sheetViews>
    <sheetView showGridLines="0" view="pageBreakPreview" zoomScaleNormal="100" zoomScaleSheetLayoutView="100" workbookViewId="0">
      <selection activeCell="I20" sqref="I19:J20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8" width="9.140625" style="2"/>
    <col min="19" max="19" width="25.28515625" style="2" customWidth="1"/>
    <col min="20" max="16384" width="9.140625" style="2"/>
  </cols>
  <sheetData>
    <row r="1" spans="1:21" ht="30.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6.45" customHeight="1" x14ac:dyDescent="0.2">
      <c r="A3" s="354"/>
      <c r="B3" s="962"/>
      <c r="C3" s="963"/>
      <c r="D3" s="941" t="s">
        <v>519</v>
      </c>
      <c r="E3" s="941"/>
      <c r="F3" s="941"/>
      <c r="G3" s="941"/>
      <c r="H3" s="941"/>
      <c r="I3" s="941"/>
      <c r="J3" s="941"/>
      <c r="K3" s="941"/>
      <c r="L3" s="941"/>
      <c r="M3" s="941"/>
      <c r="N3" s="941"/>
      <c r="O3" s="964"/>
      <c r="P3" s="83"/>
      <c r="S3" s="495" t="s">
        <v>536</v>
      </c>
      <c r="T3" s="2">
        <v>3.5999999999999997E-2</v>
      </c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  <c r="S4" s="496" t="s">
        <v>229</v>
      </c>
      <c r="T4" s="2">
        <v>3.3000000000000002E-2</v>
      </c>
    </row>
    <row r="5" spans="1:21" ht="15" customHeight="1" x14ac:dyDescent="0.2">
      <c r="A5" s="354"/>
      <c r="B5" s="355"/>
      <c r="C5" s="341"/>
      <c r="D5" s="950" t="s">
        <v>809</v>
      </c>
      <c r="E5" s="950"/>
      <c r="F5" s="950"/>
      <c r="G5" s="950"/>
      <c r="H5" s="950"/>
      <c r="I5" s="950"/>
      <c r="J5" s="357" t="s">
        <v>308</v>
      </c>
      <c r="K5" s="930">
        <v>0.1</v>
      </c>
      <c r="L5" s="820"/>
      <c r="M5" s="396"/>
      <c r="P5" s="83"/>
      <c r="S5" s="496" t="s">
        <v>443</v>
      </c>
      <c r="T5" s="2">
        <v>0.2</v>
      </c>
    </row>
    <row r="6" spans="1:21" ht="15" customHeight="1" x14ac:dyDescent="0.2">
      <c r="A6" s="354"/>
      <c r="B6" s="355"/>
      <c r="C6" s="341"/>
      <c r="D6" s="950"/>
      <c r="E6" s="950"/>
      <c r="F6" s="950"/>
      <c r="G6" s="950"/>
      <c r="H6" s="950"/>
      <c r="I6" s="950"/>
      <c r="J6" s="357" t="s">
        <v>309</v>
      </c>
      <c r="K6" s="843">
        <v>0.04</v>
      </c>
      <c r="L6" s="823"/>
      <c r="P6" s="83"/>
      <c r="S6" s="496" t="s">
        <v>386</v>
      </c>
      <c r="T6" s="2">
        <v>3.5999999999999997E-2</v>
      </c>
    </row>
    <row r="7" spans="1:21" ht="15" customHeight="1" x14ac:dyDescent="0.2">
      <c r="A7" s="354"/>
      <c r="B7" s="355"/>
      <c r="C7" s="341"/>
      <c r="D7" s="950"/>
      <c r="E7" s="950"/>
      <c r="F7" s="950"/>
      <c r="G7" s="950"/>
      <c r="H7" s="950"/>
      <c r="I7" s="950"/>
      <c r="J7" s="357" t="s">
        <v>310</v>
      </c>
      <c r="K7" s="930">
        <v>0.3</v>
      </c>
      <c r="L7" s="930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  <c r="S8" s="496" t="s">
        <v>562</v>
      </c>
      <c r="T8" s="2">
        <v>5.2999999999999999E-2</v>
      </c>
    </row>
    <row r="9" spans="1:21" ht="9.75" customHeight="1" x14ac:dyDescent="0.25">
      <c r="A9" s="354"/>
      <c r="B9" s="355"/>
      <c r="C9" s="341"/>
      <c r="D9" s="341"/>
      <c r="E9" s="341"/>
      <c r="F9" s="341"/>
      <c r="G9" s="892" t="s">
        <v>112</v>
      </c>
      <c r="H9" s="892"/>
      <c r="I9" s="892" t="s">
        <v>113</v>
      </c>
      <c r="J9" s="892"/>
      <c r="K9" s="341"/>
      <c r="L9" s="359"/>
      <c r="P9" s="83"/>
      <c r="S9" s="496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882"/>
      <c r="G10" s="880">
        <v>0.91500000000000004</v>
      </c>
      <c r="H10" s="880"/>
      <c r="I10" s="880">
        <v>0.65</v>
      </c>
      <c r="J10" s="880"/>
      <c r="K10" s="341"/>
      <c r="L10" s="359"/>
      <c r="P10" s="83"/>
      <c r="S10" s="496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891"/>
      <c r="G11" s="965">
        <f>G10-G12</f>
        <v>0.69500000000000006</v>
      </c>
      <c r="H11" s="966"/>
      <c r="I11" s="880">
        <f>I10-I12</f>
        <v>0.55000000000000004</v>
      </c>
      <c r="J11" s="880"/>
      <c r="K11" s="341"/>
      <c r="L11" s="359"/>
      <c r="P11" s="83"/>
      <c r="S11" s="496"/>
    </row>
    <row r="12" spans="1:21" ht="15" x14ac:dyDescent="0.25">
      <c r="A12" s="354"/>
      <c r="B12" s="355"/>
      <c r="C12" s="891"/>
      <c r="D12" s="891"/>
      <c r="E12" s="891"/>
      <c r="F12" s="891"/>
      <c r="G12" s="880">
        <v>0.22</v>
      </c>
      <c r="H12" s="880"/>
      <c r="I12" s="880">
        <v>0.1</v>
      </c>
      <c r="J12" s="880"/>
      <c r="K12" s="341"/>
      <c r="L12" s="359"/>
      <c r="P12" s="83"/>
      <c r="S12" s="496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  <c r="S13" s="496"/>
    </row>
    <row r="14" spans="1:21" ht="14.25" customHeight="1" x14ac:dyDescent="0.2">
      <c r="A14" s="890"/>
      <c r="B14" s="891"/>
      <c r="C14" s="883"/>
      <c r="D14" s="883"/>
      <c r="E14" s="361"/>
      <c r="F14" s="361"/>
      <c r="G14" s="467" t="s">
        <v>0</v>
      </c>
      <c r="H14" s="467" t="s">
        <v>1</v>
      </c>
      <c r="I14" s="467" t="s">
        <v>2</v>
      </c>
      <c r="J14" s="467" t="s">
        <v>3</v>
      </c>
      <c r="K14" s="466"/>
      <c r="L14" s="364"/>
      <c r="M14" s="364"/>
      <c r="P14" s="83"/>
      <c r="S14" s="496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888"/>
      <c r="G15" s="468">
        <f>(G11*I11)/(G10*I10)</f>
        <v>0.64270701975620026</v>
      </c>
      <c r="H15" s="468">
        <f>(G11*I12)/(G10*I10)</f>
        <v>0.11685582177385458</v>
      </c>
      <c r="I15" s="468">
        <f>(G12*I11)/(G10*I10)</f>
        <v>0.20344682639764608</v>
      </c>
      <c r="J15" s="468">
        <f>(G12*I12)/(G10*I10)</f>
        <v>3.6990332072299292E-2</v>
      </c>
      <c r="K15" s="457"/>
      <c r="L15" s="364"/>
      <c r="M15" s="364"/>
      <c r="P15" s="83"/>
      <c r="S15" s="496"/>
    </row>
    <row r="16" spans="1:21" ht="14.25" customHeight="1" x14ac:dyDescent="0.2">
      <c r="A16" s="367"/>
      <c r="B16" s="368"/>
      <c r="C16" s="368"/>
      <c r="D16" s="368"/>
      <c r="E16" s="368"/>
      <c r="F16" s="368"/>
      <c r="G16" s="938" t="s">
        <v>313</v>
      </c>
      <c r="H16" s="938"/>
      <c r="I16" s="938"/>
      <c r="J16" s="938"/>
      <c r="K16" s="938" t="s">
        <v>314</v>
      </c>
      <c r="L16" s="938"/>
      <c r="M16" s="938"/>
      <c r="P16" s="83"/>
      <c r="S16" s="496"/>
      <c r="U16" s="2">
        <v>0</v>
      </c>
    </row>
    <row r="17" spans="1:19" ht="27" customHeight="1" x14ac:dyDescent="0.2">
      <c r="A17" s="369"/>
      <c r="B17" s="907" t="s">
        <v>6</v>
      </c>
      <c r="C17" s="907"/>
      <c r="D17" s="470" t="s">
        <v>514</v>
      </c>
      <c r="E17" s="470" t="s">
        <v>303</v>
      </c>
      <c r="F17" s="470" t="s">
        <v>513</v>
      </c>
      <c r="G17" s="470" t="s">
        <v>317</v>
      </c>
      <c r="H17" s="470" t="s">
        <v>318</v>
      </c>
      <c r="I17" s="470" t="s">
        <v>319</v>
      </c>
      <c r="J17" s="470" t="s">
        <v>320</v>
      </c>
      <c r="K17" s="568" t="s">
        <v>4</v>
      </c>
      <c r="L17" s="470" t="s">
        <v>119</v>
      </c>
      <c r="M17" s="470" t="s">
        <v>321</v>
      </c>
      <c r="O17" s="458" t="s">
        <v>322</v>
      </c>
      <c r="P17" s="83"/>
      <c r="S17" s="496"/>
    </row>
    <row r="18" spans="1:19" hidden="1" x14ac:dyDescent="0.2">
      <c r="A18" s="887"/>
      <c r="B18" s="874" t="s">
        <v>402</v>
      </c>
      <c r="C18" s="874"/>
      <c r="D18" s="474">
        <v>0.6</v>
      </c>
      <c r="E18" s="474">
        <v>0</v>
      </c>
      <c r="F18" s="474">
        <f>D18+E18</f>
        <v>0.6</v>
      </c>
      <c r="G18" s="459">
        <f>$O$18/$F$18</f>
        <v>0</v>
      </c>
      <c r="H18" s="459">
        <f>$O$18/$F$18</f>
        <v>0</v>
      </c>
      <c r="I18" s="459">
        <f>$O$18/$F$18</f>
        <v>0</v>
      </c>
      <c r="J18" s="459">
        <f>$O$18/$F$18</f>
        <v>0</v>
      </c>
      <c r="K18" s="456"/>
      <c r="L18" s="459">
        <f>F18</f>
        <v>0.6</v>
      </c>
      <c r="M18" s="459">
        <f>O18/L18</f>
        <v>0</v>
      </c>
      <c r="O18" s="474">
        <v>0</v>
      </c>
      <c r="P18" s="83"/>
      <c r="S18" s="496"/>
    </row>
    <row r="19" spans="1:19" hidden="1" x14ac:dyDescent="0.2">
      <c r="A19" s="887"/>
      <c r="B19" s="874" t="s">
        <v>124</v>
      </c>
      <c r="C19" s="874"/>
      <c r="D19" s="474"/>
      <c r="E19" s="474"/>
      <c r="F19" s="474"/>
      <c r="G19" s="459">
        <f>IF($O$19=0,0,0.16)</f>
        <v>0</v>
      </c>
      <c r="H19" s="459">
        <f>IF($O$19=0,0,0.16)</f>
        <v>0</v>
      </c>
      <c r="I19" s="459">
        <f>IF($O$19=0,0,0.16)</f>
        <v>0</v>
      </c>
      <c r="J19" s="459">
        <f>IF($O$19=0,0,0.16)</f>
        <v>0</v>
      </c>
      <c r="K19" s="456"/>
      <c r="L19" s="459">
        <f>D19</f>
        <v>0</v>
      </c>
      <c r="M19" s="459">
        <f>IF($O$19=0,0,0.16)</f>
        <v>0</v>
      </c>
      <c r="O19" s="474">
        <v>0</v>
      </c>
      <c r="P19" s="83"/>
      <c r="S19" s="496"/>
    </row>
    <row r="20" spans="1:19" hidden="1" x14ac:dyDescent="0.2">
      <c r="A20" s="887"/>
      <c r="B20" s="874" t="s">
        <v>7</v>
      </c>
      <c r="C20" s="874"/>
      <c r="D20" s="474">
        <v>0.13</v>
      </c>
      <c r="E20" s="474">
        <v>0</v>
      </c>
      <c r="F20" s="474">
        <f t="shared" ref="F20:F31" si="0">D20+E20</f>
        <v>0.13</v>
      </c>
      <c r="G20" s="459"/>
      <c r="H20" s="459"/>
      <c r="I20" s="459">
        <f>O20/F20</f>
        <v>0</v>
      </c>
      <c r="J20" s="459">
        <f>O20/F20</f>
        <v>0</v>
      </c>
      <c r="K20" s="459">
        <f>(I12*I10*2)/(I10*I10*2)</f>
        <v>0.15384615384615383</v>
      </c>
      <c r="L20" s="879">
        <f>ROUND((K20*F20)+(K21*F21),3)</f>
        <v>4.9000000000000002E-2</v>
      </c>
      <c r="M20" s="879">
        <f>O20/L20</f>
        <v>0</v>
      </c>
      <c r="O20" s="880">
        <v>0</v>
      </c>
      <c r="P20" s="83"/>
      <c r="S20" s="496"/>
    </row>
    <row r="21" spans="1:19" hidden="1" x14ac:dyDescent="0.2">
      <c r="A21" s="887"/>
      <c r="B21" s="874" t="s">
        <v>835</v>
      </c>
      <c r="C21" s="874"/>
      <c r="D21" s="474">
        <v>3.3000000000000002E-2</v>
      </c>
      <c r="E21" s="474">
        <v>1E-3</v>
      </c>
      <c r="F21" s="474">
        <f t="shared" si="0"/>
        <v>3.4000000000000002E-2</v>
      </c>
      <c r="G21" s="459">
        <f>O20/F21</f>
        <v>0</v>
      </c>
      <c r="H21" s="459">
        <f>O20/F21</f>
        <v>0</v>
      </c>
      <c r="I21" s="459"/>
      <c r="J21" s="459"/>
      <c r="K21" s="459">
        <f>(I11*I10*2)/(I10*I10*2)</f>
        <v>0.84615384615384615</v>
      </c>
      <c r="L21" s="879"/>
      <c r="M21" s="879"/>
      <c r="O21" s="880"/>
      <c r="P21" s="83"/>
      <c r="S21" s="496"/>
    </row>
    <row r="22" spans="1:19" x14ac:dyDescent="0.2">
      <c r="A22" s="887"/>
      <c r="B22" s="874" t="s">
        <v>7</v>
      </c>
      <c r="C22" s="874"/>
      <c r="D22" s="474">
        <v>0.13</v>
      </c>
      <c r="E22" s="474">
        <v>0</v>
      </c>
      <c r="F22" s="474">
        <f t="shared" si="0"/>
        <v>0.13</v>
      </c>
      <c r="G22" s="459"/>
      <c r="H22" s="459"/>
      <c r="I22" s="459">
        <f>O22/F22</f>
        <v>1.2615384615384615</v>
      </c>
      <c r="J22" s="459">
        <f>O22/F22</f>
        <v>1.2615384615384615</v>
      </c>
      <c r="K22" s="459">
        <f>(I12*G10*2)/(I10*G10*2)</f>
        <v>0.15384615384615385</v>
      </c>
      <c r="L22" s="879">
        <f>ROUND((K22*F22)+(K23*F23),3)</f>
        <v>5.3999999999999999E-2</v>
      </c>
      <c r="M22" s="879">
        <f>ROUND(O22/L22,3)</f>
        <v>3.0369999999999999</v>
      </c>
      <c r="O22" s="880">
        <v>0.16400000000000001</v>
      </c>
      <c r="P22" s="83"/>
      <c r="S22" s="496"/>
    </row>
    <row r="23" spans="1:19" x14ac:dyDescent="0.2">
      <c r="A23" s="887"/>
      <c r="B23" s="874" t="s">
        <v>538</v>
      </c>
      <c r="C23" s="874"/>
      <c r="D23" s="474">
        <v>3.9E-2</v>
      </c>
      <c r="E23" s="474">
        <v>1E-3</v>
      </c>
      <c r="F23" s="474">
        <f t="shared" si="0"/>
        <v>0.04</v>
      </c>
      <c r="G23" s="459">
        <f>O22/F23</f>
        <v>4.0999999999999996</v>
      </c>
      <c r="H23" s="459">
        <f>O22/F23</f>
        <v>4.0999999999999996</v>
      </c>
      <c r="I23" s="459"/>
      <c r="J23" s="459"/>
      <c r="K23" s="459">
        <f>(I11*G10*2)/(I10*G10*2)</f>
        <v>0.84615384615384626</v>
      </c>
      <c r="L23" s="879"/>
      <c r="M23" s="879"/>
      <c r="O23" s="880"/>
      <c r="P23" s="83"/>
      <c r="S23" s="496"/>
    </row>
    <row r="24" spans="1:19" x14ac:dyDescent="0.2">
      <c r="A24" s="887"/>
      <c r="B24" s="874" t="s">
        <v>123</v>
      </c>
      <c r="C24" s="874"/>
      <c r="D24" s="474">
        <v>0.13</v>
      </c>
      <c r="E24" s="474">
        <v>0</v>
      </c>
      <c r="F24" s="474">
        <f t="shared" si="0"/>
        <v>0.13</v>
      </c>
      <c r="G24" s="459"/>
      <c r="H24" s="459">
        <f>O24/F24</f>
        <v>1.8153846153846152</v>
      </c>
      <c r="I24" s="459"/>
      <c r="J24" s="459">
        <f>$O$24/$F$24</f>
        <v>1.8153846153846152</v>
      </c>
      <c r="K24" s="459">
        <f>(G12*G10*2)/(G10*G10*2)</f>
        <v>0.24043715846994534</v>
      </c>
      <c r="L24" s="879">
        <f>ROUND((K24*F24)+(K25*F25),3)</f>
        <v>6.2E-2</v>
      </c>
      <c r="M24" s="879">
        <f>ROUND(O24/L24,3)</f>
        <v>3.806</v>
      </c>
      <c r="O24" s="880">
        <v>0.23599999999999999</v>
      </c>
      <c r="P24" s="83"/>
      <c r="S24" s="496"/>
    </row>
    <row r="25" spans="1:19" x14ac:dyDescent="0.2">
      <c r="A25" s="887"/>
      <c r="B25" s="874" t="s">
        <v>538</v>
      </c>
      <c r="C25" s="874"/>
      <c r="D25" s="474">
        <v>3.9E-2</v>
      </c>
      <c r="E25" s="474">
        <v>1E-3</v>
      </c>
      <c r="F25" s="474">
        <f t="shared" si="0"/>
        <v>0.04</v>
      </c>
      <c r="G25" s="459">
        <f>O24/F25</f>
        <v>5.8999999999999995</v>
      </c>
      <c r="H25" s="459"/>
      <c r="I25" s="459">
        <f>O24/F25</f>
        <v>5.8999999999999995</v>
      </c>
      <c r="J25" s="459"/>
      <c r="K25" s="459">
        <f>(G11*G10*2)/(G10*G10*2)</f>
        <v>0.7595628415300546</v>
      </c>
      <c r="L25" s="879"/>
      <c r="M25" s="879"/>
      <c r="O25" s="880"/>
      <c r="P25" s="83"/>
      <c r="S25" s="496"/>
    </row>
    <row r="26" spans="1:19" hidden="1" x14ac:dyDescent="0.2">
      <c r="A26" s="887"/>
      <c r="B26" s="874" t="s">
        <v>499</v>
      </c>
      <c r="C26" s="874"/>
      <c r="D26" s="474">
        <v>0.15</v>
      </c>
      <c r="E26" s="474">
        <v>0</v>
      </c>
      <c r="F26" s="474">
        <f t="shared" si="0"/>
        <v>0.15</v>
      </c>
      <c r="G26" s="459">
        <f>O26/F26</f>
        <v>0</v>
      </c>
      <c r="H26" s="459">
        <f>O26/F26</f>
        <v>0</v>
      </c>
      <c r="I26" s="459">
        <f>O26/F26</f>
        <v>0</v>
      </c>
      <c r="J26" s="459">
        <f>O26/F26</f>
        <v>0</v>
      </c>
      <c r="K26" s="459"/>
      <c r="L26" s="477">
        <f>F26</f>
        <v>0.15</v>
      </c>
      <c r="M26" s="477">
        <f>O26/L26</f>
        <v>0</v>
      </c>
      <c r="O26" s="474">
        <v>0</v>
      </c>
      <c r="P26" s="83"/>
      <c r="S26" s="496"/>
    </row>
    <row r="27" spans="1:19" hidden="1" x14ac:dyDescent="0.2">
      <c r="A27" s="887"/>
      <c r="B27" s="874" t="s">
        <v>712</v>
      </c>
      <c r="C27" s="874"/>
      <c r="D27" s="474">
        <v>3.5999999999999997E-2</v>
      </c>
      <c r="E27" s="474">
        <v>1E-3</v>
      </c>
      <c r="F27" s="474">
        <f t="shared" si="0"/>
        <v>3.6999999999999998E-2</v>
      </c>
      <c r="G27" s="459">
        <f>$O$27/$F$27</f>
        <v>0</v>
      </c>
      <c r="H27" s="459">
        <f>$O$27/$F$27</f>
        <v>0</v>
      </c>
      <c r="I27" s="459">
        <f>$O$27/$F$27</f>
        <v>0</v>
      </c>
      <c r="J27" s="459">
        <f>$O$27/$F$27</f>
        <v>0</v>
      </c>
      <c r="K27" s="456"/>
      <c r="L27" s="477">
        <f>F27</f>
        <v>3.6999999999999998E-2</v>
      </c>
      <c r="M27" s="477">
        <f>O27/L27</f>
        <v>0</v>
      </c>
      <c r="O27" s="474">
        <v>0</v>
      </c>
      <c r="P27" s="83"/>
      <c r="S27" s="496"/>
    </row>
    <row r="28" spans="1:19" x14ac:dyDescent="0.2">
      <c r="A28" s="887"/>
      <c r="B28" s="874" t="s">
        <v>402</v>
      </c>
      <c r="C28" s="874"/>
      <c r="D28" s="474">
        <v>0.26</v>
      </c>
      <c r="E28" s="474">
        <v>0</v>
      </c>
      <c r="F28" s="474">
        <f t="shared" si="0"/>
        <v>0.26</v>
      </c>
      <c r="G28" s="459">
        <f>$O$28/$F$28</f>
        <v>3.8461538461538464E-2</v>
      </c>
      <c r="H28" s="459">
        <f>$O$28/$F$28</f>
        <v>3.8461538461538464E-2</v>
      </c>
      <c r="I28" s="459">
        <f>$O$28/$F$28</f>
        <v>3.8461538461538464E-2</v>
      </c>
      <c r="J28" s="459">
        <f>$O$28/$F$28</f>
        <v>3.8461538461538464E-2</v>
      </c>
      <c r="K28" s="456"/>
      <c r="L28" s="459">
        <f>F28</f>
        <v>0.26</v>
      </c>
      <c r="M28" s="477">
        <f>O28/L28</f>
        <v>3.8461538461538464E-2</v>
      </c>
      <c r="O28" s="474">
        <v>0.01</v>
      </c>
      <c r="P28" s="83"/>
      <c r="S28" s="496"/>
    </row>
    <row r="29" spans="1:19" hidden="1" x14ac:dyDescent="0.2">
      <c r="A29" s="887"/>
      <c r="B29" s="874"/>
      <c r="C29" s="874"/>
      <c r="D29" s="601">
        <v>1</v>
      </c>
      <c r="E29" s="474">
        <v>0</v>
      </c>
      <c r="F29" s="474">
        <f t="shared" si="0"/>
        <v>1</v>
      </c>
      <c r="G29" s="459">
        <f>$O$29/$F$29</f>
        <v>0</v>
      </c>
      <c r="H29" s="459">
        <f>$O$29/$F$29</f>
        <v>0</v>
      </c>
      <c r="I29" s="459">
        <f>$O$29/$F$29</f>
        <v>0</v>
      </c>
      <c r="J29" s="459">
        <f>$O$29/$F$29</f>
        <v>0</v>
      </c>
      <c r="K29" s="456"/>
      <c r="L29" s="459">
        <v>1</v>
      </c>
      <c r="M29" s="477"/>
      <c r="O29" s="474"/>
      <c r="P29" s="83"/>
      <c r="S29" s="496"/>
    </row>
    <row r="30" spans="1:19" hidden="1" x14ac:dyDescent="0.2">
      <c r="A30" s="887"/>
      <c r="B30" s="874"/>
      <c r="C30" s="874"/>
      <c r="D30" s="601">
        <v>1</v>
      </c>
      <c r="E30" s="474">
        <v>0</v>
      </c>
      <c r="F30" s="474">
        <f t="shared" si="0"/>
        <v>1</v>
      </c>
      <c r="G30" s="459">
        <f>$O$30/$F$30</f>
        <v>0</v>
      </c>
      <c r="H30" s="459">
        <f>$O$30/$F$30</f>
        <v>0</v>
      </c>
      <c r="I30" s="459">
        <f>$O$30/$F$30</f>
        <v>0</v>
      </c>
      <c r="J30" s="459">
        <f>$O$30/$F$30</f>
        <v>0</v>
      </c>
      <c r="K30" s="456"/>
      <c r="L30" s="459">
        <v>1</v>
      </c>
      <c r="M30" s="879">
        <f>O30/L30</f>
        <v>0</v>
      </c>
      <c r="O30" s="601"/>
      <c r="P30" s="83"/>
      <c r="S30" s="496"/>
    </row>
    <row r="31" spans="1:19" hidden="1" x14ac:dyDescent="0.2">
      <c r="A31" s="887"/>
      <c r="B31" s="874"/>
      <c r="C31" s="874"/>
      <c r="D31" s="601">
        <v>1</v>
      </c>
      <c r="E31" s="474">
        <v>0</v>
      </c>
      <c r="F31" s="474">
        <f t="shared" si="0"/>
        <v>1</v>
      </c>
      <c r="G31" s="459">
        <f>$O$31/$F$31</f>
        <v>0</v>
      </c>
      <c r="H31" s="459">
        <f>$O$31/$F$31</f>
        <v>0</v>
      </c>
      <c r="I31" s="459">
        <f>$O$31/$F$31</f>
        <v>0</v>
      </c>
      <c r="J31" s="459">
        <f>$O$31/$F$31</f>
        <v>0</v>
      </c>
      <c r="K31" s="456"/>
      <c r="L31" s="459">
        <v>1</v>
      </c>
      <c r="M31" s="879"/>
      <c r="O31" s="601"/>
      <c r="P31" s="83"/>
      <c r="S31" s="496"/>
    </row>
    <row r="32" spans="1:19" x14ac:dyDescent="0.2">
      <c r="A32" s="86"/>
      <c r="F32" s="349"/>
      <c r="G32" s="459">
        <f>SUM(G18:G31)</f>
        <v>10.038461538461538</v>
      </c>
      <c r="H32" s="459">
        <f>SUM(H18:H31)</f>
        <v>5.9538461538461531</v>
      </c>
      <c r="I32" s="459">
        <f>SUM(I18:I31)</f>
        <v>7.1999999999999993</v>
      </c>
      <c r="J32" s="459">
        <f>SUM(J18:J31)</f>
        <v>3.115384615384615</v>
      </c>
      <c r="K32" s="935"/>
      <c r="L32" s="935"/>
      <c r="M32" s="935"/>
      <c r="P32" s="83"/>
      <c r="S32" s="496"/>
    </row>
    <row r="33" spans="1:19" x14ac:dyDescent="0.2">
      <c r="A33" s="86"/>
      <c r="C33" s="343"/>
      <c r="D33" s="377"/>
      <c r="E33" s="377"/>
      <c r="F33" s="377"/>
      <c r="G33" s="879">
        <f>ROUND((G15*G32)+(H15*H32)+(I15*I32)+(J15*J32),3)</f>
        <v>8.7279999999999998</v>
      </c>
      <c r="H33" s="879"/>
      <c r="I33" s="879"/>
      <c r="J33" s="879"/>
      <c r="K33" s="936">
        <f>SUM(M18:M31)</f>
        <v>6.8814615384615383</v>
      </c>
      <c r="L33" s="936"/>
      <c r="M33" s="936"/>
      <c r="P33" s="83"/>
      <c r="S33" s="496"/>
    </row>
    <row r="34" spans="1:19" ht="12.75" customHeight="1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  <c r="S34" s="496"/>
    </row>
    <row r="35" spans="1:19" ht="15.75" x14ac:dyDescent="0.2">
      <c r="A35" s="86"/>
      <c r="O35" s="350">
        <f>SUM(O18:O31)*1000</f>
        <v>410.00000000000006</v>
      </c>
      <c r="P35" s="382" t="s">
        <v>120</v>
      </c>
      <c r="S35" s="496"/>
    </row>
    <row r="36" spans="1:19" ht="6.75" customHeight="1" x14ac:dyDescent="0.2">
      <c r="A36" s="86"/>
      <c r="P36" s="83"/>
      <c r="S36" s="496"/>
    </row>
    <row r="37" spans="1:19" ht="21" x14ac:dyDescent="0.2">
      <c r="A37" s="86"/>
      <c r="F37" s="902" t="s">
        <v>93</v>
      </c>
      <c r="G37" s="902"/>
      <c r="H37" s="902"/>
      <c r="I37" s="903">
        <f>ROUND(1/((G33+K33)/2+K5+K7+K6),2)</f>
        <v>0.12</v>
      </c>
      <c r="J37" s="904"/>
      <c r="K37" s="905" t="s">
        <v>306</v>
      </c>
      <c r="L37" s="906"/>
      <c r="P37" s="83"/>
      <c r="S37" s="496"/>
    </row>
    <row r="38" spans="1:19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  <c r="S38" s="497"/>
    </row>
  </sheetData>
  <mergeCells count="64">
    <mergeCell ref="F37:H37"/>
    <mergeCell ref="I37:J37"/>
    <mergeCell ref="K37:L37"/>
    <mergeCell ref="A30:A31"/>
    <mergeCell ref="B30:C30"/>
    <mergeCell ref="M30:M31"/>
    <mergeCell ref="B31:C31"/>
    <mergeCell ref="K32:M32"/>
    <mergeCell ref="G33:J33"/>
    <mergeCell ref="K33:M33"/>
    <mergeCell ref="A26:A27"/>
    <mergeCell ref="B26:C26"/>
    <mergeCell ref="B27:C27"/>
    <mergeCell ref="A28:A29"/>
    <mergeCell ref="B28:C28"/>
    <mergeCell ref="B29:C29"/>
    <mergeCell ref="A24:A25"/>
    <mergeCell ref="B24:C24"/>
    <mergeCell ref="L24:L25"/>
    <mergeCell ref="M24:M25"/>
    <mergeCell ref="O24:O25"/>
    <mergeCell ref="B25:C25"/>
    <mergeCell ref="A22:A23"/>
    <mergeCell ref="B22:C22"/>
    <mergeCell ref="L22:L23"/>
    <mergeCell ref="M22:M23"/>
    <mergeCell ref="O22:O23"/>
    <mergeCell ref="B23:C23"/>
    <mergeCell ref="A20:A21"/>
    <mergeCell ref="B20:C20"/>
    <mergeCell ref="L20:L21"/>
    <mergeCell ref="M20:M21"/>
    <mergeCell ref="O20:O21"/>
    <mergeCell ref="B21:C21"/>
    <mergeCell ref="A15:F15"/>
    <mergeCell ref="G16:J16"/>
    <mergeCell ref="K16:M16"/>
    <mergeCell ref="B17:C17"/>
    <mergeCell ref="A18:A19"/>
    <mergeCell ref="B18:C18"/>
    <mergeCell ref="B19:C19"/>
    <mergeCell ref="A13:B13"/>
    <mergeCell ref="C13:D13"/>
    <mergeCell ref="E13:F13"/>
    <mergeCell ref="G13:J13"/>
    <mergeCell ref="A14:B14"/>
    <mergeCell ref="C14:D14"/>
    <mergeCell ref="G9:H9"/>
    <mergeCell ref="I9:J9"/>
    <mergeCell ref="C10:F10"/>
    <mergeCell ref="G10:H10"/>
    <mergeCell ref="I10:J10"/>
    <mergeCell ref="C11:F12"/>
    <mergeCell ref="G11:H11"/>
    <mergeCell ref="I11:J11"/>
    <mergeCell ref="G12:H12"/>
    <mergeCell ref="I12:J12"/>
    <mergeCell ref="M1:P1"/>
    <mergeCell ref="B3:C3"/>
    <mergeCell ref="D3:O3"/>
    <mergeCell ref="D5:I7"/>
    <mergeCell ref="K5:L5"/>
    <mergeCell ref="K6:L6"/>
    <mergeCell ref="K7:L7"/>
  </mergeCells>
  <dataValidations count="1">
    <dataValidation type="list" allowBlank="1" showInputMessage="1" showErrorMessage="1" sqref="K6:L6" xr:uid="{4C8FE42F-2C47-4CCE-8777-F7E63BE3DF89}">
      <formula1>"0,0,04,0,0,13"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FB20-600E-4F18-8364-D919EADF5861}">
  <dimension ref="A1:X38"/>
  <sheetViews>
    <sheetView showGridLines="0" view="pageBreakPreview" zoomScaleNormal="100" zoomScaleSheetLayoutView="100" workbookViewId="0">
      <selection activeCell="K63" sqref="K63"/>
    </sheetView>
  </sheetViews>
  <sheetFormatPr defaultColWidth="9.140625" defaultRowHeight="12.75" x14ac:dyDescent="0.2"/>
  <cols>
    <col min="1" max="1" width="6.28515625" style="2" customWidth="1"/>
    <col min="2" max="2" width="16.42578125" style="2" customWidth="1"/>
    <col min="3" max="3" width="6.7109375" style="2" customWidth="1"/>
    <col min="4" max="10" width="7.7109375" style="2" customWidth="1"/>
    <col min="11" max="13" width="9.28515625" style="2" customWidth="1"/>
    <col min="14" max="14" width="2.85546875" style="2" customWidth="1"/>
    <col min="15" max="15" width="9.85546875" style="2" customWidth="1"/>
    <col min="16" max="16" width="6.7109375" style="2" customWidth="1"/>
    <col min="17" max="18" width="9.140625" style="2"/>
    <col min="19" max="19" width="25.28515625" style="2" customWidth="1"/>
    <col min="20" max="16384" width="9.140625" style="2"/>
  </cols>
  <sheetData>
    <row r="1" spans="1:21" ht="30.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/>
      <c r="M1" s="731"/>
      <c r="N1" s="731"/>
      <c r="O1" s="731"/>
      <c r="P1" s="731"/>
    </row>
    <row r="2" spans="1:21" ht="1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0"/>
      <c r="N2" s="99"/>
      <c r="O2" s="99"/>
      <c r="P2" s="81"/>
    </row>
    <row r="3" spans="1:21" ht="26.45" customHeight="1" x14ac:dyDescent="0.2">
      <c r="A3" s="354"/>
      <c r="B3" s="962"/>
      <c r="C3" s="963"/>
      <c r="D3" s="941" t="s">
        <v>847</v>
      </c>
      <c r="E3" s="941"/>
      <c r="F3" s="941"/>
      <c r="G3" s="941"/>
      <c r="H3" s="941"/>
      <c r="I3" s="941"/>
      <c r="J3" s="941"/>
      <c r="K3" s="941"/>
      <c r="L3" s="941"/>
      <c r="M3" s="941"/>
      <c r="N3" s="941"/>
      <c r="O3" s="964"/>
      <c r="P3" s="83"/>
      <c r="S3" s="495" t="s">
        <v>536</v>
      </c>
      <c r="T3" s="2">
        <v>3.5999999999999997E-2</v>
      </c>
    </row>
    <row r="4" spans="1:21" ht="9" customHeight="1" x14ac:dyDescent="0.2">
      <c r="A4" s="354"/>
      <c r="B4" s="355"/>
      <c r="C4" s="341"/>
      <c r="D4" s="356"/>
      <c r="E4" s="356"/>
      <c r="F4" s="356"/>
      <c r="G4" s="356"/>
      <c r="H4" s="356"/>
      <c r="I4" s="356"/>
      <c r="J4" s="356"/>
      <c r="K4" s="356"/>
      <c r="L4" s="356"/>
      <c r="P4" s="83"/>
      <c r="S4" s="496" t="s">
        <v>229</v>
      </c>
      <c r="T4" s="2">
        <v>3.3000000000000002E-2</v>
      </c>
    </row>
    <row r="5" spans="1:21" ht="15" customHeight="1" x14ac:dyDescent="0.2">
      <c r="A5" s="354"/>
      <c r="B5" s="355"/>
      <c r="C5" s="341"/>
      <c r="D5" s="950" t="s">
        <v>809</v>
      </c>
      <c r="E5" s="950"/>
      <c r="F5" s="950"/>
      <c r="G5" s="950"/>
      <c r="H5" s="950"/>
      <c r="I5" s="950"/>
      <c r="J5" s="357" t="s">
        <v>308</v>
      </c>
      <c r="K5" s="930">
        <v>0.1</v>
      </c>
      <c r="L5" s="820"/>
      <c r="M5" s="396"/>
      <c r="P5" s="83"/>
      <c r="S5" s="496" t="s">
        <v>443</v>
      </c>
      <c r="T5" s="2">
        <v>0.2</v>
      </c>
    </row>
    <row r="6" spans="1:21" ht="15" customHeight="1" x14ac:dyDescent="0.2">
      <c r="A6" s="354"/>
      <c r="B6" s="355"/>
      <c r="C6" s="341"/>
      <c r="D6" s="950"/>
      <c r="E6" s="950"/>
      <c r="F6" s="950"/>
      <c r="G6" s="950"/>
      <c r="H6" s="950"/>
      <c r="I6" s="950"/>
      <c r="J6" s="357" t="s">
        <v>309</v>
      </c>
      <c r="K6" s="843">
        <v>0.04</v>
      </c>
      <c r="L6" s="823"/>
      <c r="P6" s="83"/>
      <c r="S6" s="496" t="s">
        <v>386</v>
      </c>
      <c r="T6" s="2">
        <v>3.5999999999999997E-2</v>
      </c>
    </row>
    <row r="7" spans="1:21" ht="15" customHeight="1" x14ac:dyDescent="0.2">
      <c r="A7" s="354"/>
      <c r="B7" s="355"/>
      <c r="C7" s="341"/>
      <c r="D7" s="950"/>
      <c r="E7" s="950"/>
      <c r="F7" s="950"/>
      <c r="G7" s="950"/>
      <c r="H7" s="950"/>
      <c r="I7" s="950"/>
      <c r="J7" s="357" t="s">
        <v>310</v>
      </c>
      <c r="K7" s="930">
        <v>0.06</v>
      </c>
      <c r="L7" s="930"/>
      <c r="P7" s="83"/>
    </row>
    <row r="8" spans="1:21" ht="14.25" customHeight="1" x14ac:dyDescent="0.25">
      <c r="A8" s="354"/>
      <c r="B8" s="355"/>
      <c r="C8" s="341"/>
      <c r="D8" s="341"/>
      <c r="E8" s="341"/>
      <c r="F8" s="341"/>
      <c r="G8" s="341"/>
      <c r="H8" s="341"/>
      <c r="I8" s="341"/>
      <c r="J8" s="357"/>
      <c r="K8" s="341"/>
      <c r="L8" s="359"/>
      <c r="P8" s="83"/>
      <c r="S8" s="496" t="s">
        <v>562</v>
      </c>
      <c r="T8" s="2">
        <v>5.2999999999999999E-2</v>
      </c>
    </row>
    <row r="9" spans="1:21" ht="9.75" customHeight="1" x14ac:dyDescent="0.25">
      <c r="A9" s="354"/>
      <c r="B9" s="355"/>
      <c r="C9" s="341"/>
      <c r="D9" s="341"/>
      <c r="E9" s="341"/>
      <c r="F9" s="341"/>
      <c r="G9" s="892" t="s">
        <v>112</v>
      </c>
      <c r="H9" s="892"/>
      <c r="I9" s="892" t="s">
        <v>113</v>
      </c>
      <c r="J9" s="892"/>
      <c r="K9" s="341"/>
      <c r="L9" s="359"/>
      <c r="P9" s="83"/>
      <c r="S9" s="496"/>
    </row>
    <row r="10" spans="1:21" ht="15" customHeight="1" x14ac:dyDescent="0.25">
      <c r="A10" s="354"/>
      <c r="B10" s="355"/>
      <c r="C10" s="882" t="s">
        <v>8</v>
      </c>
      <c r="D10" s="882"/>
      <c r="E10" s="882"/>
      <c r="F10" s="882"/>
      <c r="G10" s="880">
        <v>0.6</v>
      </c>
      <c r="H10" s="880"/>
      <c r="I10" s="880">
        <v>0.6</v>
      </c>
      <c r="J10" s="880"/>
      <c r="K10" s="341"/>
      <c r="L10" s="359"/>
      <c r="P10" s="83"/>
      <c r="S10" s="496"/>
    </row>
    <row r="11" spans="1:21" ht="15" customHeight="1" x14ac:dyDescent="0.25">
      <c r="A11" s="354"/>
      <c r="B11" s="355"/>
      <c r="C11" s="891" t="s">
        <v>311</v>
      </c>
      <c r="D11" s="891"/>
      <c r="E11" s="891"/>
      <c r="F11" s="891"/>
      <c r="G11" s="965">
        <f>G10-G12</f>
        <v>0.52</v>
      </c>
      <c r="H11" s="966"/>
      <c r="I11" s="880">
        <f>I10-I12</f>
        <v>0.52500000000000002</v>
      </c>
      <c r="J11" s="880"/>
      <c r="K11" s="341"/>
      <c r="L11" s="359"/>
      <c r="P11" s="83"/>
      <c r="S11" s="496"/>
    </row>
    <row r="12" spans="1:21" ht="15" x14ac:dyDescent="0.25">
      <c r="A12" s="354"/>
      <c r="B12" s="355"/>
      <c r="C12" s="891"/>
      <c r="D12" s="891"/>
      <c r="E12" s="891"/>
      <c r="F12" s="891"/>
      <c r="G12" s="880">
        <v>0.08</v>
      </c>
      <c r="H12" s="880"/>
      <c r="I12" s="880">
        <v>7.4999999999999997E-2</v>
      </c>
      <c r="J12" s="880"/>
      <c r="K12" s="341"/>
      <c r="L12" s="359"/>
      <c r="P12" s="83"/>
      <c r="S12" s="496"/>
    </row>
    <row r="13" spans="1:21" ht="6" customHeight="1" x14ac:dyDescent="0.2">
      <c r="A13" s="881"/>
      <c r="B13" s="882"/>
      <c r="C13" s="883"/>
      <c r="D13" s="883"/>
      <c r="E13" s="883"/>
      <c r="F13" s="883"/>
      <c r="G13" s="884"/>
      <c r="H13" s="884"/>
      <c r="I13" s="884"/>
      <c r="J13" s="884"/>
      <c r="K13" s="360"/>
      <c r="L13" s="360"/>
      <c r="M13" s="360"/>
      <c r="P13" s="83"/>
      <c r="S13" s="496"/>
    </row>
    <row r="14" spans="1:21" ht="14.25" customHeight="1" x14ac:dyDescent="0.2">
      <c r="A14" s="890"/>
      <c r="B14" s="891"/>
      <c r="C14" s="883"/>
      <c r="D14" s="883"/>
      <c r="E14" s="361"/>
      <c r="F14" s="361"/>
      <c r="G14" s="467" t="s">
        <v>0</v>
      </c>
      <c r="H14" s="467" t="s">
        <v>1</v>
      </c>
      <c r="I14" s="467" t="s">
        <v>2</v>
      </c>
      <c r="J14" s="467" t="s">
        <v>3</v>
      </c>
      <c r="K14" s="466"/>
      <c r="L14" s="364"/>
      <c r="M14" s="364"/>
      <c r="P14" s="83"/>
      <c r="S14" s="496"/>
    </row>
    <row r="15" spans="1:21" ht="14.25" customHeight="1" x14ac:dyDescent="0.2">
      <c r="A15" s="887" t="s">
        <v>312</v>
      </c>
      <c r="B15" s="888"/>
      <c r="C15" s="888"/>
      <c r="D15" s="888"/>
      <c r="E15" s="888"/>
      <c r="F15" s="888"/>
      <c r="G15" s="468">
        <f>(G11*I11)/(G10*I10)</f>
        <v>0.75833333333333341</v>
      </c>
      <c r="H15" s="468">
        <f>(G11*I12)/(G10*I10)</f>
        <v>0.10833333333333334</v>
      </c>
      <c r="I15" s="468">
        <f>(G12*I11)/(G10*I10)</f>
        <v>0.11666666666666668</v>
      </c>
      <c r="J15" s="468">
        <f>(G12*I12)/(G10*I10)</f>
        <v>1.6666666666666666E-2</v>
      </c>
      <c r="K15" s="457"/>
      <c r="L15" s="364"/>
      <c r="M15" s="364"/>
      <c r="P15" s="83"/>
      <c r="S15" s="496"/>
    </row>
    <row r="16" spans="1:21" ht="14.25" customHeight="1" x14ac:dyDescent="0.2">
      <c r="A16" s="367"/>
      <c r="B16" s="368"/>
      <c r="C16" s="368"/>
      <c r="D16" s="368"/>
      <c r="E16" s="368"/>
      <c r="F16" s="368"/>
      <c r="G16" s="938" t="s">
        <v>313</v>
      </c>
      <c r="H16" s="938"/>
      <c r="I16" s="938"/>
      <c r="J16" s="938"/>
      <c r="K16" s="938" t="s">
        <v>314</v>
      </c>
      <c r="L16" s="938"/>
      <c r="M16" s="938"/>
      <c r="P16" s="83"/>
      <c r="S16" s="496"/>
      <c r="U16" s="2">
        <v>0</v>
      </c>
    </row>
    <row r="17" spans="1:19" ht="27" customHeight="1" x14ac:dyDescent="0.2">
      <c r="A17" s="369"/>
      <c r="B17" s="907" t="s">
        <v>6</v>
      </c>
      <c r="C17" s="907"/>
      <c r="D17" s="470" t="s">
        <v>514</v>
      </c>
      <c r="E17" s="470" t="s">
        <v>303</v>
      </c>
      <c r="F17" s="470" t="s">
        <v>513</v>
      </c>
      <c r="G17" s="470" t="s">
        <v>317</v>
      </c>
      <c r="H17" s="470" t="s">
        <v>318</v>
      </c>
      <c r="I17" s="470" t="s">
        <v>319</v>
      </c>
      <c r="J17" s="470" t="s">
        <v>320</v>
      </c>
      <c r="K17" s="568" t="s">
        <v>4</v>
      </c>
      <c r="L17" s="470" t="s">
        <v>119</v>
      </c>
      <c r="M17" s="470" t="s">
        <v>321</v>
      </c>
      <c r="O17" s="458" t="s">
        <v>322</v>
      </c>
      <c r="P17" s="83"/>
      <c r="S17" s="496"/>
    </row>
    <row r="18" spans="1:19" hidden="1" x14ac:dyDescent="0.2">
      <c r="A18" s="887"/>
      <c r="B18" s="874" t="s">
        <v>402</v>
      </c>
      <c r="C18" s="874"/>
      <c r="D18" s="474">
        <v>0.6</v>
      </c>
      <c r="E18" s="474">
        <v>0</v>
      </c>
      <c r="F18" s="474">
        <f>D18+E18</f>
        <v>0.6</v>
      </c>
      <c r="G18" s="459">
        <f>$O$18/$F$18</f>
        <v>0</v>
      </c>
      <c r="H18" s="459">
        <f>$O$18/$F$18</f>
        <v>0</v>
      </c>
      <c r="I18" s="459">
        <f>$O$18/$F$18</f>
        <v>0</v>
      </c>
      <c r="J18" s="459">
        <f>$O$18/$F$18</f>
        <v>0</v>
      </c>
      <c r="K18" s="456"/>
      <c r="L18" s="459">
        <f>F18</f>
        <v>0.6</v>
      </c>
      <c r="M18" s="459">
        <f>O18/L18</f>
        <v>0</v>
      </c>
      <c r="O18" s="474">
        <v>0</v>
      </c>
      <c r="P18" s="83"/>
      <c r="S18" s="496"/>
    </row>
    <row r="19" spans="1:19" hidden="1" x14ac:dyDescent="0.2">
      <c r="A19" s="887"/>
      <c r="B19" s="874" t="s">
        <v>124</v>
      </c>
      <c r="C19" s="874"/>
      <c r="D19" s="474"/>
      <c r="E19" s="474"/>
      <c r="F19" s="474"/>
      <c r="G19" s="459">
        <f>IF($O$19=0,0,0.16)</f>
        <v>0</v>
      </c>
      <c r="H19" s="459">
        <f>IF($O$19=0,0,0.16)</f>
        <v>0</v>
      </c>
      <c r="I19" s="459">
        <f>IF($O$19=0,0,0.16)</f>
        <v>0</v>
      </c>
      <c r="J19" s="459">
        <f>IF($O$19=0,0,0.16)</f>
        <v>0</v>
      </c>
      <c r="K19" s="456"/>
      <c r="L19" s="459">
        <f>D19</f>
        <v>0</v>
      </c>
      <c r="M19" s="459">
        <f>IF($O$19=0,0,0.16)</f>
        <v>0</v>
      </c>
      <c r="O19" s="474">
        <v>0</v>
      </c>
      <c r="P19" s="83"/>
      <c r="S19" s="496"/>
    </row>
    <row r="20" spans="1:19" hidden="1" x14ac:dyDescent="0.2">
      <c r="A20" s="887"/>
      <c r="B20" s="874" t="s">
        <v>7</v>
      </c>
      <c r="C20" s="874"/>
      <c r="D20" s="474">
        <v>0.13</v>
      </c>
      <c r="E20" s="474">
        <v>0</v>
      </c>
      <c r="F20" s="474">
        <f t="shared" ref="F20:F31" si="0">D20+E20</f>
        <v>0.13</v>
      </c>
      <c r="G20" s="459"/>
      <c r="H20" s="459"/>
      <c r="I20" s="459">
        <f>O20/F20</f>
        <v>0</v>
      </c>
      <c r="J20" s="459">
        <f>O20/F20</f>
        <v>0</v>
      </c>
      <c r="K20" s="459">
        <f>(I12*I10*2)/(I10*I10*2)</f>
        <v>0.125</v>
      </c>
      <c r="L20" s="879">
        <f>ROUND((K20*F20)+(K21*F21),3)</f>
        <v>5.0999999999999997E-2</v>
      </c>
      <c r="M20" s="879">
        <f>O20/L20</f>
        <v>0</v>
      </c>
      <c r="O20" s="880">
        <v>0</v>
      </c>
      <c r="P20" s="83"/>
      <c r="S20" s="496"/>
    </row>
    <row r="21" spans="1:19" hidden="1" x14ac:dyDescent="0.2">
      <c r="A21" s="887"/>
      <c r="B21" s="874" t="s">
        <v>538</v>
      </c>
      <c r="C21" s="874"/>
      <c r="D21" s="474">
        <v>3.9E-2</v>
      </c>
      <c r="E21" s="474">
        <v>1E-3</v>
      </c>
      <c r="F21" s="474">
        <f t="shared" si="0"/>
        <v>0.04</v>
      </c>
      <c r="G21" s="459">
        <f>O20/F21</f>
        <v>0</v>
      </c>
      <c r="H21" s="459">
        <f>O20/F21</f>
        <v>0</v>
      </c>
      <c r="I21" s="459"/>
      <c r="J21" s="459"/>
      <c r="K21" s="459">
        <f>(I11*I10*2)/(I10*I10*2)</f>
        <v>0.875</v>
      </c>
      <c r="L21" s="879"/>
      <c r="M21" s="879"/>
      <c r="O21" s="880"/>
      <c r="P21" s="83"/>
      <c r="S21" s="496"/>
    </row>
    <row r="22" spans="1:19" x14ac:dyDescent="0.2">
      <c r="A22" s="887"/>
      <c r="B22" s="874" t="s">
        <v>7</v>
      </c>
      <c r="C22" s="874"/>
      <c r="D22" s="474">
        <v>0.13</v>
      </c>
      <c r="E22" s="474">
        <v>0</v>
      </c>
      <c r="F22" s="474">
        <f t="shared" si="0"/>
        <v>0.13</v>
      </c>
      <c r="G22" s="459"/>
      <c r="H22" s="459"/>
      <c r="I22" s="459">
        <f>O22/F22</f>
        <v>1.1538461538461537</v>
      </c>
      <c r="J22" s="459">
        <f>O22/F22</f>
        <v>1.1538461538461537</v>
      </c>
      <c r="K22" s="459">
        <f>(I12*G10*2)/(I10*G10*2)</f>
        <v>0.125</v>
      </c>
      <c r="L22" s="879">
        <f>ROUND((K22*F22)+(K23*F23),3)</f>
        <v>5.0999999999999997E-2</v>
      </c>
      <c r="M22" s="879">
        <f>ROUND(O22/L22,3)</f>
        <v>2.9409999999999998</v>
      </c>
      <c r="O22" s="880">
        <v>0.15</v>
      </c>
      <c r="P22" s="83"/>
      <c r="S22" s="496"/>
    </row>
    <row r="23" spans="1:19" x14ac:dyDescent="0.2">
      <c r="A23" s="887"/>
      <c r="B23" s="874" t="s">
        <v>538</v>
      </c>
      <c r="C23" s="874"/>
      <c r="D23" s="474">
        <v>3.9E-2</v>
      </c>
      <c r="E23" s="474">
        <v>1E-3</v>
      </c>
      <c r="F23" s="474">
        <f t="shared" si="0"/>
        <v>0.04</v>
      </c>
      <c r="G23" s="459">
        <f>O22/F23</f>
        <v>3.75</v>
      </c>
      <c r="H23" s="459">
        <f>O22/F23</f>
        <v>3.75</v>
      </c>
      <c r="I23" s="459"/>
      <c r="J23" s="459"/>
      <c r="K23" s="459">
        <f>(I11*G10*2)/(I10*G10*2)</f>
        <v>0.875</v>
      </c>
      <c r="L23" s="879"/>
      <c r="M23" s="879"/>
      <c r="O23" s="880"/>
      <c r="P23" s="83"/>
      <c r="S23" s="496"/>
    </row>
    <row r="24" spans="1:19" x14ac:dyDescent="0.2">
      <c r="A24" s="887"/>
      <c r="B24" s="874" t="s">
        <v>123</v>
      </c>
      <c r="C24" s="874"/>
      <c r="D24" s="474">
        <v>0.13</v>
      </c>
      <c r="E24" s="474">
        <v>0</v>
      </c>
      <c r="F24" s="474">
        <f t="shared" si="0"/>
        <v>0.13</v>
      </c>
      <c r="G24" s="459"/>
      <c r="H24" s="459">
        <f>O24/F24</f>
        <v>1.9230769230769229</v>
      </c>
      <c r="I24" s="459"/>
      <c r="J24" s="459">
        <f>$O$24/$F$24</f>
        <v>1.9230769230769229</v>
      </c>
      <c r="K24" s="459">
        <f>(G12*G10*2)/(G10*G10*2)</f>
        <v>0.13333333333333333</v>
      </c>
      <c r="L24" s="879">
        <f>ROUND((K24*F24)+(K25*F25),3)</f>
        <v>5.1999999999999998E-2</v>
      </c>
      <c r="M24" s="879">
        <f>ROUND(O24/L24,3)</f>
        <v>4.8079999999999998</v>
      </c>
      <c r="O24" s="880">
        <v>0.25</v>
      </c>
      <c r="P24" s="83"/>
      <c r="S24" s="496"/>
    </row>
    <row r="25" spans="1:19" x14ac:dyDescent="0.2">
      <c r="A25" s="887"/>
      <c r="B25" s="874" t="s">
        <v>538</v>
      </c>
      <c r="C25" s="874"/>
      <c r="D25" s="474">
        <v>3.9E-2</v>
      </c>
      <c r="E25" s="474">
        <v>1E-3</v>
      </c>
      <c r="F25" s="474">
        <f t="shared" si="0"/>
        <v>0.04</v>
      </c>
      <c r="G25" s="459">
        <f>O24/F25</f>
        <v>6.25</v>
      </c>
      <c r="H25" s="459"/>
      <c r="I25" s="459">
        <f>O24/F25</f>
        <v>6.25</v>
      </c>
      <c r="J25" s="459"/>
      <c r="K25" s="459">
        <f>(G11*G10*2)/(G10*G10*2)</f>
        <v>0.8666666666666667</v>
      </c>
      <c r="L25" s="879"/>
      <c r="M25" s="879"/>
      <c r="O25" s="880"/>
      <c r="P25" s="83"/>
      <c r="S25" s="496"/>
    </row>
    <row r="26" spans="1:19" hidden="1" x14ac:dyDescent="0.2">
      <c r="A26" s="887"/>
      <c r="B26" s="874" t="s">
        <v>499</v>
      </c>
      <c r="C26" s="874"/>
      <c r="D26" s="474">
        <v>0.15</v>
      </c>
      <c r="E26" s="474">
        <v>0</v>
      </c>
      <c r="F26" s="474">
        <f t="shared" si="0"/>
        <v>0.15</v>
      </c>
      <c r="G26" s="459">
        <f>O26/F26</f>
        <v>0</v>
      </c>
      <c r="H26" s="459">
        <f>O26/F26</f>
        <v>0</v>
      </c>
      <c r="I26" s="459">
        <f>O26/F26</f>
        <v>0</v>
      </c>
      <c r="J26" s="459">
        <f>O26/F26</f>
        <v>0</v>
      </c>
      <c r="K26" s="459"/>
      <c r="L26" s="477">
        <f>F26</f>
        <v>0.15</v>
      </c>
      <c r="M26" s="477">
        <f>O26/L26</f>
        <v>0</v>
      </c>
      <c r="O26" s="474">
        <v>0</v>
      </c>
      <c r="P26" s="83"/>
      <c r="S26" s="496"/>
    </row>
    <row r="27" spans="1:19" hidden="1" x14ac:dyDescent="0.2">
      <c r="A27" s="887"/>
      <c r="B27" s="874" t="s">
        <v>712</v>
      </c>
      <c r="C27" s="874"/>
      <c r="D27" s="474">
        <v>3.5999999999999997E-2</v>
      </c>
      <c r="E27" s="474">
        <v>1E-3</v>
      </c>
      <c r="F27" s="474">
        <f t="shared" si="0"/>
        <v>3.6999999999999998E-2</v>
      </c>
      <c r="G27" s="459">
        <f>$O$27/$F$27</f>
        <v>0</v>
      </c>
      <c r="H27" s="459">
        <f>$O$27/$F$27</f>
        <v>0</v>
      </c>
      <c r="I27" s="459">
        <f>$O$27/$F$27</f>
        <v>0</v>
      </c>
      <c r="J27" s="459">
        <f>$O$27/$F$27</f>
        <v>0</v>
      </c>
      <c r="K27" s="456"/>
      <c r="L27" s="477">
        <f>F27</f>
        <v>3.6999999999999998E-2</v>
      </c>
      <c r="M27" s="477">
        <f>O27/L27</f>
        <v>0</v>
      </c>
      <c r="O27" s="474">
        <v>0</v>
      </c>
      <c r="P27" s="83"/>
      <c r="S27" s="496"/>
    </row>
    <row r="28" spans="1:19" x14ac:dyDescent="0.2">
      <c r="A28" s="887"/>
      <c r="B28" s="874" t="s">
        <v>402</v>
      </c>
      <c r="C28" s="874"/>
      <c r="D28" s="474">
        <v>0.26</v>
      </c>
      <c r="E28" s="474">
        <v>0</v>
      </c>
      <c r="F28" s="474">
        <f t="shared" si="0"/>
        <v>0.26</v>
      </c>
      <c r="G28" s="459">
        <f>$O$28/$F$28</f>
        <v>3.8461538461538464E-2</v>
      </c>
      <c r="H28" s="459">
        <f>$O$28/$F$28</f>
        <v>3.8461538461538464E-2</v>
      </c>
      <c r="I28" s="459">
        <f>$O$28/$F$28</f>
        <v>3.8461538461538464E-2</v>
      </c>
      <c r="J28" s="459">
        <f>$O$28/$F$28</f>
        <v>3.8461538461538464E-2</v>
      </c>
      <c r="K28" s="456"/>
      <c r="L28" s="459">
        <f>F28</f>
        <v>0.26</v>
      </c>
      <c r="M28" s="477">
        <f>O28/L28</f>
        <v>3.8461538461538464E-2</v>
      </c>
      <c r="O28" s="474">
        <v>0.01</v>
      </c>
      <c r="P28" s="83"/>
      <c r="S28" s="496"/>
    </row>
    <row r="29" spans="1:19" hidden="1" x14ac:dyDescent="0.2">
      <c r="A29" s="887"/>
      <c r="B29" s="874"/>
      <c r="C29" s="874"/>
      <c r="D29" s="601">
        <v>1</v>
      </c>
      <c r="E29" s="474">
        <v>0</v>
      </c>
      <c r="F29" s="474">
        <f t="shared" si="0"/>
        <v>1</v>
      </c>
      <c r="G29" s="459">
        <f>$O$29/$F$29</f>
        <v>0</v>
      </c>
      <c r="H29" s="459">
        <f>$O$29/$F$29</f>
        <v>0</v>
      </c>
      <c r="I29" s="459">
        <f>$O$29/$F$29</f>
        <v>0</v>
      </c>
      <c r="J29" s="459">
        <f>$O$29/$F$29</f>
        <v>0</v>
      </c>
      <c r="K29" s="456"/>
      <c r="L29" s="459">
        <v>1</v>
      </c>
      <c r="M29" s="477"/>
      <c r="O29" s="474"/>
      <c r="P29" s="83"/>
      <c r="S29" s="496"/>
    </row>
    <row r="30" spans="1:19" hidden="1" x14ac:dyDescent="0.2">
      <c r="A30" s="887"/>
      <c r="B30" s="874"/>
      <c r="C30" s="874"/>
      <c r="D30" s="601">
        <v>1</v>
      </c>
      <c r="E30" s="474">
        <v>0</v>
      </c>
      <c r="F30" s="474">
        <f t="shared" si="0"/>
        <v>1</v>
      </c>
      <c r="G30" s="459">
        <f>$O$30/$F$30</f>
        <v>0</v>
      </c>
      <c r="H30" s="459">
        <f>$O$30/$F$30</f>
        <v>0</v>
      </c>
      <c r="I30" s="459">
        <f>$O$30/$F$30</f>
        <v>0</v>
      </c>
      <c r="J30" s="459">
        <f>$O$30/$F$30</f>
        <v>0</v>
      </c>
      <c r="K30" s="456"/>
      <c r="L30" s="459">
        <v>1</v>
      </c>
      <c r="M30" s="879">
        <f>O30/L30</f>
        <v>0</v>
      </c>
      <c r="O30" s="601"/>
      <c r="P30" s="83"/>
      <c r="S30" s="496"/>
    </row>
    <row r="31" spans="1:19" hidden="1" x14ac:dyDescent="0.2">
      <c r="A31" s="887"/>
      <c r="B31" s="874"/>
      <c r="C31" s="874"/>
      <c r="D31" s="601">
        <v>1</v>
      </c>
      <c r="E31" s="474">
        <v>0</v>
      </c>
      <c r="F31" s="474">
        <f t="shared" si="0"/>
        <v>1</v>
      </c>
      <c r="G31" s="459">
        <f>$O$31/$F$31</f>
        <v>0</v>
      </c>
      <c r="H31" s="459">
        <f>$O$31/$F$31</f>
        <v>0</v>
      </c>
      <c r="I31" s="459">
        <f>$O$31/$F$31</f>
        <v>0</v>
      </c>
      <c r="J31" s="459">
        <f>$O$31/$F$31</f>
        <v>0</v>
      </c>
      <c r="K31" s="456"/>
      <c r="L31" s="459">
        <v>1</v>
      </c>
      <c r="M31" s="879"/>
      <c r="O31" s="601"/>
      <c r="P31" s="83"/>
      <c r="S31" s="496"/>
    </row>
    <row r="32" spans="1:19" x14ac:dyDescent="0.2">
      <c r="A32" s="86"/>
      <c r="F32" s="349"/>
      <c r="G32" s="459">
        <f>SUM(G18:G31)</f>
        <v>10.038461538461538</v>
      </c>
      <c r="H32" s="459">
        <f>SUM(H18:H31)</f>
        <v>5.7115384615384617</v>
      </c>
      <c r="I32" s="459">
        <f>SUM(I18:I31)</f>
        <v>7.4423076923076916</v>
      </c>
      <c r="J32" s="459">
        <f>SUM(J18:J31)</f>
        <v>3.115384615384615</v>
      </c>
      <c r="K32" s="935"/>
      <c r="L32" s="935"/>
      <c r="M32" s="935"/>
      <c r="P32" s="83"/>
      <c r="S32" s="496"/>
    </row>
    <row r="33" spans="1:24" x14ac:dyDescent="0.2">
      <c r="A33" s="86"/>
      <c r="C33" s="343"/>
      <c r="D33" s="377"/>
      <c r="E33" s="377"/>
      <c r="F33" s="377"/>
      <c r="G33" s="879">
        <f>ROUND((G15*G32)+(H15*H32)+(I15*I32)+(J15*J32),3)</f>
        <v>9.1509999999999998</v>
      </c>
      <c r="H33" s="879"/>
      <c r="I33" s="879"/>
      <c r="J33" s="879"/>
      <c r="K33" s="936">
        <f>SUM(M18:M31)</f>
        <v>7.787461538461538</v>
      </c>
      <c r="L33" s="936"/>
      <c r="M33" s="936"/>
      <c r="P33" s="83"/>
      <c r="S33" s="496"/>
      <c r="V33" s="2">
        <v>0.11600000000000001</v>
      </c>
      <c r="W33" s="2">
        <v>0.05</v>
      </c>
      <c r="X33" s="2">
        <f>V33*W33</f>
        <v>5.8000000000000005E-3</v>
      </c>
    </row>
    <row r="34" spans="1:24" ht="12.75" customHeight="1" x14ac:dyDescent="0.2">
      <c r="A34" s="86"/>
      <c r="C34" s="378"/>
      <c r="D34" s="379"/>
      <c r="E34" s="377"/>
      <c r="F34" s="377"/>
      <c r="G34" s="380"/>
      <c r="H34" s="380"/>
      <c r="I34" s="380"/>
      <c r="J34" s="380"/>
      <c r="K34" s="380"/>
      <c r="L34" s="380"/>
      <c r="M34" s="380"/>
      <c r="O34" s="343" t="s">
        <v>106</v>
      </c>
      <c r="P34" s="83"/>
      <c r="S34" s="496"/>
      <c r="V34" s="2">
        <v>0.13400000000000001</v>
      </c>
      <c r="W34" s="2">
        <v>4.7E-2</v>
      </c>
      <c r="X34" s="2">
        <f>V34*W34</f>
        <v>6.2980000000000006E-3</v>
      </c>
    </row>
    <row r="35" spans="1:24" ht="15.75" x14ac:dyDescent="0.2">
      <c r="A35" s="86"/>
      <c r="O35" s="350">
        <f>SUM(O18:O31)*1000</f>
        <v>410.00000000000006</v>
      </c>
      <c r="P35" s="382" t="s">
        <v>120</v>
      </c>
      <c r="S35" s="496"/>
      <c r="V35" s="2">
        <f>SUM(V33:V34)</f>
        <v>0.25</v>
      </c>
      <c r="W35" s="2">
        <f>X35/V35</f>
        <v>4.8392000000000004E-2</v>
      </c>
      <c r="X35" s="2">
        <f>SUM(X33:X34)</f>
        <v>1.2098000000000001E-2</v>
      </c>
    </row>
    <row r="36" spans="1:24" ht="6.75" customHeight="1" x14ac:dyDescent="0.2">
      <c r="A36" s="86"/>
      <c r="P36" s="83"/>
      <c r="S36" s="496"/>
    </row>
    <row r="37" spans="1:24" ht="21" x14ac:dyDescent="0.2">
      <c r="A37" s="86"/>
      <c r="F37" s="902" t="s">
        <v>93</v>
      </c>
      <c r="G37" s="902"/>
      <c r="H37" s="902"/>
      <c r="I37" s="903">
        <f>ROUND(1/((G33+K33)/2+K5+K7+K6),2)</f>
        <v>0.12</v>
      </c>
      <c r="J37" s="904"/>
      <c r="K37" s="905" t="s">
        <v>306</v>
      </c>
      <c r="L37" s="906"/>
      <c r="P37" s="83"/>
      <c r="S37" s="496"/>
    </row>
    <row r="38" spans="1:24" x14ac:dyDescent="0.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  <c r="S38" s="497"/>
    </row>
  </sheetData>
  <mergeCells count="64">
    <mergeCell ref="M1:P1"/>
    <mergeCell ref="B3:C3"/>
    <mergeCell ref="D3:O3"/>
    <mergeCell ref="D5:I7"/>
    <mergeCell ref="K5:L5"/>
    <mergeCell ref="K6:L6"/>
    <mergeCell ref="K7:L7"/>
    <mergeCell ref="C11:F12"/>
    <mergeCell ref="G11:H11"/>
    <mergeCell ref="I11:J11"/>
    <mergeCell ref="G12:H12"/>
    <mergeCell ref="I12:J12"/>
    <mergeCell ref="G9:H9"/>
    <mergeCell ref="I9:J9"/>
    <mergeCell ref="C10:F10"/>
    <mergeCell ref="G10:H10"/>
    <mergeCell ref="I10:J10"/>
    <mergeCell ref="A13:B13"/>
    <mergeCell ref="C13:D13"/>
    <mergeCell ref="E13:F13"/>
    <mergeCell ref="G13:J13"/>
    <mergeCell ref="A14:B14"/>
    <mergeCell ref="C14:D14"/>
    <mergeCell ref="A15:F15"/>
    <mergeCell ref="G16:J16"/>
    <mergeCell ref="K16:M16"/>
    <mergeCell ref="B17:C17"/>
    <mergeCell ref="A18:A19"/>
    <mergeCell ref="B18:C18"/>
    <mergeCell ref="B19:C19"/>
    <mergeCell ref="A20:A21"/>
    <mergeCell ref="B20:C20"/>
    <mergeCell ref="L20:L21"/>
    <mergeCell ref="M20:M21"/>
    <mergeCell ref="O20:O21"/>
    <mergeCell ref="B21:C21"/>
    <mergeCell ref="A22:A23"/>
    <mergeCell ref="B22:C22"/>
    <mergeCell ref="L22:L23"/>
    <mergeCell ref="M22:M23"/>
    <mergeCell ref="O22:O23"/>
    <mergeCell ref="B23:C23"/>
    <mergeCell ref="A24:A25"/>
    <mergeCell ref="B24:C24"/>
    <mergeCell ref="L24:L25"/>
    <mergeCell ref="M24:M25"/>
    <mergeCell ref="O24:O25"/>
    <mergeCell ref="B25:C25"/>
    <mergeCell ref="A26:A27"/>
    <mergeCell ref="B26:C26"/>
    <mergeCell ref="B27:C27"/>
    <mergeCell ref="A28:A29"/>
    <mergeCell ref="B28:C28"/>
    <mergeCell ref="B29:C29"/>
    <mergeCell ref="M30:M31"/>
    <mergeCell ref="B31:C31"/>
    <mergeCell ref="K32:M32"/>
    <mergeCell ref="G33:J33"/>
    <mergeCell ref="K33:M33"/>
    <mergeCell ref="F37:H37"/>
    <mergeCell ref="I37:J37"/>
    <mergeCell ref="K37:L37"/>
    <mergeCell ref="A30:A31"/>
    <mergeCell ref="B30:C30"/>
  </mergeCells>
  <dataValidations count="1">
    <dataValidation type="list" allowBlank="1" showInputMessage="1" showErrorMessage="1" sqref="K6:L6" xr:uid="{C83D8DF3-7A29-4A75-A7D6-9DC0009552BB}">
      <formula1>"0,0,04,0,0,13"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22</vt:i4>
      </vt:variant>
    </vt:vector>
  </HeadingPairs>
  <TitlesOfParts>
    <vt:vector size="64" baseType="lpstr">
      <vt:lpstr>4.lapa</vt:lpstr>
      <vt:lpstr>5.lapa</vt:lpstr>
      <vt:lpstr>6.lapa</vt:lpstr>
      <vt:lpstr>7.lapa</vt:lpstr>
      <vt:lpstr>konstr2</vt:lpstr>
      <vt:lpstr>jkl</vt:lpstr>
      <vt:lpstr>siena2xx</vt:lpstr>
      <vt:lpstr>jumts2x</vt:lpstr>
      <vt:lpstr>jumts2xx</vt:lpstr>
      <vt:lpstr>jumts2xxx</vt:lpstr>
      <vt:lpstr>grida2</vt:lpstr>
      <vt:lpstr>kokagrida</vt:lpstr>
      <vt:lpstr>pagrbs_apkur</vt:lpstr>
      <vt:lpstr>grida_z&gt;5</vt:lpstr>
      <vt:lpstr>grida_z&lt;0,5m</vt:lpstr>
      <vt:lpstr>LBN</vt:lpstr>
      <vt:lpstr>IIIIIIIIIIIIIIIIIIIIIIII</vt:lpstr>
      <vt:lpstr>2x_siena_2 (s2)</vt:lpstr>
      <vt:lpstr>Sheet2</vt:lpstr>
      <vt:lpstr>G-2</vt:lpstr>
      <vt:lpstr>grida virs pagraba z virs 0.5</vt:lpstr>
      <vt:lpstr>jumts</vt:lpstr>
      <vt:lpstr>mansards 1x</vt:lpstr>
      <vt:lpstr>Sheet1</vt:lpstr>
      <vt:lpstr>jumt</vt:lpstr>
      <vt:lpstr>J - 2_x</vt:lpstr>
      <vt:lpstr>siena 1x</vt:lpstr>
      <vt:lpstr>benini 2xx</vt:lpstr>
      <vt:lpstr>jumts   2x</vt:lpstr>
      <vt:lpstr>grida uz grunts2</vt:lpstr>
      <vt:lpstr>2+1_siena</vt:lpstr>
      <vt:lpstr>grida_garaza</vt:lpstr>
      <vt:lpstr>2x_jumts_006</vt:lpstr>
      <vt:lpstr>G-4</vt:lpstr>
      <vt:lpstr>grīda uz grunts bez sanu izol</vt:lpstr>
      <vt:lpstr>1x_benini</vt:lpstr>
      <vt:lpstr>platibas</vt:lpstr>
      <vt:lpstr>grida vedin</vt:lpstr>
      <vt:lpstr>n-x_mansards</vt:lpstr>
      <vt:lpstr>1x_jumts</vt:lpstr>
      <vt:lpstr>3x_grida uz grunts</vt:lpstr>
      <vt:lpstr>grida uz grunts ar vert izol</vt:lpstr>
      <vt:lpstr>'2x_siena_2 (s2)'!Print_Area</vt:lpstr>
      <vt:lpstr>'4.lapa'!Print_Area</vt:lpstr>
      <vt:lpstr>'5.lapa'!Print_Area</vt:lpstr>
      <vt:lpstr>'6.lapa'!Print_Area</vt:lpstr>
      <vt:lpstr>'7.lapa'!Print_Area</vt:lpstr>
      <vt:lpstr>'G-2'!Print_Area</vt:lpstr>
      <vt:lpstr>'grida_z&lt;0,5m'!Print_Area</vt:lpstr>
      <vt:lpstr>'grida_z&gt;5'!Print_Area</vt:lpstr>
      <vt:lpstr>grida2!Print_Area</vt:lpstr>
      <vt:lpstr>IIIIIIIIIIIIIIIIIIIIIIII!Print_Area</vt:lpstr>
      <vt:lpstr>jkl!Print_Area</vt:lpstr>
      <vt:lpstr>jumt!Print_Area</vt:lpstr>
      <vt:lpstr>jumts!Print_Area</vt:lpstr>
      <vt:lpstr>jumts2x!Print_Area</vt:lpstr>
      <vt:lpstr>jumts2xx!Print_Area</vt:lpstr>
      <vt:lpstr>jumts2xxx!Print_Area</vt:lpstr>
      <vt:lpstr>kokagrida!Print_Area</vt:lpstr>
      <vt:lpstr>konstr2!Print_Area</vt:lpstr>
      <vt:lpstr>'mansards 1x'!Print_Area</vt:lpstr>
      <vt:lpstr>pagrbs_apkur!Print_Area</vt:lpstr>
      <vt:lpstr>'siena 1x'!Print_Area</vt:lpstr>
      <vt:lpstr>siena2xx!Print_Area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Matīss Laicāns</cp:lastModifiedBy>
  <cp:lastPrinted>2022-07-25T06:05:09Z</cp:lastPrinted>
  <dcterms:created xsi:type="dcterms:W3CDTF">2010-11-16T20:05:53Z</dcterms:created>
  <dcterms:modified xsi:type="dcterms:W3CDTF">2024-01-18T20:38:08Z</dcterms:modified>
</cp:coreProperties>
</file>