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2-2024\PTY4614 - CAPSTONE\Grupos\Grupo 6 OSSIO CABELLO LEAL\Fase 3\Evidencias grupales\"/>
    </mc:Choice>
  </mc:AlternateContent>
  <xr:revisionPtr revIDLastSave="0" documentId="13_ncr:1_{4581953C-E081-462A-AADE-141F113DA6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G41" i="1"/>
  <c r="E41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E80" i="1"/>
  <c r="J79" i="1"/>
  <c r="K79" i="1" s="1"/>
  <c r="I79" i="1"/>
  <c r="F79" i="1"/>
  <c r="G79" i="1" s="1"/>
  <c r="E79" i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G67" i="1"/>
  <c r="E67" i="1"/>
  <c r="J66" i="1"/>
  <c r="K66" i="1" s="1"/>
  <c r="I66" i="1"/>
  <c r="F66" i="1"/>
  <c r="G66" i="1" s="1"/>
  <c r="E66" i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E54" i="1"/>
  <c r="J53" i="1"/>
  <c r="K53" i="1" s="1"/>
  <c r="I53" i="1"/>
  <c r="F53" i="1"/>
  <c r="G53" i="1" s="1"/>
  <c r="E53" i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J40" i="1"/>
  <c r="K40" i="1" s="1"/>
  <c r="G40" i="1"/>
  <c r="E40" i="1"/>
  <c r="J39" i="1"/>
  <c r="K39" i="1" s="1"/>
  <c r="I39" i="1"/>
  <c r="F39" i="1"/>
  <c r="G39" i="1" s="1"/>
  <c r="E39" i="1"/>
  <c r="J32" i="1"/>
  <c r="K32" i="1" s="1"/>
  <c r="H32" i="1"/>
  <c r="I32" i="1" s="1"/>
  <c r="F32" i="1"/>
  <c r="G32" i="1" s="1"/>
  <c r="E32" i="1"/>
  <c r="J31" i="1"/>
  <c r="K31" i="1" s="1"/>
  <c r="H31" i="1"/>
  <c r="I31" i="1" s="1"/>
  <c r="F31" i="1"/>
  <c r="G31" i="1" s="1"/>
  <c r="E31" i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G28" i="1"/>
  <c r="E28" i="1"/>
  <c r="J27" i="1"/>
  <c r="K27" i="1" s="1"/>
  <c r="I27" i="1"/>
  <c r="F27" i="1"/>
  <c r="G27" i="1" s="1"/>
  <c r="E27" i="1"/>
  <c r="J26" i="1"/>
  <c r="K26" i="1" s="1"/>
  <c r="H26" i="1"/>
  <c r="I26" i="1" s="1"/>
  <c r="F26" i="1"/>
  <c r="G26" i="1" s="1"/>
  <c r="E26" i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E13" i="1" l="1"/>
  <c r="E14" i="1"/>
  <c r="E15" i="1"/>
  <c r="D16" i="1"/>
  <c r="E16" i="1" s="1"/>
  <c r="E17" i="1"/>
  <c r="E18" i="1"/>
  <c r="E19" i="1"/>
  <c r="G17" i="1" l="1"/>
  <c r="H17" i="1"/>
  <c r="I17" i="1" s="1"/>
  <c r="J17" i="1"/>
  <c r="K17" i="1" s="1"/>
  <c r="J19" i="1"/>
  <c r="K19" i="1" s="1"/>
  <c r="H19" i="1"/>
  <c r="I19" i="1" s="1"/>
  <c r="G19" i="1"/>
  <c r="J18" i="1"/>
  <c r="K18" i="1" s="1"/>
  <c r="H18" i="1"/>
  <c r="I18" i="1" s="1"/>
  <c r="G18" i="1"/>
  <c r="J16" i="1"/>
  <c r="K16" i="1" s="1"/>
  <c r="H16" i="1"/>
  <c r="I16" i="1" s="1"/>
  <c r="F16" i="1"/>
  <c r="G16" i="1" s="1"/>
  <c r="J15" i="1"/>
  <c r="K15" i="1" s="1"/>
  <c r="H15" i="1"/>
  <c r="I15" i="1" s="1"/>
  <c r="G15" i="1"/>
  <c r="J14" i="1"/>
  <c r="I14" i="1"/>
  <c r="G14" i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<sst xmlns="http://schemas.openxmlformats.org/spreadsheetml/2006/main" count="203" uniqueCount="68">
  <si>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</si>
  <si>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</si>
  <si>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</si>
  <si>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</si>
  <si>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</si>
  <si>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</si>
  <si>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</si>
  <si>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</si>
  <si>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</si>
  <si>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</si>
  <si>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</si>
  <si>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</si>
  <si>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</si>
  <si>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</si>
  <si>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</si>
  <si>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</si>
  <si>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</si>
  <si>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</si>
  <si>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</si>
  <si>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</si>
  <si>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</si>
  <si>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</si>
  <si>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</si>
  <si>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</si>
  <si>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</si>
  <si>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</si>
  <si>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</si>
  <si>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</si>
  <si>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</si>
  <si>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</si>
  <si>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</si>
  <si>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</si>
  <si>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</si>
  <si>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</si>
  <si>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</si>
  <si>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</si>
  <si>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</si>
  <si>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</si>
  <si>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</si>
  <si>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</si>
  <si>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</si>
  <si>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</si>
  <si>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</si>
  <si>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</si>
  <si>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</si>
  <si>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</si>
  <si>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</si>
  <si>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</si>
  <si>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</si>
  <si>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</si>
  <si>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</si>
  <si>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</si>
  <si>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</si>
  <si>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</si>
  <si>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</si>
  <si>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</si>
  <si>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</si>
  <si>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</si>
  <si>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</si>
  <si>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</si>
  <si>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</si>
  <si>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</si>
  <si>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</si>
  <si>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ALEJANDRO CABELLO GUTIERREZ</t>
  </si>
  <si>
    <t>MATIAS LEAL TAPIA</t>
  </si>
  <si>
    <t>MATIAS OSSIO CAMPOS</t>
  </si>
  <si>
    <t xml:space="preserve">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</si>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</sst>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F84" sqref="F84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9">
        <v>0.7</v>
      </c>
      <c r="D2" s="32">
        <v>0.3</v>
      </c>
      <c r="E2" s="33">
        <v>1</v>
      </c>
    </row>
    <row r="3" spans="1:11" ht="30" x14ac:dyDescent="0.25">
      <c r="B3" s="2" t="s">
        <v>0</v>
      </c>
      <c r="C3" s="30" t="s">
        <v>1</v>
      </c>
      <c r="D3" s="34" t="s">
        <v>2</v>
      </c>
      <c r="E3" s="35" t="s">
        <v>3</v>
      </c>
    </row>
    <row r="4" spans="1:11" x14ac:dyDescent="0.25">
      <c r="A4" s="3">
        <v>1</v>
      </c>
      <c r="B4" s="16" t="s">
        <v>63</v>
      </c>
      <c r="C4" s="31">
        <f>C21</f>
        <v>5.0999999999999996</v>
      </c>
      <c r="D4" s="37">
        <f>C60</f>
        <v>5.0999999999999996</v>
      </c>
      <c r="E4" s="36">
        <f>C4*C$2+D4*D$2</f>
        <v>5.0999999999999996</v>
      </c>
    </row>
    <row r="5" spans="1:11" x14ac:dyDescent="0.25">
      <c r="A5" s="3">
        <v>2</v>
      </c>
      <c r="B5" s="16" t="s">
        <v>64</v>
      </c>
      <c r="C5" s="31">
        <f>C34</f>
        <v>5.0999999999999996</v>
      </c>
      <c r="D5" s="37">
        <f>C73</f>
        <v>5.0999999999999996</v>
      </c>
      <c r="E5" s="36">
        <f t="shared" ref="E5:E6" si="0">C5*C$2+D5*D$2</f>
        <v>5.0999999999999996</v>
      </c>
    </row>
    <row r="6" spans="1:11" x14ac:dyDescent="0.25">
      <c r="A6" s="3">
        <v>3</v>
      </c>
      <c r="B6" s="16" t="s">
        <v>65</v>
      </c>
      <c r="C6" s="31">
        <f>C47</f>
        <v>5.0999999999999996</v>
      </c>
      <c r="D6" s="37">
        <f>C86</f>
        <v>5.0999999999999996</v>
      </c>
      <c r="E6" s="36">
        <f t="shared" si="0"/>
        <v>5.0999999999999996</v>
      </c>
    </row>
    <row r="11" spans="1:11" ht="18.75" outlineLevel="1" x14ac:dyDescent="0.25">
      <c r="A11" s="39" t="s">
        <v>4</v>
      </c>
      <c r="B11" s="11" t="str">
        <f>B4</f>
        <v>ALEJANDRO CABELLO GUTIERREZ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5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25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 t="s">
        <v>67</v>
      </c>
      <c r="E13" s="12">
        <f>IF(D13="X",100*0.15,"")</f>
        <v>15</v>
      </c>
      <c r="F13" s="12" t="s">
        <v>66</v>
      </c>
      <c r="G13" s="12" t="str">
        <f>IF(F13="X",60*0.15,"")</f>
        <v/>
      </c>
      <c r="H13" s="12" t="str">
        <f t="shared" ref="H13:H17" si="1">IF($C13=ML,"X","")</f>
        <v/>
      </c>
      <c r="I13" s="12" t="str">
        <f>IF(H13="X",30*0.15,"")</f>
        <v/>
      </c>
      <c r="J13" s="12" t="str">
        <f t="shared" ref="J13:J17" si="2">IF($C13=NL,"X","")</f>
        <v/>
      </c>
      <c r="K13" s="12" t="str">
        <f t="shared" ref="K13:K17" si="3">IF($J13="X",0,"")</f>
        <v/>
      </c>
    </row>
    <row r="14" spans="1:11" ht="26.45" customHeight="1" outlineLevel="1" x14ac:dyDescent="0.25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">
        <v>66</v>
      </c>
      <c r="E14" s="12" t="str">
        <f>IF(D14="X",100*0.25,"")</f>
        <v/>
      </c>
      <c r="F14" s="12" t="s">
        <v>66</v>
      </c>
      <c r="G14" s="12" t="str">
        <f>IF(F14="X",60*0.25,"")</f>
        <v/>
      </c>
      <c r="H14" s="12" t="s">
        <v>67</v>
      </c>
      <c r="I14" s="12">
        <f>IF(H14="X",30*0.25,"")</f>
        <v>7.5</v>
      </c>
      <c r="J14" s="12" t="str">
        <f t="shared" si="2"/>
        <v/>
      </c>
      <c r="K14" s="12" t="str">
        <f t="shared" si="3"/>
        <v/>
      </c>
    </row>
    <row r="15" spans="1:11" ht="24" outlineLevel="1" x14ac:dyDescent="0.25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 t="s">
        <v>66</v>
      </c>
      <c r="E15" s="12" t="str">
        <f>IF(D15="X",100*0.2,"")</f>
        <v/>
      </c>
      <c r="F15" s="12" t="s">
        <v>67</v>
      </c>
      <c r="G15" s="12">
        <f>IF(F15="X",60*0.2,"")</f>
        <v>12</v>
      </c>
      <c r="H15" s="12" t="str">
        <f t="shared" si="1"/>
        <v/>
      </c>
      <c r="I15" s="12" t="str">
        <f>IF(H15="X",30*0.2,"")</f>
        <v/>
      </c>
      <c r="J15" s="12" t="str">
        <f t="shared" si="2"/>
        <v/>
      </c>
      <c r="K15" s="12" t="str">
        <f t="shared" si="3"/>
        <v/>
      </c>
    </row>
    <row r="16" spans="1:11" ht="24" outlineLevel="1" x14ac:dyDescent="0.25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ref="D13:D17" si="4">IF($C16=CL,"X","")</f>
        <v>X</v>
      </c>
      <c r="E16" s="12">
        <f>IF(D16="X",100*0.05,"")</f>
        <v>5</v>
      </c>
      <c r="F16" s="12" t="str">
        <f t="shared" ref="F13:F17" si="5">IF($C16=L,"X","")</f>
        <v/>
      </c>
      <c r="G16" s="12" t="str">
        <f>IF(F16="X",60*0.05,"")</f>
        <v/>
      </c>
      <c r="H16" s="12" t="str">
        <f t="shared" si="1"/>
        <v/>
      </c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4" outlineLevel="1" x14ac:dyDescent="0.25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 t="s">
        <v>67</v>
      </c>
      <c r="E17" s="12">
        <f>IF(D17="X",100*0.05,"")</f>
        <v>5</v>
      </c>
      <c r="F17" s="12" t="s">
        <v>66</v>
      </c>
      <c r="G17" s="12" t="str">
        <f>IF(F17="X",60*0.05,"")</f>
        <v/>
      </c>
      <c r="H17" s="12" t="str">
        <f t="shared" si="1"/>
        <v/>
      </c>
      <c r="I17" s="12" t="str">
        <f>IF(H17="X",30*0.05,"")</f>
        <v/>
      </c>
      <c r="J17" s="12" t="str">
        <f t="shared" si="2"/>
        <v/>
      </c>
      <c r="K17" s="12" t="str">
        <f t="shared" si="3"/>
        <v/>
      </c>
    </row>
    <row r="18" spans="1:11" ht="36" outlineLevel="1" x14ac:dyDescent="0.25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">
        <v>67</v>
      </c>
      <c r="E18" s="12">
        <f>IF(D18="X",100*0.2,"")</f>
        <v>20</v>
      </c>
      <c r="F18" s="12" t="s">
        <v>66</v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25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 t="s">
        <v>67</v>
      </c>
      <c r="E19" s="12">
        <f>IF(D19="X",100*0.1,"")</f>
        <v>10</v>
      </c>
      <c r="F19" s="12" t="s">
        <v>66</v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">
      <c r="A20" s="40"/>
      <c r="B20" s="18" t="s">
        <v>12</v>
      </c>
      <c r="C20" s="22">
        <f>E20+G20+I20+K20</f>
        <v>74.5</v>
      </c>
      <c r="D20" s="13"/>
      <c r="E20" s="13">
        <f>SUM(E13:E19)</f>
        <v>55</v>
      </c>
      <c r="F20" s="13"/>
      <c r="G20" s="13">
        <f>SUM(G13:G19)</f>
        <v>12</v>
      </c>
      <c r="H20" s="13"/>
      <c r="I20" s="13">
        <f>SUM(I13:I19)</f>
        <v>7.5</v>
      </c>
      <c r="J20" s="13"/>
      <c r="K20" s="13">
        <f>SUM(K13:K19)</f>
        <v>0</v>
      </c>
    </row>
    <row r="21" spans="1:11" ht="15.75" customHeight="1" outlineLevel="1" x14ac:dyDescent="0.3">
      <c r="A21" s="42"/>
      <c r="B21" s="21" t="s">
        <v>13</v>
      </c>
      <c r="C21" s="14">
        <f>VLOOKUP(C20,ESCALA_IEP!A2:B202,2,FALSE)</f>
        <v>5.0999999999999996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39" t="s">
        <v>4</v>
      </c>
      <c r="B24" s="11" t="str">
        <f>B5</f>
        <v>MATIAS LEAL TAPIA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5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5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 t="s">
        <v>67</v>
      </c>
      <c r="E26" s="12">
        <f>IF(D26="X",100*0.15,"")</f>
        <v>15</v>
      </c>
      <c r="F26" s="12" t="str">
        <f t="shared" ref="F26:F30" si="7">IF($C26=L,"X","")</f>
        <v/>
      </c>
      <c r="G26" s="12" t="str">
        <f>IF(F26="X",60*0.15,"")</f>
        <v/>
      </c>
      <c r="H26" s="12" t="str">
        <f t="shared" ref="H26:H30" si="8">IF($C26=ML,"X","")</f>
        <v/>
      </c>
      <c r="I26" s="12" t="str">
        <f>IF(H26="X",30*0.15,"")</f>
        <v/>
      </c>
      <c r="J26" s="12" t="str">
        <f t="shared" ref="J26:J30" si="9">IF($C26=NL,"X","")</f>
        <v/>
      </c>
      <c r="K26" s="12" t="str">
        <f t="shared" ref="K26:K32" si="10">IF($J26="X",0,"")</f>
        <v/>
      </c>
    </row>
    <row r="27" spans="1:11" ht="24" customHeight="1" x14ac:dyDescent="0.25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">
        <v>66</v>
      </c>
      <c r="E27" s="12" t="str">
        <f>IF(D27="X",100*0.25,"")</f>
        <v/>
      </c>
      <c r="F27" s="12" t="str">
        <f t="shared" si="7"/>
        <v/>
      </c>
      <c r="G27" s="12" t="str">
        <f>IF(F27="X",60*0.25,"")</f>
        <v/>
      </c>
      <c r="H27" s="12" t="s">
        <v>67</v>
      </c>
      <c r="I27" s="12">
        <f>IF(H27="X",30*0.25,"")</f>
        <v>7.5</v>
      </c>
      <c r="J27" s="12" t="str">
        <f t="shared" si="9"/>
        <v/>
      </c>
      <c r="K27" s="12" t="str">
        <f t="shared" si="10"/>
        <v/>
      </c>
    </row>
    <row r="28" spans="1:11" ht="24" customHeight="1" x14ac:dyDescent="0.25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 t="s">
        <v>66</v>
      </c>
      <c r="E28" s="12" t="str">
        <f>IF(D28="X",100*0.2,"")</f>
        <v/>
      </c>
      <c r="F28" s="12" t="s">
        <v>67</v>
      </c>
      <c r="G28" s="12">
        <f>IF(F28="X",60*0.2,"")</f>
        <v>12</v>
      </c>
      <c r="H28" s="12" t="str">
        <f t="shared" si="8"/>
        <v/>
      </c>
      <c r="I28" s="12" t="str">
        <f>IF(H28="X",30*0.2,"")</f>
        <v/>
      </c>
      <c r="J28" s="12" t="str">
        <f t="shared" si="9"/>
        <v/>
      </c>
      <c r="K28" s="12" t="str">
        <f t="shared" si="10"/>
        <v/>
      </c>
    </row>
    <row r="29" spans="1:11" ht="24" customHeight="1" x14ac:dyDescent="0.25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ref="D26:D30" si="11">IF($C29=CL,"X","")</f>
        <v>X</v>
      </c>
      <c r="E29" s="12">
        <f>IF(D29="X",100*0.05,"")</f>
        <v>5</v>
      </c>
      <c r="F29" s="12" t="str">
        <f t="shared" si="7"/>
        <v/>
      </c>
      <c r="G29" s="12" t="str">
        <f>IF(F29="X",60*0.05,"")</f>
        <v/>
      </c>
      <c r="H29" s="12" t="str">
        <f t="shared" si="8"/>
        <v/>
      </c>
      <c r="I29" s="12" t="str">
        <f>IF(H29="X",30*0.05,"")</f>
        <v/>
      </c>
      <c r="J29" s="12" t="str">
        <f t="shared" si="9"/>
        <v/>
      </c>
      <c r="K29" s="12" t="str">
        <f t="shared" si="10"/>
        <v/>
      </c>
    </row>
    <row r="30" spans="1:11" ht="24" customHeight="1" x14ac:dyDescent="0.25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 t="str">
        <f t="shared" si="11"/>
        <v>X</v>
      </c>
      <c r="E30" s="12">
        <f>IF(D30="X",100*0.05,"")</f>
        <v>5</v>
      </c>
      <c r="F30" s="12" t="str">
        <f t="shared" si="7"/>
        <v/>
      </c>
      <c r="G30" s="12" t="str">
        <f>IF(F30="X",60*0.05,"")</f>
        <v/>
      </c>
      <c r="H30" s="12" t="str">
        <f t="shared" si="8"/>
        <v/>
      </c>
      <c r="I30" s="12" t="str">
        <f>IF(H30="X",30*0.05,"")</f>
        <v/>
      </c>
      <c r="J30" s="12" t="str">
        <f t="shared" si="9"/>
        <v/>
      </c>
      <c r="K30" s="12" t="str">
        <f t="shared" si="10"/>
        <v/>
      </c>
    </row>
    <row r="31" spans="1:11" ht="24" customHeight="1" x14ac:dyDescent="0.25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">
        <v>67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0"/>
        <v/>
      </c>
    </row>
    <row r="32" spans="1:11" ht="24" customHeight="1" x14ac:dyDescent="0.25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 t="s">
        <v>67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0"/>
        <v/>
      </c>
    </row>
    <row r="33" spans="1:11" ht="24" customHeight="1" x14ac:dyDescent="0.3">
      <c r="A33" s="40"/>
      <c r="B33" s="18" t="s">
        <v>12</v>
      </c>
      <c r="C33" s="22">
        <f>E33+G33+I33+K33</f>
        <v>74.5</v>
      </c>
      <c r="D33" s="13"/>
      <c r="E33" s="13">
        <f>SUM(E26:E32)</f>
        <v>55</v>
      </c>
      <c r="F33" s="13"/>
      <c r="G33" s="13">
        <f>SUM(G26:G32)</f>
        <v>12</v>
      </c>
      <c r="H33" s="13"/>
      <c r="I33" s="13">
        <f>SUM(I26:I32)</f>
        <v>7.5</v>
      </c>
      <c r="J33" s="13"/>
      <c r="K33" s="13">
        <f>SUM(K26:K32)</f>
        <v>0</v>
      </c>
    </row>
    <row r="34" spans="1:11" ht="24" customHeight="1" x14ac:dyDescent="0.3">
      <c r="A34" s="42"/>
      <c r="B34" s="21" t="s">
        <v>13</v>
      </c>
      <c r="C34" s="14">
        <f>VLOOKUP(C33,ESCALA_IEP!A15:B215,2,FALSE)</f>
        <v>5.0999999999999996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39" t="s">
        <v>4</v>
      </c>
      <c r="B37" s="11" t="str">
        <f>B6</f>
        <v>MATIAS OSSIO CAMPOS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5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5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 t="s">
        <v>67</v>
      </c>
      <c r="E39" s="12">
        <f>IF(D39="X",100*0.15,"")</f>
        <v>15</v>
      </c>
      <c r="F39" s="12" t="str">
        <f t="shared" ref="F39:F43" si="12">IF($C39=L,"X","")</f>
        <v/>
      </c>
      <c r="G39" s="12" t="str">
        <f>IF(F39="X",60*0.15,"")</f>
        <v/>
      </c>
      <c r="H39" s="12" t="s">
        <v>66</v>
      </c>
      <c r="I39" s="12" t="str">
        <f>IF(H39="X",30*0.15,"")</f>
        <v/>
      </c>
      <c r="J39" s="12" t="str">
        <f t="shared" ref="J39:J43" si="13">IF($C39=NL,"X","")</f>
        <v/>
      </c>
      <c r="K39" s="12" t="str">
        <f t="shared" ref="K39:K45" si="14">IF($J39="X",0,"")</f>
        <v/>
      </c>
    </row>
    <row r="40" spans="1:11" ht="24" customHeight="1" x14ac:dyDescent="0.25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 t="s">
        <v>66</v>
      </c>
      <c r="E40" s="12" t="str">
        <f>IF(D40="X",100*0.25,"")</f>
        <v/>
      </c>
      <c r="F40" s="12" t="s">
        <v>66</v>
      </c>
      <c r="G40" s="12" t="str">
        <f>IF(F40="X",60*0.25,"")</f>
        <v/>
      </c>
      <c r="H40" s="12" t="s">
        <v>67</v>
      </c>
      <c r="I40" s="12">
        <f>IF(H40="X",30*0.25,"")</f>
        <v>7.5</v>
      </c>
      <c r="J40" s="12" t="str">
        <f t="shared" si="13"/>
        <v/>
      </c>
      <c r="K40" s="12" t="str">
        <f t="shared" si="14"/>
        <v/>
      </c>
    </row>
    <row r="41" spans="1:11" ht="24" customHeight="1" x14ac:dyDescent="0.25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 t="s">
        <v>66</v>
      </c>
      <c r="E41" s="12" t="str">
        <f>IF(D41="X",100*0.2,"")</f>
        <v/>
      </c>
      <c r="F41" s="12" t="s">
        <v>67</v>
      </c>
      <c r="G41" s="12">
        <f>IF(F41="X",60*0.2,"")</f>
        <v>12</v>
      </c>
      <c r="H41" s="12" t="str">
        <f t="shared" ref="H39:H43" si="15">IF($C41=ML,"X","")</f>
        <v/>
      </c>
      <c r="I41" s="12" t="str">
        <f>IF(H41="X",30*0.2,"")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25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ref="D39:D43" si="16">IF($C42=CL,"X","")</f>
        <v>X</v>
      </c>
      <c r="E42" s="12">
        <f>IF(D42="X",100*0.05,"")</f>
        <v>5</v>
      </c>
      <c r="F42" s="12" t="str">
        <f t="shared" si="12"/>
        <v/>
      </c>
      <c r="G42" s="12" t="str">
        <f>IF(F42="X",60*0.05,"")</f>
        <v/>
      </c>
      <c r="H42" s="12" t="str">
        <f t="shared" si="15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25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 t="str">
        <f t="shared" si="16"/>
        <v>X</v>
      </c>
      <c r="E43" s="12">
        <f>IF(D43="X",100*0.05,"")</f>
        <v>5</v>
      </c>
      <c r="F43" s="12" t="str">
        <f t="shared" si="12"/>
        <v/>
      </c>
      <c r="G43" s="12" t="str">
        <f>IF(F43="X",60*0.05,"")</f>
        <v/>
      </c>
      <c r="H43" s="12" t="str">
        <f t="shared" si="15"/>
        <v/>
      </c>
      <c r="I43" s="12" t="str">
        <f>IF(H43="X",30*0.05,"")</f>
        <v/>
      </c>
      <c r="J43" s="12" t="str">
        <f t="shared" si="13"/>
        <v/>
      </c>
      <c r="K43" s="12" t="str">
        <f t="shared" si="14"/>
        <v/>
      </c>
    </row>
    <row r="44" spans="1:11" ht="24" customHeight="1" x14ac:dyDescent="0.25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25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4"/>
        <v/>
      </c>
    </row>
    <row r="46" spans="1:11" ht="24" customHeight="1" x14ac:dyDescent="0.3">
      <c r="A46" s="40"/>
      <c r="B46" s="18" t="s">
        <v>12</v>
      </c>
      <c r="C46" s="22">
        <f>E46+G46+I46+K46</f>
        <v>74.5</v>
      </c>
      <c r="D46" s="13"/>
      <c r="E46" s="13">
        <f>SUM(E39:E45)</f>
        <v>55</v>
      </c>
      <c r="F46" s="13"/>
      <c r="G46" s="13">
        <f>SUM(G39:G45)</f>
        <v>12</v>
      </c>
      <c r="H46" s="13"/>
      <c r="I46" s="13">
        <f>SUM(I39:I45)</f>
        <v>7.5</v>
      </c>
      <c r="J46" s="13"/>
      <c r="K46" s="13">
        <f>SUM(K39:K45)</f>
        <v>0</v>
      </c>
    </row>
    <row r="47" spans="1:11" ht="24" customHeight="1" x14ac:dyDescent="0.3">
      <c r="A47" s="42"/>
      <c r="B47" s="21" t="s">
        <v>13</v>
      </c>
      <c r="C47" s="14">
        <f>VLOOKUP(C46,ESCALA_IEP!A28:B228,2,FALSE)</f>
        <v>5.0999999999999996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48" t="s">
        <v>14</v>
      </c>
      <c r="B50" s="11" t="str">
        <f>B4</f>
        <v>ALEJANDRO CABELLO GUTIERREZ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5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5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5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 t="s">
        <v>66</v>
      </c>
      <c r="E53" s="12" t="str">
        <f>IF(D53="X",100*0.25,"")</f>
        <v/>
      </c>
      <c r="F53" s="12" t="str">
        <f t="shared" si="18"/>
        <v/>
      </c>
      <c r="G53" s="12" t="str">
        <f>IF(F53="X",60*0.25,"")</f>
        <v/>
      </c>
      <c r="H53" s="12" t="s">
        <v>67</v>
      </c>
      <c r="I53" s="12">
        <f>IF(H53="X",30*0.25,"")</f>
        <v>7.5</v>
      </c>
      <c r="J53" s="12" t="str">
        <f t="shared" si="20"/>
        <v/>
      </c>
      <c r="K53" s="12" t="str">
        <f t="shared" si="21"/>
        <v/>
      </c>
    </row>
    <row r="54" spans="1:11" ht="24" customHeight="1" x14ac:dyDescent="0.25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 t="s">
        <v>66</v>
      </c>
      <c r="E54" s="12" t="str">
        <f>IF(D54="X",100*0.2,"")</f>
        <v/>
      </c>
      <c r="F54" s="12" t="s">
        <v>67</v>
      </c>
      <c r="G54" s="12">
        <f>IF(F54="X",60*0.2,"")</f>
        <v>12</v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5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5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5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5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">
      <c r="A59" s="40"/>
      <c r="B59" s="18" t="s">
        <v>12</v>
      </c>
      <c r="C59" s="22">
        <f>E59+G59+I59+K59</f>
        <v>74.5</v>
      </c>
      <c r="D59" s="13"/>
      <c r="E59" s="13">
        <f>SUM(E52:E58)</f>
        <v>55</v>
      </c>
      <c r="F59" s="13"/>
      <c r="G59" s="13">
        <f>SUM(G52:G58)</f>
        <v>12</v>
      </c>
      <c r="H59" s="13"/>
      <c r="I59" s="13">
        <f>SUM(I52:I58)</f>
        <v>7.5</v>
      </c>
      <c r="J59" s="13"/>
      <c r="K59" s="13">
        <f>SUM(K52:K58)</f>
        <v>0</v>
      </c>
    </row>
    <row r="60" spans="1:11" ht="24" customHeight="1" x14ac:dyDescent="0.3">
      <c r="A60" s="42"/>
      <c r="B60" s="21" t="s">
        <v>13</v>
      </c>
      <c r="C60" s="14">
        <f>VLOOKUP(C59,ESCALA_IEP!A41:B241,2,FALSE)</f>
        <v>5.0999999999999996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48" t="s">
        <v>15</v>
      </c>
      <c r="B63" s="11" t="str">
        <f>B5</f>
        <v>MATIAS LEAL TAPIA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5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5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25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 t="s">
        <v>66</v>
      </c>
      <c r="E66" s="12" t="str">
        <f>IF(D66="X",100*0.25,"")</f>
        <v/>
      </c>
      <c r="F66" s="12" t="str">
        <f t="shared" si="23"/>
        <v/>
      </c>
      <c r="G66" s="12" t="str">
        <f>IF(F66="X",60*0.25,"")</f>
        <v/>
      </c>
      <c r="H66" s="12" t="s">
        <v>67</v>
      </c>
      <c r="I66" s="12">
        <f>IF(H66="X",30*0.25,"")</f>
        <v>7.5</v>
      </c>
      <c r="J66" s="12" t="str">
        <f t="shared" si="25"/>
        <v/>
      </c>
      <c r="K66" s="12" t="str">
        <f t="shared" si="26"/>
        <v/>
      </c>
    </row>
    <row r="67" spans="1:11" ht="24" customHeight="1" x14ac:dyDescent="0.25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 t="s">
        <v>66</v>
      </c>
      <c r="E67" s="12" t="str">
        <f>IF(D67="X",100*0.2,"")</f>
        <v/>
      </c>
      <c r="F67" s="12" t="s">
        <v>67</v>
      </c>
      <c r="G67" s="12">
        <f>IF(F67="X",60*0.2,"")</f>
        <v>12</v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25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5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5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25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">
      <c r="A72" s="40"/>
      <c r="B72" s="18" t="s">
        <v>12</v>
      </c>
      <c r="C72" s="22">
        <f>E72+G72+I72+K72</f>
        <v>74.5</v>
      </c>
      <c r="D72" s="13"/>
      <c r="E72" s="13">
        <f>SUM(E65:E71)</f>
        <v>55</v>
      </c>
      <c r="F72" s="13"/>
      <c r="G72" s="13">
        <f>SUM(G65:G71)</f>
        <v>12</v>
      </c>
      <c r="H72" s="13"/>
      <c r="I72" s="13">
        <f>SUM(I65:I71)</f>
        <v>7.5</v>
      </c>
      <c r="J72" s="13"/>
      <c r="K72" s="13">
        <f>SUM(K65:K71)</f>
        <v>0</v>
      </c>
    </row>
    <row r="73" spans="1:11" ht="24" customHeight="1" x14ac:dyDescent="0.3">
      <c r="A73" s="42"/>
      <c r="B73" s="21" t="s">
        <v>13</v>
      </c>
      <c r="C73" s="14">
        <f>VLOOKUP(C72,ESCALA_IEP!A54:B254,2,FALSE)</f>
        <v>5.0999999999999996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48" t="s">
        <v>16</v>
      </c>
      <c r="B76" s="11" t="str">
        <f>B6</f>
        <v>MATIAS OSSIO CAMPOS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5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5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25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 t="s">
        <v>66</v>
      </c>
      <c r="E79" s="12" t="str">
        <f>IF(D79="X",100*0.25,"")</f>
        <v/>
      </c>
      <c r="F79" s="12" t="str">
        <f t="shared" si="28"/>
        <v/>
      </c>
      <c r="G79" s="12" t="str">
        <f>IF(F79="X",60*0.25,"")</f>
        <v/>
      </c>
      <c r="H79" s="12" t="s">
        <v>67</v>
      </c>
      <c r="I79" s="12">
        <f>IF(H79="X",30*0.25,"")</f>
        <v>7.5</v>
      </c>
      <c r="J79" s="12" t="str">
        <f t="shared" si="30"/>
        <v/>
      </c>
      <c r="K79" s="12" t="str">
        <f t="shared" si="31"/>
        <v/>
      </c>
    </row>
    <row r="80" spans="1:11" ht="24" customHeight="1" x14ac:dyDescent="0.25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 t="s">
        <v>66</v>
      </c>
      <c r="E80" s="12" t="str">
        <f>IF(D80="X",100*0.2,"")</f>
        <v/>
      </c>
      <c r="F80" s="12" t="s">
        <v>67</v>
      </c>
      <c r="G80" s="12">
        <f>IF(F80="X",60*0.2,"")</f>
        <v>12</v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25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5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5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25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">
      <c r="A85" s="40"/>
      <c r="B85" s="18" t="s">
        <v>12</v>
      </c>
      <c r="C85" s="22">
        <f>E85+G85+I85+K85</f>
        <v>74.5</v>
      </c>
      <c r="D85" s="13"/>
      <c r="E85" s="13">
        <f>SUM(E78:E84)</f>
        <v>55</v>
      </c>
      <c r="F85" s="13"/>
      <c r="G85" s="13">
        <f>SUM(G78:G84)</f>
        <v>12</v>
      </c>
      <c r="H85" s="13"/>
      <c r="I85" s="13">
        <f>SUM(I78:I84)</f>
        <v>7.5</v>
      </c>
      <c r="J85" s="13"/>
      <c r="K85" s="13">
        <f>SUM(K78:K84)</f>
        <v>0</v>
      </c>
    </row>
    <row r="86" spans="1:11" ht="24" customHeight="1" x14ac:dyDescent="0.3">
      <c r="A86" s="42"/>
      <c r="B86" s="21" t="s">
        <v>13</v>
      </c>
      <c r="C86" s="14">
        <f>VLOOKUP(C85,ESCALA_IEP!A67:B267,2,FALSE)</f>
        <v>5.0999999999999996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25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25">
      <c r="A3" s="50"/>
      <c r="B3" s="55"/>
      <c r="C3" s="55"/>
      <c r="D3" s="27">
        <v>0.3</v>
      </c>
      <c r="E3" s="27">
        <v>0</v>
      </c>
      <c r="F3" s="50"/>
    </row>
    <row r="4" spans="1:6" ht="102" x14ac:dyDescent="0.25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" customHeight="1" x14ac:dyDescent="0.25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25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89.25" x14ac:dyDescent="0.25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89.25" x14ac:dyDescent="0.25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89.25" x14ac:dyDescent="0.25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25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6" t="s">
        <v>60</v>
      </c>
      <c r="B1" s="4" t="s">
        <v>12</v>
      </c>
      <c r="C1" s="5"/>
      <c r="D1" s="5"/>
      <c r="E1" s="6"/>
    </row>
    <row r="2" spans="1:5" ht="45.75" thickBot="1" x14ac:dyDescent="0.3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GOMEZ FLORES, JORGE</cp:lastModifiedBy>
  <cp:revision/>
  <dcterms:created xsi:type="dcterms:W3CDTF">2023-08-07T04:08:01Z</dcterms:created>
  <dcterms:modified xsi:type="dcterms:W3CDTF">2024-12-13T12:15:22Z</dcterms:modified>
  <cp:category/>
  <cp:contentStatus/>
</cp:coreProperties>
</file>